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28" yWindow="65428" windowWidth="19416" windowHeight="12504"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<sst xmlns="http://schemas.openxmlformats.org/spreadsheetml/2006/main" count="15183" uniqueCount="2196">
  <si>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</si>
  <si>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</si>
  <si>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</si>
  <si>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</si>
  <si>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</si>
  <si>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</si>
  <si>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</si>
  <si>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</si>
  <si>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</si>
  <si>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</si>
  <si>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</si>
  <si>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</si>
  <si>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</si>
  <si>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</si>
  <si>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</si>
  <si>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</si>
  <si>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</si>
  <si>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</si>
  <si>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</si>
  <si>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</si>
  <si>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</si>
  <si>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</si>
  <si>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</si>
  <si>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</si>
  <si>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</si>
  <si>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</si>
  <si>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</si>
  <si>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</si>
  <si>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</si>
  <si>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</si>
  <si>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</si>
  <si>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</si>
  <si>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</si>
  <si>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</si>
  <si>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</si>
  <si>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</si>
  <si>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</si>
  <si>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</si>
  <si>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</si>
  <si>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</si>
  <si>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</si>
  <si>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</si>
  <si>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</si>
  <si>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</si>
  <si>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</si>
  <si>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</si>
  <si>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</si>
  <si>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</si>
  <si>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</si>
  <si>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</si>
  <si>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</si>
  <si>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</si>
  <si>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</si>
  <si>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</si>
  <si>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</si>
  <si>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</si>
  <si>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</si>
  <si>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</si>
  <si>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</si>
  <si>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</si>
  <si>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</si>
  <si>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</si>
  <si>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</si>
  <si>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</si>
  <si>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</si>
  <si>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</si>
  <si>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</si>
  <si>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</si>
  <si>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</si>
  <si>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</si>
  <si>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</si>
  <si>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</si>
  <si>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</si>
  <si>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</si>
  <si>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</si>
  <si>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</si>
  <si>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</si>
  <si>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</si>
  <si>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</si>
  <si>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</si>
  <si>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</si>
  <si>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</si>
  <si>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</si>
  <si>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</si>
  <si>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</si>
  <si>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</si>
  <si>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</si>
  <si>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</si>
  <si>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</si>
  <si>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</si>
  <si>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</si>
  <si>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</si>
  <si>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</si>
  <si>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</si>
  <si>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</si>
  <si>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</si>
  <si>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</si>
  <si>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</si>
  <si>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</si>
  <si>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</si>
  <si>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</si>
  <si>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</si>
  <si>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</si>
  <si>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</si>
  <si>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</si>
  <si>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</si>
  <si>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</si>
  <si>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</si>
  <si>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</si>
  <si>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</si>
  <si>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</si>
  <si>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</si>
  <si>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</si>
  <si>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</si>
  <si>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</si>
  <si>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</si>
  <si>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</si>
  <si>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</si>
  <si>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</si>
  <si>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</si>
  <si>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</si>
  <si>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</si>
  <si>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</si>
  <si>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</si>
  <si>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</si>
  <si>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</si>
  <si>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</si>
  <si>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</si>
  <si>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</si>
  <si>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</si>
  <si>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</si>
  <si>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</si>
  <si>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</si>
  <si>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</si>
  <si>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</si>
  <si>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</si>
  <si>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</si>
  <si>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</si>
  <si>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</si>
  <si>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</si>
  <si>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</si>
  <si>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</si>
  <si>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</si>
  <si>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</si>
  <si>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</si>
  <si>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</si>
  <si>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</si>
  <si>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</si>
  <si>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</si>
  <si>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</si>
  <si>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</si>
  <si>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</si>
  <si>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</si>
  <si>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</si>
  <si>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</si>
  <si>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</si>
  <si>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</si>
  <si>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</si>
  <si>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</si>
  <si>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</si>
  <si>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</si>
  <si>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</si>
  <si>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</si>
  <si>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</si>
  <si>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</si>
  <si>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</si>
  <si>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</si>
  <si>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</si>
  <si>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</si>
  <si>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</si>
  <si>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</si>
  <si>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</si>
  <si>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</si>
  <si>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</si>
  <si>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</si>
  <si>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</si>
  <si>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</si>
  <si>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</si>
  <si>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</si>
  <si>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</si>
  <si>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</si>
  <si>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</si>
  <si>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</si>
  <si>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</si>
  <si>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</si>
  <si>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</si>
  <si>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</si>
  <si>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</si>
  <si>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</si>
  <si>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</si>
  <si>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</si>
  <si>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</si>
  <si>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</si>
  <si>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</si>
  <si>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</si>
  <si>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</si>
  <si>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</si>
  <si>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</si>
  <si>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</si>
  <si>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</si>
  <si>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</si>
  <si>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</si>
  <si>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</si>
  <si>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</si>
  <si>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</si>
  <si>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</si>
  <si>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</si>
  <si>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</si>
  <si>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</si>
  <si>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</si>
  <si>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</si>
  <si>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</si>
  <si>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</si>
  <si>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</si>
  <si>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</si>
  <si>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</si>
  <si>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</si>
  <si>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</si>
  <si>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</si>
  <si>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</si>
  <si>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</si>
  <si>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</si>
  <si>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</si>
  <si>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</si>
  <si>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</si>
  <si>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</si>
  <si>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</si>
  <si>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</si>
  <si>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</si>
  <si>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</si>
  <si>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</si>
  <si>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</si>
  <si>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</si>
  <si>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</si>
  <si>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</si>
  <si>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mohitsparihar</t>
  </si>
  <si>
    <t>fachportalpaed</t>
  </si>
  <si>
    <t>untiporaro</t>
  </si>
  <si>
    <t>hinabhagwani</t>
  </si>
  <si>
    <t>sarka003</t>
  </si>
  <si>
    <t>shail67330119</t>
  </si>
  <si>
    <t>meenakshipai</t>
  </si>
  <si>
    <t>shivanikdmishra</t>
  </si>
  <si>
    <t>christallaj</t>
  </si>
  <si>
    <t>serdarferit</t>
  </si>
  <si>
    <t>patisseriefilm</t>
  </si>
  <si>
    <t>estoniaedu</t>
  </si>
  <si>
    <t>m_rueth</t>
  </si>
  <si>
    <t>noidaagbs</t>
  </si>
  <si>
    <t>adatewithcocoa</t>
  </si>
  <si>
    <t>amityuni</t>
  </si>
  <si>
    <t>anjani_kb</t>
  </si>
  <si>
    <t>fonsstoelinga</t>
  </si>
  <si>
    <t>aimtoinnovate</t>
  </si>
  <si>
    <t>bhilai</t>
  </si>
  <si>
    <t>imgauravsood</t>
  </si>
  <si>
    <t>muriel21400928</t>
  </si>
  <si>
    <t>drsantanugupta</t>
  </si>
  <si>
    <t>aizadkhursheed</t>
  </si>
  <si>
    <t>mehulch06582077</t>
  </si>
  <si>
    <t>mukesh49963098</t>
  </si>
  <si>
    <t>sanatan96735902</t>
  </si>
  <si>
    <t>afreen50079461</t>
  </si>
  <si>
    <t>educatelanka</t>
  </si>
  <si>
    <t>tcs_ion</t>
  </si>
  <si>
    <t>ashokamane</t>
  </si>
  <si>
    <t>tweeteretta</t>
  </si>
  <si>
    <t>debijules</t>
  </si>
  <si>
    <t>didacindia</t>
  </si>
  <si>
    <t>kthiag2000</t>
  </si>
  <si>
    <t>emuvunyi1</t>
  </si>
  <si>
    <t>indiadidac</t>
  </si>
  <si>
    <t>schleicheroecd</t>
  </si>
  <si>
    <t>oecdeduskills</t>
  </si>
  <si>
    <t>gavindk</t>
  </si>
  <si>
    <t>zelfstudie</t>
  </si>
  <si>
    <t>mkelly_explo</t>
  </si>
  <si>
    <t>kwameakyeampong</t>
  </si>
  <si>
    <t>lyftaed</t>
  </si>
  <si>
    <t>yoswaroop</t>
  </si>
  <si>
    <t>joysyj</t>
  </si>
  <si>
    <t>kw_research</t>
  </si>
  <si>
    <t>timunwin</t>
  </si>
  <si>
    <t>unescoict4d</t>
  </si>
  <si>
    <t>agastyasparks</t>
  </si>
  <si>
    <t>connect_aditya</t>
  </si>
  <si>
    <t>grausger</t>
  </si>
  <si>
    <t>olliebray</t>
  </si>
  <si>
    <t>manjula_d</t>
  </si>
  <si>
    <t>ibe_unesco</t>
  </si>
  <si>
    <t>yaoydo</t>
  </si>
  <si>
    <t>ciet_ncert</t>
  </si>
  <si>
    <t>shaireshef</t>
  </si>
  <si>
    <t>stazanuel</t>
  </si>
  <si>
    <t>uopeople</t>
  </si>
  <si>
    <t>yinkaadeosun</t>
  </si>
  <si>
    <t>davidbartram_</t>
  </si>
  <si>
    <t>creativehigg</t>
  </si>
  <si>
    <t>susandouglas70</t>
  </si>
  <si>
    <t>olgatoulk</t>
  </si>
  <si>
    <t>gen_global_</t>
  </si>
  <si>
    <t>diakonstefanos</t>
  </si>
  <si>
    <t>sambeckertweets</t>
  </si>
  <si>
    <t>rajeshanni</t>
  </si>
  <si>
    <t>awscloud</t>
  </si>
  <si>
    <t>paulinatervo</t>
  </si>
  <si>
    <t>oecd</t>
  </si>
  <si>
    <t>amitypresident</t>
  </si>
  <si>
    <t>rramanan</t>
  </si>
  <si>
    <t>nitiaayog</t>
  </si>
  <si>
    <t>takeactionedu</t>
  </si>
  <si>
    <t>tcs</t>
  </si>
  <si>
    <t>krishnanca</t>
  </si>
  <si>
    <t>dianamwai</t>
  </si>
  <si>
    <t>worldomep</t>
  </si>
  <si>
    <t>pratham_india</t>
  </si>
  <si>
    <t>explolive</t>
  </si>
  <si>
    <t>mbrechner</t>
  </si>
  <si>
    <t>sakuidealist</t>
  </si>
  <si>
    <t>blomgun</t>
  </si>
  <si>
    <t>gedcouncil</t>
  </si>
  <si>
    <t>moeducationuae</t>
  </si>
  <si>
    <t>moedumv</t>
  </si>
  <si>
    <t>arasheedgn</t>
  </si>
  <si>
    <t>unesco</t>
  </si>
  <si>
    <t>upgovt</t>
  </si>
  <si>
    <t>diana_elazar</t>
  </si>
  <si>
    <t>christenseninst</t>
  </si>
  <si>
    <t>chelseawaite</t>
  </si>
  <si>
    <t>irislapinski</t>
  </si>
  <si>
    <t>gus_education</t>
  </si>
  <si>
    <t>michellewade99</t>
  </si>
  <si>
    <t>thoughtbox_ed</t>
  </si>
  <si>
    <t>drrussq</t>
  </si>
  <si>
    <t>cjpwright</t>
  </si>
  <si>
    <t>educationgovuk</t>
  </si>
  <si>
    <t>damianhinds</t>
  </si>
  <si>
    <t>sharath36</t>
  </si>
  <si>
    <t>cit_ccise</t>
  </si>
  <si>
    <t>anju_sharma_ind</t>
  </si>
  <si>
    <t>msisodia</t>
  </si>
  <si>
    <t>india</t>
  </si>
  <si>
    <t>besatweet</t>
  </si>
  <si>
    <t>theewf</t>
  </si>
  <si>
    <t>d2l</t>
  </si>
  <si>
    <t>iborganization</t>
  </si>
  <si>
    <t>coursera</t>
  </si>
  <si>
    <t>aws_edu</t>
  </si>
  <si>
    <t>aws_gov</t>
  </si>
  <si>
    <t>global_vic</t>
  </si>
  <si>
    <t>lshayter</t>
  </si>
  <si>
    <t>Retweet</t>
  </si>
  <si>
    <t>MentionsInRetweet</t>
  </si>
  <si>
    <t>Mentions</t>
  </si>
  <si>
    <t>#TIESS2021 - The world's largest virtual conference on education and skills sector, is all set to unite the global education leaders to collaborate for thoughtful deliberations &amp;amp; discussion on the Future of Education. 
Register now - https://t.co/Iyb6jZOFvX 
#TIESSGoesVirtual https://t.co/mfSU6Dclwm</t>
  </si>
  <si>
    <t>#TIESS2021 We are bringing together the most eminent leaders from the global education community. Join dialogue with @SchleicherOECD , Director of Education and Skills, @OECDEduSkills, Germany
Register Now - https://t.co/8Q4QRYA1xT
#TIESSGoesVirtual #UnitingForEducation https://t.co/hNjsviArbg</t>
  </si>
  <si>
    <t>#TIESS2021 Listen to Mr. Jude Sheeran, Lead - International Cloud Innovation Programmes &amp;amp; International Education Strategy, @awscloud UK only at TIESS2021 World’s Largest Virtual Summit for Education
Register now https://t.co/DUSINWwdnK
#TIESSGoesVirtual #UnitingForEducation https://t.co/0lyEhFrNrR</t>
  </si>
  <si>
    <t>#TIESS2021 – A phenomenal opportunity to Join the conversation with Dr. @YoSwaroop COO, NEM Life Skills, India only at TIESS2021 – World’s Largest Virtual Summit for Education &amp;amp; Skills sector.
Register now https://t.co/nspH0zc054
#TIESSGoesVirtual #UnitingForEducation https://t.co/JSNdMkBqIU</t>
  </si>
  <si>
    <t>Really excited to be presenting at #TIESS2021 next week. 
(Note: I am the *Co*-CEO of Lyfta, along with @PaulinaTervo - and together we are greater than the sum of our parts) https://t.co/S12aQO0zO9</t>
  </si>
  <si>
    <t>#TIESS2021 An outstanding opportunity to listen to renowned International Education Leaders. Join the talks with Mr. Mart Laidmets, Secretary General of  Education and Research, Government of Estonia, Estonia
Register Now https://t.co/4p1pEoPVub
#TIESSGoesVirtual https://t.co/QCXSF2pA0O</t>
  </si>
  <si>
    <t>Join Mr. Stephan Vincent Lancrin, Deputy Head of Division and Senior Analyst, @OECD , France only at #TIESS2021 – The Global Virtual Summit for Education &amp;amp; Skills Sector
Register Now: https://t.co/nUHNHp6WYN
#TIESSGoesVirtual  #UnitingForEducation https://t.co/IDbDYdAxFQ</t>
  </si>
  <si>
    <t>Join the conversation with Dr. Atul Chauhan, President- Amity Education Group, Chancellor- Amity Universities, India, Only at #TIESS2021- World’s Leading Virtual Summit for Education &amp;amp; Skills Sector. 
@AmityPresident 
Register https://t.co/AJeECW38CR
#TIESSGoesVirtual https://t.co/uvjhIz8yCO</t>
  </si>
  <si>
    <t>Join the conversation with Mr. Ramanan Ramanathan, Mission Director Atal Innovation Mission &amp;amp; Additional Secretary, @NITIAayog, Govt. of India, only at #TIESS2021 – The World’s Largest Global Summit for Education &amp;amp; Skills Sector. @rramanan 
Register now https://t.co/1Yeyj0AImH https://t.co/sQdcaxnmEo</t>
  </si>
  <si>
    <t>Looking forward to presenting st #TIESS2021 next week...
Register Now - https://t.co/MOHCuzZiVN
#TIESSGoesVirtual #UnitingForEducation https://t.co/IeEQhWeW74 https://t.co/L2mwa6QiRr</t>
  </si>
  <si>
    <t>Join the conversation with Mr. Ramji Raghavan, Founder &amp;amp; Chairperson, AGASTYA International Foundation, India, only at #TIESS2021 – The World’s Largest Global Summit for Education &amp;amp; Skills Sector @AgastyaSparks
Register now https://t.co/gVr52ZUD3S
#TIESSGoesVirtual https://t.co/YLSxlCiBDR</t>
  </si>
  <si>
    <t>#TIESS2021 – A prodigious opportunity to Join the conversation with @zelfstudie Mr. Koen Timmers, Executive Director, @TakeActionEdu TAG inc., Belgium at the World’s Leading Virtual Summit for Education &amp;amp; Skills Sector. 
Register Now - https://t.co/LL6OFBN6et
#TIESSGoesVirtual https://t.co/5jeQsD3krq</t>
  </si>
  <si>
    <t>At #TIESS2021 - the Global Leading Virtual Summit on Education, Join the dialogue with Mr. Manjula M. Dissanayake , Founder, Educate Lanka Foundation, 
Sri Lanka, Register Now https://t.co/7C4rhadQw9
@manjula_d
#TIESSGoesVirtual #UnitingForEducation https://t.co/ulvPvBKAVI</t>
  </si>
  <si>
    <t>Watch out for a special session by @KrishnanCA, Business Unit Head for Higher Education - TCS iON, @TCS, on ‘How should assessments change in times of disruption?’. 
Date: Wednesday, January 27, 2021 
Time: 01:15 pm IST
Register now: https://t.co/sN3OMfiMf3
#TCSiON #TIESS2021 https://t.co/0SmX55QMDV</t>
  </si>
  <si>
    <t>We are glad to be the official 'Transformation Partner' at the world’s largest virtual conference for the education and skills sector - The International Education and Skills Summit.
#TCSiON #TIESS2021 #education #skills https://t.co/DwC2Jaki18</t>
  </si>
  <si>
    <t>#TIESS2021 
Get Ready to meet the most influential global leaders in education! listen, collaborate and contribute to the Future of Education!!
30,000+ Delegates| 80+ Countries| 150+ Speakers! 
Only 2 days to go! 
#TIESSGoesVirtual #UnitingForEducation #StayTuned https://t.co/MHlHRts8dm</t>
  </si>
  <si>
    <t>#TIESS2021 
Get Ready to meet the most influential global leaders in education! listen, collaborate and contribute to the Future of Education!!
30,000+ Delegates| 80+ Countries| 150+ Speakers! 
Only 2 days to go! 
#TIESSGoesVirtual #UnitingForEducation #StayTuned https://t.co/DWeafXCuD9</t>
  </si>
  <si>
    <t>#TIESS2021 
The wait is almost over. Get Ready to meet the most influential global leaders in education! listen, collaborate and contribute to the Future of Education!!
30,000+ Delegates| 80+ Countries| 150+ Speakers! 
Only 1 day to go! 
#TIESSGoesVirtual #UnitingForEducation https://t.co/fT5o63Mayu</t>
  </si>
  <si>
    <t>Become an integral part of #TIESS2021 and Join the conversation with Prof. @kwameakyeampong , Professor of International Education and Development, The Open University, UK
Register Now - https://t.co/tJlyVN8a5W
#TIESSGoesVirtual #UnitingForEducation https://t.co/Mfsk1y8rEt</t>
  </si>
  <si>
    <t>Hear @DianaMwai Program Director, Educate Kenya, Kenya, talk about the Future of Education, only at #TIESS2021 – World’s Largest Virtual Summit for Education &amp;amp; Skills sector. Do not miss. 
Register now https://t.co/B1YK3REIe2
#TIESSGoesVirtual #UnitingForEducation https://t.co/Bg8hLEMbr8</t>
  </si>
  <si>
    <t>Meet the Global Leaders in Education at #TIESS2021. Join the talks with Ms. Mercedes Mayol Lassalle, Global President, World Organization for Early Childhood Education, Argentina. @WorldOMEP 
Register Now: https://t.co/FAGkzCO822
#TIESSGoesVirtual  #UnitingForEducation https://t.co/VcJpEwQi5C</t>
  </si>
  <si>
    <t>#TIESS2021 – Discover the Future of Education with Ms. Rukmini Banerji, CEO, Pratham Education Foundation, India only at The International Education &amp;amp; Skill Summit 2021| Virtual @Pratham_India
Register Now - https://t.co/LL6OFBN6et
#TIESSGoesVirtual #UnitingForEducation https://t.co/XgtE0Q18qx</t>
  </si>
  <si>
    <t>At #TIESS2021 - We are uniting the leaders from the global education community. Do not miss to join dialogue with Ms. Moira Kelly
@mkelly_explo, President, @EXPLOLive   
Exploration Learning, USA.  
Register Now - https://t.co/SlnYFpEY8z
#TIESSGoesVirtual #UnitingForEducation https://t.co/XlXdrR05YJ</t>
  </si>
  <si>
    <t>#TIESS2021 Join the league of change-makers by being an integral part of world’s largest conference for Education sector.
Hear Mr. @SerdarFerit CEO and Founder, @LyftaEd UK only at TIESS virtual summit. 
Register : https://t.co/QvmUaA3nJo
#TIESSGoesVirtual #UnitingForEducation https://t.co/hlrMRUgVwU</t>
  </si>
  <si>
    <t>Listen to thoughtful deliberations on the Future of Education with renowned International Education Leaders.
Join the Dialogue with Ms. Joysy John, Edtech Advisor &amp;amp; Consultant, UK @joysyj
 Register Now: https://t.co/iiCIOw0lNR
 #TIESSGoesVirtual #UnitingForEducation #TIESS2021 https://t.co/KHaVGmoI2f</t>
  </si>
  <si>
    <t>So excited to be a part of the #TIESS2021 conference next week. I’m chairing panels on evidence in education and play. Join us! https://t.co/sGbhO4ovIK</t>
  </si>
  <si>
    <t>Get amazing insights on advancement in education only at #TIESS2021. Join the talks with Dr. Kristen Weatherby, Education Research Expert, UK @KW_Research 
Register Now: https://t.co/TybSd8eq6x
#TIESSGoesVirtual #UnitingForEducation https://t.co/fCei5HfFDQ</t>
  </si>
  <si>
    <t>#TIESS2021 – A phenomenal opportunity to Join the conversation with Mr. Miguel Brechner
Founder &amp;amp; Former President, Plan Ceibal, Consultant for IDB (International Development Bank)
Uruguay @mbrechner 
Register now https://t.co/SxkrT2aOQT https://t.co/QmQrdaAx1c</t>
  </si>
  <si>
    <t>#TIESS2021 – The Leading Global Virtual Summit on Education, Join the conversation with Mr. Saku Tuominen, Chair &amp;amp; Founder, HundrED , Finland @sakuidealist
Register Now https://t.co/kM1I2AXX9d
#TIESSGoesVirtual #UnitingForEducation https://t.co/YDgVwTlBOw</t>
  </si>
  <si>
    <t>#TIESS2021 – presenting global education leaders for thought provoking discussions on the future of education. Join dialogue with Mrs. Gun Oker-Blom, Former Director, Finnish National Agency for Education, Finland
@BlomGun 
Register Now https://t.co/rMzS1tUlp5
#TIESSGoesVirtual https://t.co/MJNfoVksIT</t>
  </si>
  <si>
    <t>#TIESS2021 – A phenomenal opportunity to Join the conversation with Dr. Tagwa A. Musa, Executive Committee Member, Global Engineering Dean's Council (GEDC), Sudan
Register now https://t.co/9r4Bx8EMfX
@GEDCouncil https://t.co/RROCGyCbRC</t>
  </si>
  <si>
    <t>#TIESS2021 get the opportunity to listen to Hon. Ministers &amp;amp; Education Reformists, globally.
Join the talks with H.E. Mr. Hussein Ibrahim Al Hammadi, Minister of Education, Ministry of Education, Government of UAE, UAE
@MOEducationUAE 
Register now https://t.co/N3Kc3zshJD https://t.co/HypEQfKLMr</t>
  </si>
  <si>
    <t>At #TIESS2021 – The International Education &amp;amp; Skill Summit, Join the talks with H.E. Dr. Abdulla Rasheed, Minister of State for Education, Government of Republic of Maldives, Maldives @ARasheedgn @MoEdumv
Register Now https://t.co/w4J7op5MIh
#TIESSGoesVirtual #UnitingForEducation https://t.co/RoXtHWX4Lg</t>
  </si>
  <si>
    <t>Very much looking forward to contributing to #TIESS2021 #tiessgoesvirtual #UnitingForEducation @Indiadidac @UNESCOICT4D on 27th Jan https://t.co/4WKRfBhBju speaking about our new report on education for the most marginalised #emmpostcovid19 https://t.co/CX9sRG6Eyo</t>
  </si>
  <si>
    <t>At #TIESS2021 – The International Education &amp;amp; Skill Summit, Join the talks with Prof. @TimUnwin @UNESCO Chair in ICT4D, UNESCO, UK @UNESCOICT4D
Register Now https://t.co/s3cRYirbBD
#TIESSGoesVirtual #UnitingForEducation https://t.co/jnoGxyevW9</t>
  </si>
  <si>
    <t>#TIESS2021 The countdown begins to the biggest ever virtual conference for the education and skills sector. 
Get Ready to meet the most influential global leaders in education! 
30,000+ Delegates| 80+ Countries| 150+ Speakers
#tiessgoesvirtual #UnitingForEducation https://t.co/iJdZH0cpXD</t>
  </si>
  <si>
    <t>At #TIESS2021 – Join the conversation on advancements in education with Ms. Radha Chauhan, Additional Chief Secretary, Technical Education, Vocational Education &amp;amp; Skill development, Government of Uttar Pradesh, India @UPGovt 
Register https://t.co/WbzNAOlsZb 
#TIESSGoesVirtual https://t.co/zx1AcPgdIX</t>
  </si>
  <si>
    <t>At #TIESS2021 Join the talks with Global Education Leaders. Participate to listen to Ms. Diana El-Azar, Senior Director - Strategic Communications, Minerva, Switzerland
@diana_elazar
Register Now https://t.co/5NLgM2mZWv
#TIESSGoesVirtual #UnitingForEducation https://t.co/yLIvHDp8IM</t>
  </si>
  <si>
    <t>At #TIESS2021 – The International Education &amp;amp; Skill Summit, Join the dialogue on advancements in Education with Ms. Chelsea Waite, Research Fellow, Clayton Christensen Institute, USA @chelseawaite @ChristensenInst 
Register Now https://t.co/hnOsPJXPg6
#TIESSGoesVirtual https://t.co/ZSbYe0nUrw</t>
  </si>
  <si>
    <t>At #TIESS2021 Join the dialogue on Technology in Education with Ms. Iris Lapinski, Founder-Apps for Good, Freelance Consultant on Technology &amp;amp; Education, Germany
Register Now https://t.co/66SZmjnJnH @irislapinski
#TIESSGoesVirtual #UnitingForEducation https://t.co/BPQ6GmSRKm</t>
  </si>
  <si>
    <t>At #TIESS2021 you have the opportunity to listen to the most distinguished leaders in Education. Join the talks with @Gus_Education , President &amp;amp; Chief Revenue Officer, Stealth Mode, USA. 
Register Now - https://t.co/xiYphgZKYb 
#TIESSGoesVirtual #UnitingForEducation https://t.co/JDQjP8pS0n</t>
  </si>
  <si>
    <t>At #TIESS2021 you have the opportunity to listen to the most distinguished leaders in Education. Join the talks with Dr. Gus Schmedlen, President &amp;amp; Chief Revenue Officer, Stealth Mode, USA. @Gus_Education 
Register Now - https://t.co/xiYphgZKYb 
#TIESSGoesVirtual https://t.co/xTK0FEb7tA</t>
  </si>
  <si>
    <t>At #TIESS2021 Join the talks with Global Education Leaders. Listen to Ms. Michelle Wade, Commissioner to South Asia, State Government of Victoria, Australia @michellewade99
Register Now https://t.co/XIfZKQFm8w
#TIESSGoesVirtual #UnitingForEducation https://t.co/cYiWAKqhV2</t>
  </si>
  <si>
    <t>#TIESS2021 – Presenting global education leaders for thought provoking discussions on the future of education. Join the dialogue with Ms. Rachel Musson, Founding Director, Thought Box Education, UK
Register Now https://t.co/zBd1305jEl
@thoughtbox_ed 
#TIESSGoesVirtual https://t.co/ZnoJxhjC92</t>
  </si>
  <si>
    <t>At #TIESS2021 –Join the dialogue with Dr. Russell J. Quaglia, Executive Director, Quaglia Institute for School Voice &amp;amp; Aspirations, USA and Explore the advancements in education. @DrRussQ
Register Now https://t.co/GMO3MlZWoJ
#TIESSGoesVirtual #UnitingForEducation https://t.co/0ebC9YtVem</t>
  </si>
  <si>
    <t>#TIESS2021 – A great opportunity to Join the conversation with @ShaiReshef , Founder, University of the People, USA only at The International Education &amp;amp; Skill Summit. @UoPeople 
Register Now - https://t.co/IR6Q2OKDOt
#TIESSGoesVirtual  #UnitingForEducation https://t.co/ohbFqaOo4f</t>
  </si>
  <si>
    <t>#TIESS2021 - The world's largest virtual conference on education and skills sector, is all set to unite the global education leaders to collaborate for thoughtful deliberations &amp;amp; discussion on the Future of Education. 
Register now - https://t.co/dmY6H0s4ZC 
#TIESSGoesVirtual https://t.co/goVAOAnvt6</t>
  </si>
  <si>
    <t>At #TIESS2021 meet 
Rt. Hon. Damian Hinds MP, Member of Parliament for 
East Hampshire and Former Secretary of State for Education, Government of United Kingdom, UK 
@DamianHinds @educationgovuk 
@besatweet @CJPWright @connect_aditya 
Register Now https://t.co/AVYJGG7ZkQ https://t.co/5jZAckPCl8</t>
  </si>
  <si>
    <t>Meet the Global Education Leaders at #TIESS2021. Join the dialogue with @CJPWright Director General, @besatweet , UK, on the Future of Education. 
Register Now https://t.co/q71OXVNFwb
#TIESSGoesVirtual #UnitingForEducation https://t.co/cDUbdQ2lMb</t>
  </si>
  <si>
    <t>At #TIESS2021 –the Global Education Leadership Summit, Join the talks with Mr. Sharath Jeevan, Executive Chairman, Intrinsic Labs, UK @sharath36
Register Now https://t.co/n3PwiPTOfu
#TIESSGoesVirtual #UnitingForEducation https://t.co/IY6aQsfZaH</t>
  </si>
  <si>
    <t>#TIESS2021 Listen to thoughtful deliberations on the Future of Education with renowned International Education Leaders. Join the Dialogue with Prof. Dr. Ger Graus OBE, Global Director of Education, Kidzania, UK
Register Now https://t.co/2F0k4h6oZd
#TIESSGoesVirtual @GrausGer https://t.co/607VriKft1</t>
  </si>
  <si>
    <t>#TIESS2021 – A phenomenal opportunity to Join the conversation with Mr. Ollie Bray , Global Director, Connecting Play and Education, The Lego Foundation, Denmark @olliebray 
Only at #TIESS2021 
Register Now - https://t.co/jm5HUbmCfN
#TIESSGoesVirtual #UnitingForEducation https://t.co/MAslgTUUoz</t>
  </si>
  <si>
    <t>#TIESS2021 –Join the talks with Dr. Michael S. Karlin
Associate Director of the Center for Compassion, Integrity and Secular Ethics and Assistant Professor of Psychology, Life University, USA @CIT_CCISE
Register Now https://t.co/HH6ddeV0C2
#TIESSGoesVirtual #UnitingForEducation https://t.co/o0HfX8IBrC</t>
  </si>
  <si>
    <t>Become an integral part of #TIESS2021 by joining the conversation with Ms. Anju Sharma, IAS
Principal Secretary, Higher &amp;amp; Technical Education
Government of Gujarat, India @anju_sharma_ind
Register now https://t.co/LDQuVbbVtM
#TIESSGoesVirtual #UnitingForEducation https://t.co/2XIWfjIIq0</t>
  </si>
  <si>
    <t>At #TIESS2021 Listen to Hon. Ministers, Education Reformists &amp;amp; Renowned Education Stakeholders globally. 
Join the conversation with Mr. Manish Sisodia , 
Deputy Chief Minister and Minister of Education, Government of Delhi, India @msisodia 
Register now https://t.co/bWn9kGUqBO https://t.co/eAq8cQxzN7</t>
  </si>
  <si>
    <t>#TIESS2021 Listen to renowned International Education Leaders. Join the conversation with Mr. Gavin Dykes, Programme Director, Education World Forum &amp;amp; the Asian Summit on Education &amp;amp; Skills, UK @gavindk 
Register https://t.co/PPpipqbIo5
#TIESSGoesVirtual #UnitingForEducation https://t.co/wQMb3tPX5o</t>
  </si>
  <si>
    <t>#TIESS2021 Starts tomorrow! 
Register Now - https://t.co/fKG4TiSMxq
The International Education &amp;amp; Skill Summit – 12th Edition https://t.co/P5mbTDflnQ via @India Education,Education News India,Education News  | India Education Diary</t>
  </si>
  <si>
    <t>Become an integral part of #TIESS2021 and Join the conversation with Mr. Yao Ydo Director, UNESCO International Bureau of Education, Switzerland
Register now https://t.co/DkjnQ7iwZa
#TIESSGoesVirtual #UnitingForEducation
@IBE_UNESCO @YaoYdo 
#TIESSGoesVirtual #UnitingForEducation https://t.co/9DdYy3Ts7L</t>
  </si>
  <si>
    <t>#TIESS2021 A big shout to all Partnering Org,
Intl. Associations and Supporting Entities
@Global_Vic @AWS_Gov @AWS_Edu @awscloud 
@coursera @TCS_iON @iborganization @D2L @NatureNurturecd @TheEWF @besatweet Cell Cove Innovation
Register: https://t.co/2CnCMab1UY 
#TIESSGoesVirtual https://t.co/M4HS4JxxGn</t>
  </si>
  <si>
    <t>A phenomenal opportunity to Join the conversation with Ms. Sally Holloway, Deputy Director General, @iborganization, UK, only at #TIESS2021
Register now https://t.co/h4rnIADvkD
#TIESSGoesVirtual #UnitingForEducation https://t.co/qrXga3bgh0</t>
  </si>
  <si>
    <t>At #TIESS2021 you have the opportunity to listen to the most distinguished leaders in Education. Join the talks with Mr. Krishnan C.A., Business Unit Head-Higher Education, @TCS_iON, Tata Consultancy Services Ltd., India
Register Now - https://t.co/nUcaDsUPpV
#TIESSGoesVirtual https://t.co/boQ57Kg0FN</t>
  </si>
  <si>
    <t>#TIESS2021 A remarkable opportunity to listen to renowned International Education Leaders. Join the talks Mr. Jeff Maggioncalda, Chief Executive Officer, @Coursera USA
Register Now https://t.co/V85BI8j4Y8
#TIESSGoesVirtual #UnitingForEducation https://t.co/7eCqcOPd3C</t>
  </si>
  <si>
    <t>At #TIESS2021 – The International Education &amp;amp; Skill Summit, Join the conversation with Mr. Raghav Gupta
Managing Director - India &amp;amp; APAC, @Coursera, India
Register Now https://t.co/eMWJgIDg95
#TIESSGoesVirtual #UnitingForEducation https://t.co/NSxsR2wL4X</t>
  </si>
  <si>
    <t>At #TIESS2021 – The International Education &amp;amp; Skill Summit, Join the conversation with Mr. Lokesh Mehra, 
Head AWS Academy, India &amp;amp; South Asia, WWPS
Amazon Internet Services Pvt. Ltd (AWS)
Register Now https://t.co/vzOPYsTPgl
@awscloud 
#TIESSGoesVirtual #UnitingForEducation https://t.co/wSMQBLKaO1</t>
  </si>
  <si>
    <t>Join #UoPeople Founder &amp;amp; President @ShaiReshef this Thursday, January 28th at #TIESS2021, for a conversation about the future of higher education. Register now: https://t.co/1pRgBo6HKO #TIESSGoesVirtual #UnitingForEducation #TuitionFree #HigherEducation https://t.co/EoPE1GUvqC</t>
  </si>
  <si>
    <t>I'm hosting a couple of panels at this exciting event running later this week - one on empathy and the second on the balance between competition and collaboration! Do join me if you are able #TIESS2021 https://t.co/HhEaIrhBft</t>
  </si>
  <si>
    <t>#TIESS2021 
Join the conversation with H.E. Mr. Almazbek Beishenaliev
Minister of Education and Science, Government of Kyrgyzstan, Kyrgyzstan
Register now https://t.co/gBuJoPR2rY
#TIESSGoesVirtual #UnitingForEducation https://t.co/upcQqidf64</t>
  </si>
  <si>
    <t>Get amazing insights on advancement in education only at #TIESS2021. Join the talks with Ms. Diana Makau, Principal Research Officer, Kenya National Examinations Council, Kenya, Register Now: https://t.co/NZhiXJgvFw
#TIESSGoesVirtual #UnitingForEducation https://t.co/29XdGcPe41</t>
  </si>
  <si>
    <t>#TIESS2021 Deliberate on the Future of Education with renowned International Education Leaders. 
Join the Dialogue with H.E. Mme Sengdeuane Lachanthaboun, Minister for Education and Sports, Government of Lao PDR, Lao PDR
Register Now https://t.co/0SS17iep3q
#TIESSGoesVirtual https://t.co/uvfRHNTGfJ</t>
  </si>
  <si>
    <t>At #TIESS2021 Join the talks with
Dr. Teerakiat Jareonsettasin, Chair, National 
PISA Committee - OECD &amp;amp; President, Foundation for Good Kids, Former Minister of Education, Thailand
Register Now https://t.co/IPBFFyM8Wr
#TIESSGoesVirtual #UnitingForEducation https://t.co/mjkzj8Umz9</t>
  </si>
  <si>
    <t>At #TIESS2021 Participate in conversations with 
Ms. Samantha Adams Becker, Executive Director, 
Creative &amp;amp; Communications, Arizona State University, 
USA @sambeckertweets
Register Now - https://t.co/xQ2t3hG8zB
#TIESSGoesVirtual #UnitingForEducation https://t.co/Sz2BynyLWm</t>
  </si>
  <si>
    <t>At #TIESS2021 – The International Education &amp;amp; Skill Summit, Join the conversation on Future of Education with Mr. Luis Pinto, Former Global Operations Partner,  
Learn Capital, USA
Register Now https://t.co/7QwiqO1FNe 
#TIESSGoesVirtual #UnitingForEducation https://t.co/fFsUuGtEcD</t>
  </si>
  <si>
    <t>#TIESS2021 – presenting global education leaders for thought provoking discussions on the future of education. Join the dialogue with Dr. Abas Basir, Minister of Higher Education, Government of Islamic Republic of Afghanistan, Afghanistan
Register Now https://t.co/AGFVnjyLhK https://t.co/EBhyHtef8N</t>
  </si>
  <si>
    <t>#TIESS2021 – A phenomenal opportunity to Join the conversation with Dr. Michael Karanja, External Evaluator and Program Design Specialist, IDLG Ltd, Kenya
Register Now https://t.co/jaYgoHCj1e
#TIESSGoesVirtual #UnitingForEducation https://t.co/5LkrILtphk</t>
  </si>
  <si>
    <t>At #TIESS2021 the Global Education Leadership Summit, Join the talks with Ms. Pooja Agarwal, Founder-Director, NatureNurture, India
Register Now https://t.co/c2dJUTV8XL
#TIESSGoesVirtual #UnitingForEducation https://t.co/523cfvcRQ2</t>
  </si>
  <si>
    <t>#TIESS2021 A remarkable opportunity to listen to renowned International Education Leaders. Join the talks with 
Ms. Susan Douglas, Chief Executive Officer, Eden Academy Trust, UK
Register Now https://t.co/cyOsAakjR6
#TIESSGoesVirtual #UnitingForEducation https://t.co/ExYdUFgFHK</t>
  </si>
  <si>
    <t>Become an integral part of #TIESS2021 by Joining the conversation with Mr. Jim Wynn, CEO, Imagine Education, UK. Register Now https://t.co/B75L6vqkG3
#TIESSGoesVirtual #UnitingForEducation https://t.co/M2O9bOH99P</t>
  </si>
  <si>
    <t>#TIESS2021 – Join the conversation with Ms. Lucy Hayter , Director of Generation Global, Tony Blair Institute for Global Change, UK at the World’s Leading Virtual Summit for Education &amp;amp; Skills Sector. @Gen_Global_ @LSHayter 
Register Now - https://t.co/89vUdLDRUK https://t.co/yfhSc6T374</t>
  </si>
  <si>
    <t>Get an amazing opportunity to Join the talks with 
Mr. Keith R. Krueger, CEO, Consortium of Schools Networking (CoSN), UK at #TIESS2021 - World’s Leading Virtual Summit for Education &amp;amp; Skills Sector. 
Register Now - https://t.co/dJAv1rlzyA
#TIESSGoesVirtual #UnitingForEducation https://t.co/AjBjkyLdSF</t>
  </si>
  <si>
    <t>At #TIESS2021 
Join the talks with Mr. Datuk P. Kamalanathan, Board member of Asian Institute of Medical Science Technology university and Education Bureau Head, Malaysian Indian Congresses, Former Deputy Minister of Education, Malaysia
Register now https://t.co/nKH9EOdbMd https://t.co/hbKT5GysQy</t>
  </si>
  <si>
    <t>#TIESS2021 – A great opportunity to Join the conversation with Mr. Dominic Savage, Forum Director, Education World Forum(EWF) and Asian Summit on Education &amp;amp; Skills (ASES), UK 
Register Now - https://t.co/YxdFa2SnTz
#TIESSGoesVirtual #UnitingForEducation https://t.co/yj16DmU2TL</t>
  </si>
  <si>
    <t>#TIESS2021 
Join the conversation with H.E. Dr. Naji Al Mahdi
CEO, National Institute for Vocational Education &amp;amp; Chief, Qualifications &amp;amp; Awards in Dubai &amp;amp; KHDA Board Member
Knowledge &amp;amp; Human Development Authority
Register Now https://t.co/9Lkr0cKwtD
#TIESSGoesVirtual https://t.co/DIO6kc32Xt</t>
  </si>
  <si>
    <t>#TIESS2021 A remarkable opportunity to listen to renowned International Education Leaders. 
Join the conversation Ms. Felicity Gillespie
Director, Kindred Foundation, UK
Register Now https://t.co/A7aSJo8UKM
#TIESSGoesVirtual #UnitingForEducation https://t.co/YLtNSwSM4x</t>
  </si>
  <si>
    <t>#TIESS2021 
The wait is almost over. Get Ready to meet the most influential global leaders in education! listen, collaborate and contribute to the Future of Education!!
30,000+ Delegates| 80+ Countries| 150+ Speakers! 
Only 1 day to go! 
#TIESSGoesVirtual #UnitingForEducation https://t.co/fHnWU4fByp</t>
  </si>
  <si>
    <t>Hear @LSHayter, Director for Generation Global, talk about developing positive attitudes &amp;amp; behaviours within formal education settings at #TIESS2021 by @Indiadidac on January 29th, 7:45 am GMT
Register now https://t.co/EioZpUlN9e
#TIESSGoesVirtual #UnitingForEducation https://t.co/3nVm5gImjo</t>
  </si>
  <si>
    <t>Join me this Thursday at #TIESS2021 – let’s discuss the future of #HigherEducation https://t.co/eB8HNqI9ZL https://t.co/2QOhPtJWRq</t>
  </si>
  <si>
    <t>_xD83D__xDE31_ Looking forward to presenting live “in India” tmrw at #TIESS2021 — the world’s largest virtual conference for the edu &amp;amp; skills sector. 
If anyone wants to know how I could possibly have less of a filter, find out live at this 3am breakout session. _xD83D__xDE2C_ https://t.co/A6uDuPqbP6 https://t.co/IuUU2DWQdk</t>
  </si>
  <si>
    <t>https://www.tiess.online/registration?utm_source=SM&amp;utm_medium=Krishnan&amp;utm_campaign=TIESS&amp;utm_term=040 https://twitter.com/Indiadidac/status/1352560149135671299</t>
  </si>
  <si>
    <t>https://www.tiess.online/registration?utm_source=Ollie&amp;utm_medium=SM&amp;utm_campaign=TIESS&amp;utm_term=029 https://twitter.com/Indiadidac/status/1352891698599223296</t>
  </si>
  <si>
    <t>https://www.tiess.online/registration?utm_source=PR&amp;utm_medium=SM&amp;utm_campaign=TIESS&amp;utm_term=050 https://indiaeducationdiary.in/the-international-education-skill-summit-12th-edition/</t>
  </si>
  <si>
    <t>tiess.online</t>
  </si>
  <si>
    <t>twitter.com</t>
  </si>
  <si>
    <t>tiess.online twitter.com</t>
  </si>
  <si>
    <t>tiess.online indiaeducationdiary.in</t>
  </si>
  <si>
    <t>bit.ly</t>
  </si>
  <si>
    <t>tiess2021 tiessgoesvirtual</t>
  </si>
  <si>
    <t>tiess2021 tiessgoesvirtual unitingforeducation</t>
  </si>
  <si>
    <t>tiess2021</t>
  </si>
  <si>
    <t>tcsion tiess2021</t>
  </si>
  <si>
    <t>tcsion tiess2021 education skills</t>
  </si>
  <si>
    <t>tiess2021 tiessgoesvirtual unitingforeducation staytuned</t>
  </si>
  <si>
    <t>tiessgoesvirtual unitingforeducation tiess2021</t>
  </si>
  <si>
    <t>tiess2021 tiessgoesvirtual unitingforeducation emmpostcovid19</t>
  </si>
  <si>
    <t>tiess2021 tiess2021 tiessgoesvirtual unitingforeducation</t>
  </si>
  <si>
    <t>tiess2021 tiessgoesvirtual unitingforeducation tiessgoesvirtual unitingforeducation</t>
  </si>
  <si>
    <t>uopeople tiess2021 tiessgoesvirtual unitingforeducation tuitionfree highereducation</t>
  </si>
  <si>
    <t>tiess2021 highereducation</t>
  </si>
  <si>
    <t>12:27:28</t>
  </si>
  <si>
    <t>13:13:42</t>
  </si>
  <si>
    <t>15:37:35</t>
  </si>
  <si>
    <t>06:11:25</t>
  </si>
  <si>
    <t>06:24:46</t>
  </si>
  <si>
    <t>09:55:26</t>
  </si>
  <si>
    <t>12:07:16</t>
  </si>
  <si>
    <t>16:03:00</t>
  </si>
  <si>
    <t>20:34:45</t>
  </si>
  <si>
    <t>09:42:59</t>
  </si>
  <si>
    <t>08:50:58</t>
  </si>
  <si>
    <t>09:02:28</t>
  </si>
  <si>
    <t>09:41:02</t>
  </si>
  <si>
    <t>11:16:04</t>
  </si>
  <si>
    <t>11:33:15</t>
  </si>
  <si>
    <t>13:36:16</t>
  </si>
  <si>
    <t>15:28:03</t>
  </si>
  <si>
    <t>15:44:29</t>
  </si>
  <si>
    <t>16:32:50</t>
  </si>
  <si>
    <t>17:07:46</t>
  </si>
  <si>
    <t>06:41:00</t>
  </si>
  <si>
    <t>12:57:33</t>
  </si>
  <si>
    <t>13:13:39</t>
  </si>
  <si>
    <t>13:51:10</t>
  </si>
  <si>
    <t>02:57:27</t>
  </si>
  <si>
    <t>04:52:05</t>
  </si>
  <si>
    <t>16:24:36</t>
  </si>
  <si>
    <t>16:26:59</t>
  </si>
  <si>
    <t>18:32:40</t>
  </si>
  <si>
    <t>07:48:24</t>
  </si>
  <si>
    <t>08:10:47</t>
  </si>
  <si>
    <t>13:21:04</t>
  </si>
  <si>
    <t>17:36:31</t>
  </si>
  <si>
    <t>09:12:10</t>
  </si>
  <si>
    <t>10:28:40</t>
  </si>
  <si>
    <t>08:34:02</t>
  </si>
  <si>
    <t>11:54:54</t>
  </si>
  <si>
    <t>12:23:29</t>
  </si>
  <si>
    <t>11:34:13</t>
  </si>
  <si>
    <t>13:12:34</t>
  </si>
  <si>
    <t>09:19:37</t>
  </si>
  <si>
    <t>11:40:07</t>
  </si>
  <si>
    <t>11:42:51</t>
  </si>
  <si>
    <t>10:51:07</t>
  </si>
  <si>
    <t>10:55:12</t>
  </si>
  <si>
    <t>18:03:14</t>
  </si>
  <si>
    <t>14:24:39</t>
  </si>
  <si>
    <t>04:42:01</t>
  </si>
  <si>
    <t>12:40:22</t>
  </si>
  <si>
    <t>04:51:26</t>
  </si>
  <si>
    <t>11:44:13</t>
  </si>
  <si>
    <t>05:13:40</t>
  </si>
  <si>
    <t>07:07:39</t>
  </si>
  <si>
    <t>05:48:08</t>
  </si>
  <si>
    <t>09:11:47</t>
  </si>
  <si>
    <t>07:29:16</t>
  </si>
  <si>
    <t>14:16:09</t>
  </si>
  <si>
    <t>09:24:56</t>
  </si>
  <si>
    <t>15:26:23</t>
  </si>
  <si>
    <t>11:04:58</t>
  </si>
  <si>
    <t>06:48:23</t>
  </si>
  <si>
    <t>07:27:54</t>
  </si>
  <si>
    <t>07:53:50</t>
  </si>
  <si>
    <t>08:32:46</t>
  </si>
  <si>
    <t>08:50:49</t>
  </si>
  <si>
    <t>09:05:08</t>
  </si>
  <si>
    <t>09:47:04</t>
  </si>
  <si>
    <t>20:09:13</t>
  </si>
  <si>
    <t>11:41:34</t>
  </si>
  <si>
    <t>13:06:33</t>
  </si>
  <si>
    <t>10:37:25</t>
  </si>
  <si>
    <t>20:05:32</t>
  </si>
  <si>
    <t>11:14:03</t>
  </si>
  <si>
    <t>11:56:57</t>
  </si>
  <si>
    <t>12:26:08</t>
  </si>
  <si>
    <t>13:11:17</t>
  </si>
  <si>
    <t>05:26:29</t>
  </si>
  <si>
    <t>13:12:30</t>
  </si>
  <si>
    <t>13:30:10</t>
  </si>
  <si>
    <t>14:06:03</t>
  </si>
  <si>
    <t>14:25:03</t>
  </si>
  <si>
    <t>10:07:08</t>
  </si>
  <si>
    <t>14:59:49</t>
  </si>
  <si>
    <t>15:14:50</t>
  </si>
  <si>
    <t>05:56:05</t>
  </si>
  <si>
    <t>05:57:55</t>
  </si>
  <si>
    <t>07:34:45</t>
  </si>
  <si>
    <t>13:43:26</t>
  </si>
  <si>
    <t>07:49:01</t>
  </si>
  <si>
    <t>09:47:45</t>
  </si>
  <si>
    <t>07:55:22</t>
  </si>
  <si>
    <t>08:58:45</t>
  </si>
  <si>
    <t>08:11:31</t>
  </si>
  <si>
    <t>08:23:17</t>
  </si>
  <si>
    <t>15:36:59</t>
  </si>
  <si>
    <t>11:07:57</t>
  </si>
  <si>
    <t>13:44:20</t>
  </si>
  <si>
    <t>11:16:36</t>
  </si>
  <si>
    <t>19:03:55</t>
  </si>
  <si>
    <t>13:05:09</t>
  </si>
  <si>
    <t>12:31:58</t>
  </si>
  <si>
    <t>13:06:27</t>
  </si>
  <si>
    <t>13:12:00</t>
  </si>
  <si>
    <t>13:45:04</t>
  </si>
  <si>
    <t>13:45:29</t>
  </si>
  <si>
    <t>14:48:18</t>
  </si>
  <si>
    <t>06:11:48</t>
  </si>
  <si>
    <t>09:07:42</t>
  </si>
  <si>
    <t>14:44:24</t>
  </si>
  <si>
    <t>06:29:45</t>
  </si>
  <si>
    <t>10:14:03</t>
  </si>
  <si>
    <t>09:25:10</t>
  </si>
  <si>
    <t>09:27:34</t>
  </si>
  <si>
    <t>06:02:22</t>
  </si>
  <si>
    <t>06:42:31</t>
  </si>
  <si>
    <t>16:04:34</t>
  </si>
  <si>
    <t>11:46:04</t>
  </si>
  <si>
    <t>12:32:25</t>
  </si>
  <si>
    <t>16:02:56</t>
  </si>
  <si>
    <t>16:17:48</t>
  </si>
  <si>
    <t>21:13:31</t>
  </si>
  <si>
    <t>21:15:28</t>
  </si>
  <si>
    <t>21:10:13</t>
  </si>
  <si>
    <t>22:41:16</t>
  </si>
  <si>
    <t>09:08:04</t>
  </si>
  <si>
    <t>11:43:21</t>
  </si>
  <si>
    <t>05:52:16</t>
  </si>
  <si>
    <t>08:08:53</t>
  </si>
  <si>
    <t>09:31:47</t>
  </si>
  <si>
    <t>11:01:37</t>
  </si>
  <si>
    <t>11:30:53</t>
  </si>
  <si>
    <t>12:07:55</t>
  </si>
  <si>
    <t>13:24:13</t>
  </si>
  <si>
    <t>13:54:30</t>
  </si>
  <si>
    <t>14:35:01</t>
  </si>
  <si>
    <t>10:21:20</t>
  </si>
  <si>
    <t>10:23:49</t>
  </si>
  <si>
    <t>10:37:51</t>
  </si>
  <si>
    <t>10:57:26</t>
  </si>
  <si>
    <t>11:36:43</t>
  </si>
  <si>
    <t>13:29:33</t>
  </si>
  <si>
    <t>14:25:51</t>
  </si>
  <si>
    <t>10:28:23</t>
  </si>
  <si>
    <t>10:29:48</t>
  </si>
  <si>
    <t>07:06:22</t>
  </si>
  <si>
    <t>08:34:27</t>
  </si>
  <si>
    <t>23:10:14</t>
  </si>
  <si>
    <t>15:42:29</t>
  </si>
  <si>
    <t>01:18:58</t>
  </si>
  <si>
    <t>01:48:17</t>
  </si>
  <si>
    <t>11:29:24</t>
  </si>
  <si>
    <t>1351506560044867585</t>
  </si>
  <si>
    <t>1351518195753119746</t>
  </si>
  <si>
    <t>1351554405607342081</t>
  </si>
  <si>
    <t>1352136699527143425</t>
  </si>
  <si>
    <t>1352140061400154114</t>
  </si>
  <si>
    <t>1352193075167150082</t>
  </si>
  <si>
    <t>1352226254569705478</t>
  </si>
  <si>
    <t>1352285578167951362</t>
  </si>
  <si>
    <t>1352353963513884679</t>
  </si>
  <si>
    <t>1352189941955104772</t>
  </si>
  <si>
    <t>1352539241809653760</t>
  </si>
  <si>
    <t>1352542134734381056</t>
  </si>
  <si>
    <t>1352551841687609351</t>
  </si>
  <si>
    <t>1352575755960520704</t>
  </si>
  <si>
    <t>1352580081382785026</t>
  </si>
  <si>
    <t>1352611038970036226</t>
  </si>
  <si>
    <t>1352639169378406401</t>
  </si>
  <si>
    <t>1352643306338086916</t>
  </si>
  <si>
    <t>1352655470876622856</t>
  </si>
  <si>
    <t>1352664264851419136</t>
  </si>
  <si>
    <t>1352868919334191104</t>
  </si>
  <si>
    <t>1352963682049863680</t>
  </si>
  <si>
    <t>1352967736616382464</t>
  </si>
  <si>
    <t>1352977174513389568</t>
  </si>
  <si>
    <t>1353175050661158913</t>
  </si>
  <si>
    <t>1353203897716772864</t>
  </si>
  <si>
    <t>1353378177737875459</t>
  </si>
  <si>
    <t>1353378776885944320</t>
  </si>
  <si>
    <t>1353410403955482631</t>
  </si>
  <si>
    <t>1353610656533028868</t>
  </si>
  <si>
    <t>1353616290334695429</t>
  </si>
  <si>
    <t>1353694374698344448</t>
  </si>
  <si>
    <t>1353758661160562688</t>
  </si>
  <si>
    <t>1351457412163760134</t>
  </si>
  <si>
    <t>1353650989438365704</t>
  </si>
  <si>
    <t>1353984532081385472</t>
  </si>
  <si>
    <t>1354035081317281792</t>
  </si>
  <si>
    <t>1354042273831542786</t>
  </si>
  <si>
    <t>1351493161688866816</t>
  </si>
  <si>
    <t>1351517909080805376</t>
  </si>
  <si>
    <t>1352546450945748994</t>
  </si>
  <si>
    <t>1351494643142201344</t>
  </si>
  <si>
    <t>1351857720375320576</t>
  </si>
  <si>
    <t>1351844702404833282</t>
  </si>
  <si>
    <t>1351845726834212873</t>
  </si>
  <si>
    <t>1353040611230801920</t>
  </si>
  <si>
    <t>1351898436954595333</t>
  </si>
  <si>
    <t>1352114202047991809</t>
  </si>
  <si>
    <t>1352596971740131330</t>
  </si>
  <si>
    <t>1352116573113208833</t>
  </si>
  <si>
    <t>1354032391900323840</t>
  </si>
  <si>
    <t>1352122167668862978</t>
  </si>
  <si>
    <t>1352150851188625408</t>
  </si>
  <si>
    <t>1352130841325944834</t>
  </si>
  <si>
    <t>1352182089622249474</t>
  </si>
  <si>
    <t>1352156293260222465</t>
  </si>
  <si>
    <t>1352258686211776517</t>
  </si>
  <si>
    <t>1352185400450715649</t>
  </si>
  <si>
    <t>1352276361109528577</t>
  </si>
  <si>
    <t>1352210574285836289</t>
  </si>
  <si>
    <t>1352508393248813056</t>
  </si>
  <si>
    <t>1352518334571401217</t>
  </si>
  <si>
    <t>1352524861923422217</t>
  </si>
  <si>
    <t>1352534660060876801</t>
  </si>
  <si>
    <t>1352539203251314690</t>
  </si>
  <si>
    <t>1352542806426804227</t>
  </si>
  <si>
    <t>1352553356284153856</t>
  </si>
  <si>
    <t>1353434704154943489</t>
  </si>
  <si>
    <t>1352582174596358147</t>
  </si>
  <si>
    <t>1353690725431599104</t>
  </si>
  <si>
    <t>1352566027909881859</t>
  </si>
  <si>
    <t>1353433777599557633</t>
  </si>
  <si>
    <t>1352575249158529028</t>
  </si>
  <si>
    <t>1352586044688879618</t>
  </si>
  <si>
    <t>1352593389095628806</t>
  </si>
  <si>
    <t>1352604749959368708</t>
  </si>
  <si>
    <t>1352125390752366594</t>
  </si>
  <si>
    <t>1352605055203983369</t>
  </si>
  <si>
    <t>1352609502156087298</t>
  </si>
  <si>
    <t>1352618533872525312</t>
  </si>
  <si>
    <t>1352623314431143940</t>
  </si>
  <si>
    <t>1352920797350793217</t>
  </si>
  <si>
    <t>1352632063707336706</t>
  </si>
  <si>
    <t>1352635841407971330</t>
  </si>
  <si>
    <t>1351770452776030208</t>
  </si>
  <si>
    <t>1351770916988940291</t>
  </si>
  <si>
    <t>1352882449177481216</t>
  </si>
  <si>
    <t>1352612840104882176</t>
  </si>
  <si>
    <t>1352886036251037697</t>
  </si>
  <si>
    <t>1352915919509610497</t>
  </si>
  <si>
    <t>1352887633848881153</t>
  </si>
  <si>
    <t>1352903588729794560</t>
  </si>
  <si>
    <t>1352891698599223296</t>
  </si>
  <si>
    <t>1352894659857530880</t>
  </si>
  <si>
    <t>1353003804623577088</t>
  </si>
  <si>
    <t>1352936102189912064</t>
  </si>
  <si>
    <t>1353700232026968065</t>
  </si>
  <si>
    <t>1354025440386576385</t>
  </si>
  <si>
    <t>1353418268443357184</t>
  </si>
  <si>
    <t>1353690369167392768</t>
  </si>
  <si>
    <t>1354044406815363072</t>
  </si>
  <si>
    <t>1354053086218608642</t>
  </si>
  <si>
    <t>1354054483286716417</t>
  </si>
  <si>
    <t>1354062802986672128</t>
  </si>
  <si>
    <t>1354062909417123841</t>
  </si>
  <si>
    <t>1354078719250460673</t>
  </si>
  <si>
    <t>1353586348117028867</t>
  </si>
  <si>
    <t>1353993003128545281</t>
  </si>
  <si>
    <t>1352628185117061123</t>
  </si>
  <si>
    <t>1353590864707162118</t>
  </si>
  <si>
    <t>1352560149135671299</t>
  </si>
  <si>
    <t>1353635009425338370</t>
  </si>
  <si>
    <t>1353635615615541248</t>
  </si>
  <si>
    <t>1352134421097324545</t>
  </si>
  <si>
    <t>1353956465287995392</t>
  </si>
  <si>
    <t>1354097912154890246</t>
  </si>
  <si>
    <t>1351496140764504065</t>
  </si>
  <si>
    <t>1351507806915096578</t>
  </si>
  <si>
    <t>1354097498713939968</t>
  </si>
  <si>
    <t>1354101241673084930</t>
  </si>
  <si>
    <t>1354175658981777413</t>
  </si>
  <si>
    <t>1354176149665021956</t>
  </si>
  <si>
    <t>1354174831877623809</t>
  </si>
  <si>
    <t>1354197742827012098</t>
  </si>
  <si>
    <t>1351456379308036104</t>
  </si>
  <si>
    <t>1351495458422591491</t>
  </si>
  <si>
    <t>1352494269450207234</t>
  </si>
  <si>
    <t>1352528648272629761</t>
  </si>
  <si>
    <t>1352549511986434050</t>
  </si>
  <si>
    <t>1352572120753033218</t>
  </si>
  <si>
    <t>1352579484180860929</t>
  </si>
  <si>
    <t>1352588803874070534</t>
  </si>
  <si>
    <t>1352608007167741953</t>
  </si>
  <si>
    <t>1352615625869324288</t>
  </si>
  <si>
    <t>1352625823094763521</t>
  </si>
  <si>
    <t>1352924371090776066</t>
  </si>
  <si>
    <t>1352924996251729920</t>
  </si>
  <si>
    <t>1352928524621889537</t>
  </si>
  <si>
    <t>1352933456553021440</t>
  </si>
  <si>
    <t>1352943341902520330</t>
  </si>
  <si>
    <t>1352971736552067073</t>
  </si>
  <si>
    <t>1353348293070266369</t>
  </si>
  <si>
    <t>1353650920182013953</t>
  </si>
  <si>
    <t>1353651277788454914</t>
  </si>
  <si>
    <t>1353962468263878659</t>
  </si>
  <si>
    <t>1353984633231208448</t>
  </si>
  <si>
    <t>1354205033919770626</t>
  </si>
  <si>
    <t>1354092352420327424</t>
  </si>
  <si>
    <t>1354237429079707650</t>
  </si>
  <si>
    <t>1354244808706031618</t>
  </si>
  <si>
    <t>1351491947609767937</t>
  </si>
  <si>
    <t/>
  </si>
  <si>
    <t>en</t>
  </si>
  <si>
    <t>Twitter Web App</t>
  </si>
  <si>
    <t>Twitter for Android</t>
  </si>
  <si>
    <t>Twitter for iPhone</t>
  </si>
  <si>
    <t>TweetDeck</t>
  </si>
  <si>
    <t xml:space="preserve">Falcon Social Media Management </t>
  </si>
  <si>
    <t>-7.66085699743185,54.6336309570711 
-0.740025000483186,54.6336309570711 
-0.740025000483186,60.8452769694519 
-7.66085699743185,60.8452769694519</t>
  </si>
  <si>
    <t>United Kingdom</t>
  </si>
  <si>
    <t>GB</t>
  </si>
  <si>
    <t>Scotland, United Kingdom</t>
  </si>
  <si>
    <t>0af014accd6f6e99</t>
  </si>
  <si>
    <t>Scotland</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</si>
  <si>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</si>
  <si>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</si>
  <si>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</si>
  <si>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</si>
  <si>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</si>
  <si>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</si>
  <si>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</si>
  <si>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</si>
  <si>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</si>
  <si>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</si>
  <si>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</si>
  <si>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</si>
  <si>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</si>
  <si>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</si>
  <si>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</si>
  <si>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</si>
  <si>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</si>
  <si>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</si>
  <si>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</si>
  <si>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</si>
  <si>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</si>
  <si>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</si>
  <si>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</si>
  <si>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Mohit Parihar</t>
  </si>
  <si>
    <t>Fachportal Pädagogik</t>
  </si>
  <si>
    <t>OECD Education</t>
  </si>
  <si>
    <t>Andreas Schleicher</t>
  </si>
  <si>
    <t>Julián Alberto Montes - Montes Inc.</t>
  </si>
  <si>
    <t>Hina Bhagwani</t>
  </si>
  <si>
    <t>Amazon Web Services</t>
  </si>
  <si>
    <t>Srihari R Kasaraneni</t>
  </si>
  <si>
    <t>Shail</t>
  </si>
  <si>
    <t>Swaroop Rawal</t>
  </si>
  <si>
    <t>_xD83C__xDDEE__xD83C__xDDF3_Meenakshi Pai _xD83C__xDDEE__xD83C__xDDF3_</t>
  </si>
  <si>
    <t>Shivani Mishra</t>
  </si>
  <si>
    <t>Christalla Jamil  FCCT</t>
  </si>
  <si>
    <t>Paulina Tervo</t>
  </si>
  <si>
    <t>Serdar Ferit</t>
  </si>
  <si>
    <t>Pati Keilwerth</t>
  </si>
  <si>
    <t>Education Estonia _xD83C__xDDEA__xD83C__xDDEA_</t>
  </si>
  <si>
    <t>Marco Rüth</t>
  </si>
  <si>
    <t>OECD ➡️ Better policies for better lives</t>
  </si>
  <si>
    <t>AGBS Noida</t>
  </si>
  <si>
    <t>Atul Chauhan</t>
  </si>
  <si>
    <t>What’s in the name_xD83E__xDD37_‍♀️</t>
  </si>
  <si>
    <t>Amity University</t>
  </si>
  <si>
    <t>ANJANI K. BHATNAGAR</t>
  </si>
  <si>
    <t>Fons Stoelinga</t>
  </si>
  <si>
    <t>Atal Innovation Mission Official</t>
  </si>
  <si>
    <t>Ramanan Ramanathan</t>
  </si>
  <si>
    <t>NITI Aayog</t>
  </si>
  <si>
    <t>Bhilai भिलाई</t>
  </si>
  <si>
    <t>Dr. Gaurav Sood, PhD</t>
  </si>
  <si>
    <t>muriel</t>
  </si>
  <si>
    <t>Ollie Bray</t>
  </si>
  <si>
    <t>Dr. Santanu Gupta</t>
  </si>
  <si>
    <t>Aizad Khursheed</t>
  </si>
  <si>
    <t>Mehul Chavda</t>
  </si>
  <si>
    <t>Agastya International Foundation</t>
  </si>
  <si>
    <t>Mukesh</t>
  </si>
  <si>
    <t>Nationalist Sanatan Singh Bhardwaj</t>
  </si>
  <si>
    <t>Afreen Bushra</t>
  </si>
  <si>
    <t>Take Action Global #GoalsProject</t>
  </si>
  <si>
    <t>Koen Timmers</t>
  </si>
  <si>
    <t>Educate Lanka</t>
  </si>
  <si>
    <t>Manjula Dissanayake</t>
  </si>
  <si>
    <t>TCS iON</t>
  </si>
  <si>
    <t>Tata Consultancy Services</t>
  </si>
  <si>
    <t>Krishnan C.A.</t>
  </si>
  <si>
    <t>a5h0k</t>
  </si>
  <si>
    <t>(°v°) Dr Svetlana Belic Malinic</t>
  </si>
  <si>
    <t>Debije Jules</t>
  </si>
  <si>
    <t>Thiagarajan.K</t>
  </si>
  <si>
    <t>Dr. Emmanuel Muvunyi, Ed.D</t>
  </si>
  <si>
    <t>Kwame Akyeampong</t>
  </si>
  <si>
    <t>Dianamwai</t>
  </si>
  <si>
    <t>Gavin Dykes</t>
  </si>
  <si>
    <t>World OMEP</t>
  </si>
  <si>
    <t>Pratham Education Foundation</t>
  </si>
  <si>
    <t>Moira Kelly</t>
  </si>
  <si>
    <t>EXPLO</t>
  </si>
  <si>
    <t>LYFTA _xD83C__xDF0D__xD83D__xDC77__xD83C__xDFFB_‍♂️_xD83D__xDC69_‍_xD83C__xDFA4__xD83D__xDC73__xD83C__xDFFE_‍♂️_xD83D__xDC69__xD83C__xDFFC_‍_xD83D__xDD27__xD83E__xDDD5__xD83C__xDFFC__xD83D__xDC69__xD83C__xDFFF_‍_xD83D__xDD2C_</t>
  </si>
  <si>
    <t>Joysy John</t>
  </si>
  <si>
    <t>Kristen Weatherby</t>
  </si>
  <si>
    <t>miguel brechner</t>
  </si>
  <si>
    <t>Saku Tuominen</t>
  </si>
  <si>
    <t>Gun Oker-Blom</t>
  </si>
  <si>
    <t>GEDC</t>
  </si>
  <si>
    <t>وزارة التربية</t>
  </si>
  <si>
    <t>Ministry of Education</t>
  </si>
  <si>
    <t>Abdulla Rasheed Ahmed</t>
  </si>
  <si>
    <t>Tim Unwin</t>
  </si>
  <si>
    <t>UNESCO ICT4D Chair</t>
  </si>
  <si>
    <t>UNESCO _xD83C__xDFDB_️ #Education #Sciences #Culture _xD83C__xDDFA__xD83C__xDDF3__xD83D__xDE37_</t>
  </si>
  <si>
    <t>Government of UP</t>
  </si>
  <si>
    <t>Diana El-Azar</t>
  </si>
  <si>
    <t>ChristensenInstitute</t>
  </si>
  <si>
    <t>Chelsea Waite</t>
  </si>
  <si>
    <t>Iris Lapinski</t>
  </si>
  <si>
    <t>Gus Schmedlen</t>
  </si>
  <si>
    <t>Michelle Wade</t>
  </si>
  <si>
    <t>ThoughtBox</t>
  </si>
  <si>
    <t>Dr. Russell Quaglia</t>
  </si>
  <si>
    <t>Aditya Gupta</t>
  </si>
  <si>
    <t>UoPeople</t>
  </si>
  <si>
    <t>Shai Reshef</t>
  </si>
  <si>
    <t>Caroline Wright</t>
  </si>
  <si>
    <t>Department for Education</t>
  </si>
  <si>
    <t>Damian Hinds</t>
  </si>
  <si>
    <t>Sharath Jeevan</t>
  </si>
  <si>
    <t>Ger Graus</t>
  </si>
  <si>
    <t>Compassionate Integrity Training (CIT)</t>
  </si>
  <si>
    <t>Anju Sharma</t>
  </si>
  <si>
    <t>Manish Sisodia</t>
  </si>
  <si>
    <t>India</t>
  </si>
  <si>
    <t>Yao Ydo</t>
  </si>
  <si>
    <t>IBE-UNESCO</t>
  </si>
  <si>
    <t>CIET-NCERT</t>
  </si>
  <si>
    <t>BESA</t>
  </si>
  <si>
    <t>EducationWorldForum</t>
  </si>
  <si>
    <t>D2L</t>
  </si>
  <si>
    <t>International Baccalaureate</t>
  </si>
  <si>
    <t>Coursera</t>
  </si>
  <si>
    <t>AWS Education</t>
  </si>
  <si>
    <t>AWS for Government</t>
  </si>
  <si>
    <t>Global Victoria</t>
  </si>
  <si>
    <t>Stazanuel#1day=1000Years</t>
  </si>
  <si>
    <t>Yinka Adeosun #SaveHumanity</t>
  </si>
  <si>
    <t>David Bartram</t>
  </si>
  <si>
    <t>Susan Douglas</t>
  </si>
  <si>
    <t>Rachel Higginson</t>
  </si>
  <si>
    <t>Olga Toulkeridou</t>
  </si>
  <si>
    <t>Sam Becker’s anxiety tweets</t>
  </si>
  <si>
    <t>Lucy Hayter</t>
  </si>
  <si>
    <t>Generation Global</t>
  </si>
  <si>
    <t>Ian A. Setiawan</t>
  </si>
  <si>
    <t>anni kumar</t>
  </si>
  <si>
    <t>1147877774</t>
  </si>
  <si>
    <t>1150868467</t>
  </si>
  <si>
    <t>876712760918380544</t>
  </si>
  <si>
    <t>115097756</t>
  </si>
  <si>
    <t>114476497</t>
  </si>
  <si>
    <t>480135019</t>
  </si>
  <si>
    <t>222109723</t>
  </si>
  <si>
    <t>2315176879</t>
  </si>
  <si>
    <t>66780587</t>
  </si>
  <si>
    <t>18668836</t>
  </si>
  <si>
    <t>870953412212514816</t>
  </si>
  <si>
    <t>804667111851356160</t>
  </si>
  <si>
    <t>284530476</t>
  </si>
  <si>
    <t>1611809881</t>
  </si>
  <si>
    <t>1898160470</t>
  </si>
  <si>
    <t>40439437</t>
  </si>
  <si>
    <t>118653864</t>
  </si>
  <si>
    <t>71223415</t>
  </si>
  <si>
    <t>1199190354571993088</t>
  </si>
  <si>
    <t>4913844581</t>
  </si>
  <si>
    <t>25390350</t>
  </si>
  <si>
    <t>864433327482253312</t>
  </si>
  <si>
    <t>85585265</t>
  </si>
  <si>
    <t>1233833268195315719</t>
  </si>
  <si>
    <t>135636426</t>
  </si>
  <si>
    <t>2942594190</t>
  </si>
  <si>
    <t>1091424774</t>
  </si>
  <si>
    <t>745514456910749698</t>
  </si>
  <si>
    <t>27184780</t>
  </si>
  <si>
    <t>1244137812</t>
  </si>
  <si>
    <t>35103756</t>
  </si>
  <si>
    <t>405516092</t>
  </si>
  <si>
    <t>774377078</t>
  </si>
  <si>
    <t>6896272</t>
  </si>
  <si>
    <t>1055658545578831876</t>
  </si>
  <si>
    <t>1281114619247906816</t>
  </si>
  <si>
    <t>1280115607460028417</t>
  </si>
  <si>
    <t>744897618</t>
  </si>
  <si>
    <t>1184549062407684097</t>
  </si>
  <si>
    <t>1213533391380893696</t>
  </si>
  <si>
    <t>1196117986874146817</t>
  </si>
  <si>
    <t>1125026847631335425</t>
  </si>
  <si>
    <t>149593681</t>
  </si>
  <si>
    <t>23865930</t>
  </si>
  <si>
    <t>224936174</t>
  </si>
  <si>
    <t>786708547</t>
  </si>
  <si>
    <t>18929773</t>
  </si>
  <si>
    <t>85012839</t>
  </si>
  <si>
    <t>75494435</t>
  </si>
  <si>
    <t>2630725175</t>
  </si>
  <si>
    <t>596694153</t>
  </si>
  <si>
    <t>132441468</t>
  </si>
  <si>
    <t>392619588</t>
  </si>
  <si>
    <t>3620625675</t>
  </si>
  <si>
    <t>279100601</t>
  </si>
  <si>
    <t>60656229</t>
  </si>
  <si>
    <t>2278444440</t>
  </si>
  <si>
    <t>61758661</t>
  </si>
  <si>
    <t>3308357962</t>
  </si>
  <si>
    <t>870615055</t>
  </si>
  <si>
    <t>734272932101361664</t>
  </si>
  <si>
    <t>397584020</t>
  </si>
  <si>
    <t>408425924</t>
  </si>
  <si>
    <t>30571034</t>
  </si>
  <si>
    <t>97509586</t>
  </si>
  <si>
    <t>2180545366</t>
  </si>
  <si>
    <t>3072533729</t>
  </si>
  <si>
    <t>524425486</t>
  </si>
  <si>
    <t>2224450008</t>
  </si>
  <si>
    <t>431661314</t>
  </si>
  <si>
    <t>19706254</t>
  </si>
  <si>
    <t>781866355834380288</t>
  </si>
  <si>
    <t>20646711</t>
  </si>
  <si>
    <t>2588841246</t>
  </si>
  <si>
    <t>284682072</t>
  </si>
  <si>
    <t>18228921</t>
  </si>
  <si>
    <t>98993403</t>
  </si>
  <si>
    <t>35698562</t>
  </si>
  <si>
    <t>702199014184263680</t>
  </si>
  <si>
    <t>2281389973</t>
  </si>
  <si>
    <t>1118234844478279681</t>
  </si>
  <si>
    <t>1924036020</t>
  </si>
  <si>
    <t>101746319</t>
  </si>
  <si>
    <t>38130326</t>
  </si>
  <si>
    <t>21413547</t>
  </si>
  <si>
    <t>4881249112</t>
  </si>
  <si>
    <t>143039548</t>
  </si>
  <si>
    <t>14561015</t>
  </si>
  <si>
    <t>19811396</t>
  </si>
  <si>
    <t>738824280717299712</t>
  </si>
  <si>
    <t>1294045862633644034</t>
  </si>
  <si>
    <t>379279695</t>
  </si>
  <si>
    <t>30417501</t>
  </si>
  <si>
    <t>1276481</t>
  </si>
  <si>
    <t>1258367819667865606</t>
  </si>
  <si>
    <t>3190562235</t>
  </si>
  <si>
    <t>823527849520939009</t>
  </si>
  <si>
    <t>54844123</t>
  </si>
  <si>
    <t>2803437122</t>
  </si>
  <si>
    <t>29375475</t>
  </si>
  <si>
    <t>11791912</t>
  </si>
  <si>
    <t>352053266</t>
  </si>
  <si>
    <t>2983147266</t>
  </si>
  <si>
    <t>2983205617</t>
  </si>
  <si>
    <t>2836256348</t>
  </si>
  <si>
    <t>1308172683826397184</t>
  </si>
  <si>
    <t>70358789</t>
  </si>
  <si>
    <t>458474511</t>
  </si>
  <si>
    <t>20229666</t>
  </si>
  <si>
    <t>910065097942470657</t>
  </si>
  <si>
    <t>2203601300</t>
  </si>
  <si>
    <t>18809290</t>
  </si>
  <si>
    <t>522361141</t>
  </si>
  <si>
    <t>221436145</t>
  </si>
  <si>
    <t>1115262008234926080</t>
  </si>
  <si>
    <t>1475735804</t>
  </si>
  <si>
    <t>DIDAC INDIA is Asia's Largest and India's Only Annual Int'l Exhibition &amp; Conference for Educational and Training Resources. #DidacIndia2020 #UnitingForEducation</t>
  </si>
  <si>
    <t>Lead Strategic Alliances - DIDAC INDIA</t>
  </si>
  <si>
    <t>Wissenschaftl. Fachinformationen für #Bildungsforschung #Erziehungswissenschaft #Fachdidaktik - #Forschungsdaten #Fachliteratur #forschungsrelevante Linktipps</t>
  </si>
  <si>
    <t>OECD work on education and skills provides policy makers with the information they need to improve the quality of education worldwide.</t>
  </si>
  <si>
    <t>OECD - Fostering education &amp; skills to help individuals and nations identify and develop the knowledge and skills which are key to a better and fairer society.</t>
  </si>
  <si>
    <t>The exclusive membership Association in the country dedicated to the #education &amp; #skills fraternity engaged in improving #learning and #teaching.</t>
  </si>
  <si>
    <t>Ph. D. en formación. Estudios comparados de Antropología social, Psicología cognitiva e Historia de la Educación.</t>
  </si>
  <si>
    <t>Sometimes the hardest part isn't letting go but rather learning to start over - ...</t>
  </si>
  <si>
    <t>Official Twitter Feed for Amazon Web Services. For support, go to @AWSSupport.</t>
  </si>
  <si>
    <t>Ahimsa towards all</t>
  </si>
  <si>
    <t>A teacher, an actor, an author. I believe Life skills education is a form of education that has the power to transform society. Proud to be followed by PM Modi</t>
  </si>
  <si>
    <t>ॐ सर्वे भवन्तु सुखिनः
सर्वे सन्तु निरामयाः ।
सर्वे भद्राणि पश्यन्तु
मा कश्चिद्दुःखभाग्भवेत् ।
ॐ शान्तिः 
ॐ शान्तिः 
शान्तिः !
शिव ही सत्य हैं !
Hello 2021 _xD83D__xDC95__xD83D__xDE4B_‍</t>
  </si>
  <si>
    <t>Director, Department of Social Work Sardar Patel, Vallabh Vidyanagar Gujarat India</t>
  </si>
  <si>
    <t>Executive Headteacher @SPAHacademy, National Leader @WomenEdEngland Be fearless in the pursuit of what sets your soul on fire #10%Braver All views my own </t>
  </si>
  <si>
    <t>Co-CEO and Co-Founder @LyftaEd telling stories to inspire the next generation of global citizens</t>
  </si>
  <si>
    <t>Filmmaker, teacher, dad, Londoner. Proudly co-leading a phenomenal group of people to support educators with @LyftaEd</t>
  </si>
  <si>
    <t>into film, crossmedia storytelling, transmedia, digital distribution, filmproduction with a baked in crossmedia strategy</t>
  </si>
  <si>
    <t>Your official source on Estonian education | Know-how | Digital solutions | Cooperation</t>
  </si>
  <si>
    <t>Researcher @UniCologne.
Tweets on #EdTech, #ELearning, #VideoGames, and #EyeTracking.
Views are mine.</t>
  </si>
  <si>
    <t>The Organisation for Economic Co-operation &amp; Development promotes better #policies for #BetterLives around the world.
_xD83D__xDC49_ Follow @A_Gurria ✍️ DMs open</t>
  </si>
  <si>
    <t>Official twitter account of Amity Global Business School (AGBS),Noida- known for its academic excellence and global outlook.Retweets(RTs) are not endorsements.</t>
  </si>
  <si>
    <t>President of not-for-profit Amity Education Group. 175,000+ students in Universities/schools across 15 Countries. India, London, New York, Singapore, Dubai...</t>
  </si>
  <si>
    <t>Entrepreneur. founder @ shall update soon ⏳ Hobbies : _xD83C__xDFDD_⛰, _xD83D__xDD8B_ , _xD83C__xDFA7_, _xD83D__xDE98_, _xD83E__xDD58_, _xD83C__xDF77_, _xD83C__xDDEE__xD83C__xDDF3_ Stay safe _xD83D__xDE37_</t>
  </si>
  <si>
    <t>Amity University is a leading Non-Profit University. Ranked in top 3% globally. Part of Amity Education Group with 150,000 students in 11 countries</t>
  </si>
  <si>
    <t>private account of former Dutch Ambassador to India, now back in Europe</t>
  </si>
  <si>
    <t>Atal Innovation Mission is NITI Aayog's endeavour to foster innovation and entrepreneurship in schools, colleges and society at large. RTs are not endorsements.</t>
  </si>
  <si>
    <t>Mission Director - Atal Innovation Mission - National Institution for Transforming India - NITI Aayog - Govt of India - MD &amp; CEO CMC Ltd (2003-2015)- TCS</t>
  </si>
  <si>
    <t>NITI Aayog (National Institution for Transforming India) serves as a Think Tank of the Government, a directional &amp; policy dynamo. RT does not imply endorsement.</t>
  </si>
  <si>
    <t>There's a little bit of SAIL in everybody's life | सेल स्टील ...सर्वोत्तम स्टील | सशक्त भारत...फौलादी इस्पात ... @Bhilai, RT do not imply endorsement.</t>
  </si>
  <si>
    <t>Thought Leader | Brand evangelist | Author | Columnist | Professor of Marketing at Amity School of Business, Amity University</t>
  </si>
  <si>
    <t>Using playful approaches &amp; digital technology to improve the lives of children &amp; young people in classrooms, schools &amp; education systems. @legofoundation</t>
  </si>
  <si>
    <t>INSPIRE Faculty, SACON</t>
  </si>
  <si>
    <t>Assistant Professor, 
Amity University</t>
  </si>
  <si>
    <t>MS Dhoni lover</t>
  </si>
  <si>
    <t>Sparking curiosity and nurturing creativity among children and teachers in rural India through innovative and experiential science education programs.</t>
  </si>
  <si>
    <t>Education enthusiast</t>
  </si>
  <si>
    <t>@ORGANIC TEACHER</t>
  </si>
  <si>
    <t>L!V£ Ł!F€_xD83D__xDC78_$!Ž€!!!
#TeachSDGsAmbassadorCohort5#Acad.Coordinator/HODEngMUNFacultyAdvisor#CED-GTE/IPNGlobalTeacher2020# MIEExpert#AdobeCreativeEducatorL1n2#</t>
  </si>
  <si>
    <t>Working to amplify messages of social good and social action through classrooms of students. #TakeActionEdu #GoalsProject #ClimateActionP #ProjectKakuma</t>
  </si>
  <si>
    <t>Founder Climate Action Project: 2.5M students / 138 countries taking action | Author | Speaker</t>
  </si>
  <si>
    <t>Talent is Universal. Opportunity is Not. We're on a mission to democratize opportunity for everyone. Join us.</t>
  </si>
  <si>
    <t>Banker turned social entrepreneur. Founder, @EducateLanka. #education in mind. #nature at heart. #equity in vision. TEDx: https://t.co/4eCiqw7muS</t>
  </si>
  <si>
    <t>A Strategic Business Unit of Tata Consultancy Services focused on Educational Institutions, Exam Boards and Manufacturing Industries.</t>
  </si>
  <si>
    <t>We are constantly engaging with our stakeholders to step up and rise to the occasion. We are #OneTCS. TCS is purely a merit-based employer.</t>
  </si>
  <si>
    <t>Client Partner, TCS</t>
  </si>
  <si>
    <t>Expect the Unexpected</t>
  </si>
  <si>
    <t>Academic Director: glowing when learning, growing when teaching, inspiring when creating, rising when lifting others
_xD83D__xDCA1_➕❤➕_xD83E__xDDE0_=_xD83C__xDF4E_</t>
  </si>
  <si>
    <t>Knowing Is NotEnough, WeMustApply; Willing Is NotEnough, WeMustDo. Goethe
Promoting #SafeSupportiveEnvironments To #Prevent #Abuse
#ClimateChange #Mitigation</t>
  </si>
  <si>
    <t>After a 33 year Corporate career full of pinnacles and pitfalls, now truly happy doing socially relevant work at Agastya</t>
  </si>
  <si>
    <t>Tweets reflect my personal opinion. With RTs, I mean read this, not endorsement.</t>
  </si>
  <si>
    <t>Professor of International Education and Development</t>
  </si>
  <si>
    <t>I am a socio-economic and development worker, catalyzing change in the society to improve the quality of life of people in Kenya and Afrika.</t>
  </si>
  <si>
    <t>supporting learning through technology by working with governments, agencies, charities and corporations</t>
  </si>
  <si>
    <t>OMEP is an international non-governmental organisation that defends and promotes the rights of the child to education and care worldwide.</t>
  </si>
  <si>
    <t>Providing quality education to children and vocational skills to youth across India.</t>
  </si>
  <si>
    <t>#CEO @ExploLive. Cultivating more curiosity, exploration and humanity in teaching and learning.  https://t.co/gixECMcIEa</t>
  </si>
  <si>
    <t>Our passion is education. Our mission is to make creative learning a way of life. EXPLO: Learning Through Exploration</t>
  </si>
  <si>
    <t>An award-winning platform providing teachers &amp; students access to immersive stories to humanise diversity, nurture empathy, global awareness &amp; critical thinking</t>
  </si>
  <si>
    <t>Edtech Advisor. Mother. Speaker. Formerly at @nesta_uk, @AdaCollege, @startlead. Passionate about technology education, impact investments &amp; empowering women.</t>
  </si>
  <si>
    <t>Education consultant with big love for edtech and teachers! Formerly at UCL IOE, OECD, Microsoft and in the classroom.</t>
  </si>
  <si>
    <t>Fundador del Plan Ceibal y presidente desde 2007 hasta 28/2/2020. Fotografo Deportivo, Educacion , Tecnologia , innovacion y Maratones en el mundo</t>
  </si>
  <si>
    <t>Founder and creative director of HundrED.  An entrepreneur, innovator, author, keynote -speaker, olive oil producer, forward, an idealist.</t>
  </si>
  <si>
    <t>Investigator for the Finnish Ministry of Education, former Director, Education and ECEC in Swedish, Finnish National Agency for Education</t>
  </si>
  <si>
    <t>We bring together engineering education leaders to transform schools in support of societies in a global economy.
Facebook: GEDCofficial
Instagram: gedcofficial</t>
  </si>
  <si>
    <t>الحساب الرسمي لوزارة التربية والتعليم في الإمارات العربية المتحدة The Official Account of The Ministry of Education - UAE</t>
  </si>
  <si>
    <t>Official twitter account of Ministry of Education, Republic of Maldives. https://t.co/6n6ujGoRP8</t>
  </si>
  <si>
    <t>Minister of State for Education. Head of the National Institute of Education. Former Vice Rector of Avid College. The best principal of the Maldives in 2010.</t>
  </si>
  <si>
    <t>UNESCO Chair in ICT4D; Emeritus Prof of Geography, Royal Holloway, University of London; Honorary Professor, Lanzhou University; Shujaa; views my own; _xD83C__xDDEA__xD83C__xDDFA__xD83D__xDE37__xD83D__xDC99_</t>
  </si>
  <si>
    <t>Building peace where it starts - in the minds of men &amp; women.</t>
  </si>
  <si>
    <t>Official Twitter handle of the Government of Uttar Pradesh, Lucknow, India.
उत्तर प्रदेश सरकार का आधिकारिक अकाउंट</t>
  </si>
  <si>
    <t>With a focus on education, healthcare, and global prosperity, the Institute works to create positive social change through the power of Disruptive Innovation.</t>
  </si>
  <si>
    <t>bookworm, intermittent writer, cat person, &amp; researcher @ChristensenInst</t>
  </si>
  <si>
    <t>Growing the next generation of problem solvers: Chair of Apps for Good, working with Junior Achievement</t>
  </si>
  <si>
    <t>Stealth mode
 ---------------  
Opinions my own</t>
  </si>
  <si>
    <t>Commissioner South Asia for Victoria, Australia.  Growing linkages and business opportunities between India, Sri Lanka, Nepal, Pakistan and Victoria, Australia</t>
  </si>
  <si>
    <t>Supporting 1600+ schools across 55 countries by helping young people build positive relationships to allow people and planet to flourish.</t>
  </si>
  <si>
    <t>Dedicated to ensuring that ALL voices in the educational community are listened to, learned from, and acted upon.</t>
  </si>
  <si>
    <t>CEO, India Didactics Association @IndiaDidac, @DidacIndia #Education #Skills . Father, Husband, Son &amp; a proud Indian. Views expressed here are personal.</t>
  </si>
  <si>
    <t>University of the People is the Education Revolution. It is the world's first non-profit, tuition-free, American accredited, online university.</t>
  </si>
  <si>
    <t>President of @UoPeople: Non-profit, tuition-free, accredited, online university. When traveling for business, colleagues are permitted to post on my behalf.</t>
  </si>
  <si>
    <t>Director General, British Educational Suppliers Association</t>
  </si>
  <si>
    <t>Official Twitter account for the Department for Education, covering education, children’s services, HE &amp; FE, apprenticeships, skills in England.</t>
  </si>
  <si>
    <t>Member of Parliament for East Hampshire. 
For ALL correspondence, questions and casework, please use: damian.hinds.mp@parliament.uk</t>
  </si>
  <si>
    <t>Helping to re-ignite inner-drive. Motivation Expert &amp; Author. 
I DON’T USE TWITTER - please connect on LinkedIn: https://t.co/rmh5OrScUP</t>
  </si>
  <si>
    <t>Global Education Director. KidZania. Traveller. Happy. Dad. Husband. Friend. Two sausage dogs. Dutch. Settled status. Views are my own &amp; retweets just that.</t>
  </si>
  <si>
    <t>Contemplative practices designed to reinforce compassion through common humanity, kindness and reciprocity. We are one world. Join us.  #compassionateaction</t>
  </si>
  <si>
    <t>IAS officer, Principal Secretary, Higher &amp; Technical Education, Government of Gujarat. RTs not endorsements.Tweets are personal views.</t>
  </si>
  <si>
    <t>Not sure if I'm a politician, activist, reader, writer, journalist or.. But I'm an Indian. I like Gandhi, because he always moved ahead of his own identity</t>
  </si>
  <si>
    <t>Bee Network</t>
  </si>
  <si>
    <t>Acting Director @IBE_UNESCO. Regional Director for West Africa @UNESCO_Abuja. RTs aren't endorsement.</t>
  </si>
  <si>
    <t>The @UNESCO's International Bureau of Education works towards a world where each &amp; everyone is assured quality #education &amp; #learning.</t>
  </si>
  <si>
    <t>Official Twitter account of Central Institute of Educational Technology, NCERT</t>
  </si>
  <si>
    <t>We are the UK's leading trade association for educational suppliers with over 400 members. Please note: RTs are not necessarily endorsements.</t>
  </si>
  <si>
    <t>This is the official Twitter account for the Education World Forum. For Forum news and announcements, please visit https://t.co/yUGvcCkcWa. #EWF2017</t>
  </si>
  <si>
    <t>We created Brightspace—the easy, flexible, and smart Learning Platform. Need assistance? We've got @BrightspaceHelp.</t>
  </si>
  <si>
    <t>The International Baccalaureate offers high quality programmes of education to a worldwide community of schools. 
@IBPYP @IBMYP @IB_DP @IB_C_P @IBAlumniNetwork</t>
  </si>
  <si>
    <t>#LearnWithoutLimits on Coursera. Access online courses and degrees from world-class universities and companies. Visit https://t.co/Cj0u57I7Vf for support.</t>
  </si>
  <si>
    <t>Updates, resources, events, &amp; news about ☁️  education &amp; #AWSEducate. Follow our other #AWSPublicSector accounts: @AWS_Nonprofits &amp; @AWS_Gov</t>
  </si>
  <si>
    <t>Info on AWS resources, events, news, products &amp; services for national &amp; state/local governments. Also follow us at: @AWS_Edu &amp; @AWS_Nonprofits</t>
  </si>
  <si>
    <t>Helping your export business go global. Get ready for the journey, assess your export capabilities on our website: https://t.co/zuwlpiQB2M</t>
  </si>
  <si>
    <t>#maths learner. Solving world's mathematical unsolved problems. 
Dedicated mathematician.
Seeking to know more in the world of mathematics &amp; AI.#maths twitter</t>
  </si>
  <si>
    <t>All human lives matters under heavens! Advocate of Common Sense,
#SaveHumanity From The Beast!</t>
  </si>
  <si>
    <t>Director Prescient Education | Trustee @KPMGFoundation | Author SEND Review Guide Editor Great Expectations | Advisor Timpson Review| Partner @WholeEducation</t>
  </si>
  <si>
    <t>CEO of the Eden Academy Trust, Senior Schools Adviser at the British Council, Trustee of NFER and StARTEd. All views my own</t>
  </si>
  <si>
    <t>Mission: education innovation. Passionate about supporting the most vulnerable to succeed...</t>
  </si>
  <si>
    <t>Lifelong learner. Believer in edu for all. Mom w/ dad humor. The anonymous aardvark in your google doc. Exec director @asu_uto @shapingedu. Views are my own.</t>
  </si>
  <si>
    <t>Director of Generation Global @institutegc - follow me for all things global citizenship education and international development. All comments are my own.</t>
  </si>
  <si>
    <t>We provide global learning and dialogue opportunities, helping to prevent religious conflict and extremism. An initiative of @InstituteGC</t>
  </si>
  <si>
    <t>I am a Coptic Church Servant in Indonesia
Studies Master Degree in Education at UoPeople
Philanthropic - Working on a mission to build a Tuition-Free School.</t>
  </si>
  <si>
    <t>_xD83D__xDE42_MIEE since 2016, HOD CSc, author of books DigitalWorld,MypersonalComputer,ComputerBrowser classes(1-8), AdobeCreative,CleverBook&amp;Wakelet Ambassador,</t>
  </si>
  <si>
    <t>New Delhi, India</t>
  </si>
  <si>
    <t>Frankfurt am Main, Deutschland</t>
  </si>
  <si>
    <t>Paris, France</t>
  </si>
  <si>
    <t>Paris</t>
  </si>
  <si>
    <t>Colombia</t>
  </si>
  <si>
    <t>Seattle, WA</t>
  </si>
  <si>
    <t>Hyderabad, India</t>
  </si>
  <si>
    <t>Mumbai, India</t>
  </si>
  <si>
    <t>_xD83C__xDDEE__xD83C__xDDF3_ भारत_xD83C__xDDEE__xD83C__xDDF3_</t>
  </si>
  <si>
    <t>Anand, Gujarat</t>
  </si>
  <si>
    <t>London Borough of Haringey</t>
  </si>
  <si>
    <t>London, England</t>
  </si>
  <si>
    <t>London, Helsinki</t>
  </si>
  <si>
    <t>Berlin, Deutschland</t>
  </si>
  <si>
    <t>Estonia</t>
  </si>
  <si>
    <t>Cologne, Germany</t>
  </si>
  <si>
    <t>Noida, India</t>
  </si>
  <si>
    <t>New Delhi, Delhi</t>
  </si>
  <si>
    <t>The Hague, Athens, New Delhi</t>
  </si>
  <si>
    <t>Mumbai</t>
  </si>
  <si>
    <t>wester ross</t>
  </si>
  <si>
    <t>Scotland / Denmark / Worldwide</t>
  </si>
  <si>
    <t>Coimbatore, India</t>
  </si>
  <si>
    <t>22 States</t>
  </si>
  <si>
    <t>Begusarai, India</t>
  </si>
  <si>
    <t>Global</t>
  </si>
  <si>
    <t>Belgium</t>
  </si>
  <si>
    <t>_xD83C__xDF10_ Citizen</t>
  </si>
  <si>
    <t>Worldwide</t>
  </si>
  <si>
    <t>Chennai</t>
  </si>
  <si>
    <t>Canada</t>
  </si>
  <si>
    <t>Bangalore</t>
  </si>
  <si>
    <t>Kigali, Rwanda</t>
  </si>
  <si>
    <t xml:space="preserve">The Open University, UK </t>
  </si>
  <si>
    <t>Nairobi, Kenya</t>
  </si>
  <si>
    <t>London</t>
  </si>
  <si>
    <t>21 Indian states</t>
  </si>
  <si>
    <t>The Exploration Center, MA</t>
  </si>
  <si>
    <t>London, UK</t>
  </si>
  <si>
    <t>England</t>
  </si>
  <si>
    <t>Uruguay www.miguelbrechner.com</t>
  </si>
  <si>
    <t>Helsinki</t>
  </si>
  <si>
    <t>United States</t>
  </si>
  <si>
    <t>UAE</t>
  </si>
  <si>
    <t>Maldives</t>
  </si>
  <si>
    <t>Male, Maldives</t>
  </si>
  <si>
    <t>England (Europe)</t>
  </si>
  <si>
    <t>Lucknow</t>
  </si>
  <si>
    <t>San Francisco Bay Area</t>
  </si>
  <si>
    <t>Tacoma, WA</t>
  </si>
  <si>
    <t>London/ Berlin</t>
  </si>
  <si>
    <t>Sugartown, PA USA</t>
  </si>
  <si>
    <t>Bengaluru, India</t>
  </si>
  <si>
    <t>Totnes, England</t>
  </si>
  <si>
    <t>New Delhi</t>
  </si>
  <si>
    <t>Virtual</t>
  </si>
  <si>
    <t>Alton, Hampshire</t>
  </si>
  <si>
    <t>London, happy Globetrotter</t>
  </si>
  <si>
    <t>_xD83C__xDF0E__xD83C__xDF0D__xD83C__xDF0F_</t>
  </si>
  <si>
    <t>Delhi</t>
  </si>
  <si>
    <t>Geneva, Switzerland</t>
  </si>
  <si>
    <t>Delhi, India</t>
  </si>
  <si>
    <t>Global Offices</t>
  </si>
  <si>
    <t>Victoria, Australia</t>
  </si>
  <si>
    <t>Lagos, Nigeria</t>
  </si>
  <si>
    <t>New York, NY</t>
  </si>
  <si>
    <t>Rickmansworth, East</t>
  </si>
  <si>
    <t>Hazlemere</t>
  </si>
  <si>
    <t>UK</t>
  </si>
  <si>
    <t>Chicago, IL</t>
  </si>
  <si>
    <t>6 continents</t>
  </si>
  <si>
    <t>Wonosobo, Indonesia</t>
  </si>
  <si>
    <t>Open Twitter Page for This Person</t>
  </si>
  <si>
    <t>didacindia
#TIESS2021 The wait is almost over.
Get Ready to meet the most influential
global leaders in education! listen,
collaborate and contribute to the
Future of Education!! 30,000+ Delegates|
80+ Countries| 150+ Speakers! Only
1 day to go! #TIESSGoesVirtual
#UnitingForEducation https://t.co/fT5o63Mayu</t>
  </si>
  <si>
    <t>mohitsparihar
#TIESS2021 - The world's largest
virtual conference on education
and skills sector, is all set to
unite the global education leaders
to collaborate for thoughtful deliberations
&amp;amp; discussion on the Future
of Education. Register now - https://t.co/Iyb6jZOFvX
#TIESSGoesVirtual https://t.co/mfSU6Dclwm</t>
  </si>
  <si>
    <t>fachportalpaed
#TIESS2021 We are bringing together
the most eminent leaders from the
global education community. Join
dialogue with @SchleicherOECD ,
Director of Education and Skills,
@OECDEduSkills, Germany Register
Now - https://t.co/8Q4QRYA1xT #TIESSGoesVirtual
#UnitingForEducation https://t.co/hNjsviArbg</t>
  </si>
  <si>
    <t>oecdeduskills
Join Mr. Stephan Vincent Lancrin,
Deputy Head of Division and Senior
Analyst, @OECD , France only at
#TIESS2021 – The Global Virtual
Summit for Education &amp;amp; Skills
Sector Register Now: https://t.co/nUHNHp6WYN
#TIESSGoesVirtual #UnitingForEducation
https://t.co/IDbDYdAxFQ</t>
  </si>
  <si>
    <t>schleicheroecd
#TIESS2021 We are bringing together
the most eminent leaders from the
global education community. Join
dialogue with @SchleicherOECD ,
Director of Education and Skills,
@OECDEduSkills, Germany Register
Now - https://t.co/8Q4QRYA1xT #TIESSGoesVirtual
#UnitingForEducation https://t.co/hNjsviArbg</t>
  </si>
  <si>
    <t>indiadidac
Become an integral part of #TIESS2021
and Join the conversation with
Mr. Yao Ydo Director, UNESCO International
Bureau of Education, Switzerland
Register now https://t.co/DkjnQ7iwZa
#TIESSGoesVirtual #UnitingForEducation
@IBE_UNESCO @YaoYdo #TIESSGoesVirtual
#UnitingForEducation https://t.co/9DdYy3Ts7L</t>
  </si>
  <si>
    <t>untiporaro
#TIESS2021 We are bringing together
the most eminent leaders from the
global education community. Join
dialogue with @SchleicherOECD ,
Director of Education and Skills,
@OECDEduSkills, Germany Register
Now - https://t.co/8Q4QRYA1xT #TIESSGoesVirtual
#UnitingForEducation https://t.co/hNjsviArbg</t>
  </si>
  <si>
    <t>hinabhagwani
#TIESS2021 Listen to Mr. Jude Sheeran,
Lead - International Cloud Innovation
Programmes &amp;amp; International
Education Strategy, @awscloud UK
only at TIESS2021 World’s Largest
Virtual Summit for Education Register
now https://t.co/DUSINWwdnK #TIESSGoesVirtual
#UnitingForEducation https://t.co/0lyEhFrNrR</t>
  </si>
  <si>
    <t xml:space="preserve">awscloud
</t>
  </si>
  <si>
    <t>sarka003
#TIESS2021 Listen to Mr. Jude Sheeran,
Lead - International Cloud Innovation
Programmes &amp;amp; International
Education Strategy, @awscloud UK
only at TIESS2021 World’s Largest
Virtual Summit for Education Register
now https://t.co/DUSINWwdnK #TIESSGoesVirtual
#UnitingForEducation https://t.co/0lyEhFrNrR</t>
  </si>
  <si>
    <t>shail67330119
#TIESS2021 – A phenomenal opportunity
to Join the conversation with Dr.
@YoSwaroop COO, NEM Life Skills,
India only at TIESS2021 – World’s
Largest Virtual Summit for Education
&amp;amp; Skills sector. Register now
https://t.co/nspH0zc054 #TIESSGoesVirtual
#UnitingForEducation https://t.co/JSNdMkBqIU</t>
  </si>
  <si>
    <t>yoswaroop
#TIESS2021 – A phenomenal opportunity
to Join the conversation with Dr.
@YoSwaroop COO, NEM Life Skills,
India only at TIESS2021 – World’s
Largest Virtual Summit for Education
&amp;amp; Skills sector. Register now
https://t.co/nspH0zc054 #TIESSGoesVirtual
#UnitingForEducation https://t.co/JSNdMkBqIU</t>
  </si>
  <si>
    <t>meenakshipai
#TIESS2021 – A phenomenal opportunity
to Join the conversation with Dr.
@YoSwaroop COO, NEM Life Skills,
India only at TIESS2021 – World’s
Largest Virtual Summit for Education
&amp;amp; Skills sector. Register now
https://t.co/nspH0zc054 #TIESSGoesVirtual
#UnitingForEducation https://t.co/JSNdMkBqIU</t>
  </si>
  <si>
    <t>shivanikdmishra
#TIESS2021 – A phenomenal opportunity
to Join the conversation with Dr.
@YoSwaroop COO, NEM Life Skills,
India only at TIESS2021 – World’s
Largest Virtual Summit for Education
&amp;amp; Skills sector. Register now
https://t.co/nspH0zc054 #TIESSGoesVirtual
#UnitingForEducation https://t.co/JSNdMkBqIU</t>
  </si>
  <si>
    <t>christallaj
Really excited to be presenting
at #TIESS2021 next week. (Note:
I am the *Co*-CEO of Lyfta, along
with @PaulinaTervo - and together
we are greater than the sum of
our parts) https://t.co/S12aQO0zO9</t>
  </si>
  <si>
    <t xml:space="preserve">paulinatervo
</t>
  </si>
  <si>
    <t>serdarferit
Really excited to be presenting
at #TIESS2021 next week. (Note:
I am the *Co*-CEO of Lyfta, along
with @PaulinaTervo - and together
we are greater than the sum of
our parts) https://t.co/S12aQO0zO9</t>
  </si>
  <si>
    <t>patisseriefilm
Really excited to be presenting
at #TIESS2021 next week. (Note:
I am the *Co*-CEO of Lyfta, along
with @PaulinaTervo - and together
we are greater than the sum of
our parts) https://t.co/S12aQO0zO9</t>
  </si>
  <si>
    <t>estoniaedu
#TIESS2021 An outstanding opportunity
to listen to renowned International
Education Leaders. Join the talks
with Mr. Mart Laidmets, Secretary
General of Education and Research,
Government of Estonia, Estonia
Register Now https://t.co/4p1pEoPVub
#TIESSGoesVirtual https://t.co/QCXSF2pA0O</t>
  </si>
  <si>
    <t>m_rueth
Join Mr. Stephan Vincent Lancrin,
Deputy Head of Division and Senior
Analyst, @OECD , France only at
#TIESS2021 – The Global Virtual
Summit for Education &amp;amp; Skills
Sector Register Now: https://t.co/nUHNHp6WYN
#TIESSGoesVirtual #UnitingForEducation
https://t.co/IDbDYdAxFQ</t>
  </si>
  <si>
    <t xml:space="preserve">oecd
</t>
  </si>
  <si>
    <t>noidaagbs
Join the conversation with Dr.
Atul Chauhan, President- Amity
Education Group, Chancellor- Amity
Universities, India, Only at #TIESS2021-
World’s Leading Virtual Summit
for Education &amp;amp; Skills Sector.
@AmityPresident Register https://t.co/AJeECW38CR
#TIESSGoesVirtual https://t.co/uvjhIz8yCO</t>
  </si>
  <si>
    <t xml:space="preserve">amitypresident
</t>
  </si>
  <si>
    <t>adatewithcocoa
#TIESS2021 – A phenomenal opportunity
to Join the conversation with Dr.
@YoSwaroop COO, NEM Life Skills,
India only at TIESS2021 – World’s
Largest Virtual Summit for Education
&amp;amp; Skills sector. Register now
https://t.co/nspH0zc054 #TIESSGoesVirtual
#UnitingForEducation https://t.co/JSNdMkBqIU</t>
  </si>
  <si>
    <t>amityuni
Join the conversation with Dr.
Atul Chauhan, President- Amity
Education Group, Chancellor- Amity
Universities, India, Only at #TIESS2021-
World’s Leading Virtual Summit
for Education &amp;amp; Skills Sector.
@AmityPresident Register https://t.co/AJeECW38CR
#TIESSGoesVirtual https://t.co/uvjhIz8yCO</t>
  </si>
  <si>
    <t>anjani_kb
Join the conversation with Dr.
Atul Chauhan, President- Amity
Education Group, Chancellor- Amity
Universities, India, Only at #TIESS2021-
World’s Leading Virtual Summit
for Education &amp;amp; Skills Sector.
@AmityPresident Register https://t.co/AJeECW38CR
#TIESSGoesVirtual https://t.co/uvjhIz8yCO</t>
  </si>
  <si>
    <t>fonsstoelinga
Join the conversation with Dr.
Atul Chauhan, President- Amity
Education Group, Chancellor- Amity
Universities, India, Only at #TIESS2021-
World’s Leading Virtual Summit
for Education &amp;amp; Skills Sector.
@AmityPresident Register https://t.co/AJeECW38CR
#TIESSGoesVirtual https://t.co/uvjhIz8yCO</t>
  </si>
  <si>
    <t>aimtoinnovate
Join the conversation with Mr.
Ramanan Ramanathan, Mission Director
Atal Innovation Mission &amp;amp; Additional
Secretary, @NITIAayog, Govt. of
India, only at #TIESS2021 – The
World’s Largest Global Summit for
Education &amp;amp; Skills Sector.
@rramanan Register now https://t.co/1Yeyj0AImH
https://t.co/sQdcaxnmEo</t>
  </si>
  <si>
    <t xml:space="preserve">rramanan
</t>
  </si>
  <si>
    <t xml:space="preserve">nitiaayog
</t>
  </si>
  <si>
    <t>bhilai
Join the conversation with Mr.
Ramanan Ramanathan, Mission Director
Atal Innovation Mission &amp;amp; Additional
Secretary, @NITIAayog, Govt. of
India, only at #TIESS2021 – The
World’s Largest Global Summit for
Education &amp;amp; Skills Sector.
@rramanan Register now https://t.co/1Yeyj0AImH
https://t.co/sQdcaxnmEo</t>
  </si>
  <si>
    <t>imgauravsood
Join the conversation with Dr.
Atul Chauhan, President- Amity
Education Group, Chancellor- Amity
Universities, India, Only at #TIESS2021-
World’s Leading Virtual Summit
for Education &amp;amp; Skills Sector.
@AmityPresident Register https://t.co/AJeECW38CR
#TIESSGoesVirtual https://t.co/uvjhIz8yCO</t>
  </si>
  <si>
    <t>muriel21400928
Looking forward to presenting st
#TIESS2021 next week... Register
Now - https://t.co/MOHCuzZiVN #TIESSGoesVirtual
#UnitingForEducation https://t.co/IeEQhWeW74
https://t.co/L2mwa6QiRr</t>
  </si>
  <si>
    <t>olliebray
Looking forward to presenting st
#TIESS2021 next week... Register
Now - https://t.co/MOHCuzZiVN #TIESSGoesVirtual
#UnitingForEducation https://t.co/IeEQhWeW74
https://t.co/L2mwa6QiRr</t>
  </si>
  <si>
    <t>drsantanugupta
Join the conversation with Dr.
Atul Chauhan, President- Amity
Education Group, Chancellor- Amity
Universities, India, Only at #TIESS2021-
World’s Leading Virtual Summit
for Education &amp;amp; Skills Sector.
@AmityPresident Register https://t.co/AJeECW38CR
#TIESSGoesVirtual https://t.co/uvjhIz8yCO</t>
  </si>
  <si>
    <t>aizadkhursheed
Join the conversation with Dr.
Atul Chauhan, President- Amity
Education Group, Chancellor- Amity
Universities, India, Only at #TIESS2021-
World’s Leading Virtual Summit
for Education &amp;amp; Skills Sector.
@AmityPresident Register https://t.co/AJeECW38CR
#TIESSGoesVirtual https://t.co/uvjhIz8yCO</t>
  </si>
  <si>
    <t>mehulch06582077
Join the conversation with Mr.
Ramji Raghavan, Founder &amp;amp; Chairperson,
AGASTYA International Foundation,
India, only at #TIESS2021 – The
World’s Largest Global Summit for
Education &amp;amp; Skills Sector @AgastyaSparks
Register now https://t.co/gVr52ZUD3S
#TIESSGoesVirtual https://t.co/YLSxlCiBDR</t>
  </si>
  <si>
    <t>agastyasparks
Join the conversation with Mr.
Ramji Raghavan, Founder &amp;amp; Chairperson,
AGASTYA International Foundation,
India, only at #TIESS2021 – The
World’s Largest Global Summit for
Education &amp;amp; Skills Sector @AgastyaSparks
Register now https://t.co/gVr52ZUD3S
#TIESSGoesVirtual https://t.co/YLSxlCiBDR</t>
  </si>
  <si>
    <t>mukesh49963098
Join the conversation with Mr.
Ramji Raghavan, Founder &amp;amp; Chairperson,
AGASTYA International Foundation,
India, only at #TIESS2021 – The
World’s Largest Global Summit for
Education &amp;amp; Skills Sector @AgastyaSparks
Register now https://t.co/gVr52ZUD3S
#TIESSGoesVirtual https://t.co/YLSxlCiBDR</t>
  </si>
  <si>
    <t>sanatan96735902
Join the conversation with Mr.
Ramanan Ramanathan, Mission Director
Atal Innovation Mission &amp;amp; Additional
Secretary, @NITIAayog, Govt. of
India, only at #TIESS2021 – The
World’s Largest Global Summit for
Education &amp;amp; Skills Sector.
@rramanan Register now https://t.co/1Yeyj0AImH
https://t.co/sQdcaxnmEo</t>
  </si>
  <si>
    <t>afreen50079461
#TIESS2021 – A prodigious opportunity
to Join the conversation with @zelfstudie
Mr. Koen Timmers, Executive Director,
@TakeActionEdu TAG inc., Belgium
at the World’s Leading Virtual
Summit for Education &amp;amp; Skills
Sector. Register Now - https://t.co/LL6OFBN6et
#TIESSGoesVirtual https://t.co/5jeQsD3krq</t>
  </si>
  <si>
    <t xml:space="preserve">takeactionedu
</t>
  </si>
  <si>
    <t>zelfstudie
#TIESS2021 – A prodigious opportunity
to Join the conversation with @zelfstudie
Mr. Koen Timmers, Executive Director,
@TakeActionEdu TAG inc., Belgium
at the World’s Leading Virtual
Summit for Education &amp;amp; Skills
Sector. Register Now - https://t.co/LL6OFBN6et
#TIESSGoesVirtual https://t.co/5jeQsD3krq</t>
  </si>
  <si>
    <t>educatelanka
At #TIESS2021 - the Global Leading
Virtual Summit on Education, Join
the dialogue with Mr. Manjula M.
Dissanayake , Founder, Educate
Lanka Foundation, Sri Lanka, Register
Now https://t.co/7C4rhadQw9 @manjula_d
#TIESSGoesVirtual #UnitingForEducation
https://t.co/ulvPvBKAVI</t>
  </si>
  <si>
    <t>manjula_d
At #TIESS2021 - the Global Leading
Virtual Summit on Education, Join
the dialogue with Mr. Manjula M.
Dissanayake , Founder, Educate
Lanka Foundation, Sri Lanka, Register
Now https://t.co/7C4rhadQw9 @manjula_d
#TIESSGoesVirtual #UnitingForEducation
https://t.co/ulvPvBKAVI</t>
  </si>
  <si>
    <t>tcs_ion
Watch out for a special session
by @KrishnanCA, Business Unit Head
for Higher Education - TCS iON,
@TCS, on ‘How should assessments
change in times of disruption?’.
Date: Wednesday, January 27, 2021
Time: 01:15 pm IST Register now:
https://t.co/sN3OMfiMf3 #TCSiON
#TIESS2021 https://t.co/0SmX55QMDV</t>
  </si>
  <si>
    <t xml:space="preserve">tcs
</t>
  </si>
  <si>
    <t xml:space="preserve">krishnanca
</t>
  </si>
  <si>
    <t>ashokamane
We are glad to be the official
'Transformation Partner' at the
world’s largest virtual conference
for the education and skills sector
- The International Education and
Skills Summit. #TCSiON #TIESS2021
#education #skills https://t.co/DwC2Jaki18</t>
  </si>
  <si>
    <t>tweeteretta
#TIESS2021 Get Ready to meet the
most influential global leaders
in education! listen, collaborate
and contribute to the Future of
Education!! 30,000+ Delegates|
80+ Countries| 150+ Speakers! Only
2 days to go! #TIESSGoesVirtual
#UnitingForEducation #StayTuned
https://t.co/MHlHRts8dm</t>
  </si>
  <si>
    <t>debijules
#TIESS2021 – A prodigious opportunity
to Join the conversation with @zelfstudie
Mr. Koen Timmers, Executive Director,
@TakeActionEdu TAG inc., Belgium
at the World’s Leading Virtual
Summit for Education &amp;amp; Skills
Sector. Register Now - https://t.co/LL6OFBN6et
#TIESSGoesVirtual https://t.co/5jeQsD3krq</t>
  </si>
  <si>
    <t>kthiag2000
Join the conversation with Mr.
Ramji Raghavan, Founder &amp;amp; Chairperson,
AGASTYA International Foundation,
India, only at #TIESS2021 – The
World’s Largest Global Summit for
Education &amp;amp; Skills Sector @AgastyaSparks
Register now https://t.co/gVr52ZUD3S
#TIESSGoesVirtual https://t.co/YLSxlCiBDR</t>
  </si>
  <si>
    <t>emuvunyi1
Become an integral part of #TIESS2021
and Join the conversation with
Prof. @kwameakyeampong , Professor
of International Education and
Development, The Open University,
UK Register Now - https://t.co/tJlyVN8a5W
#TIESSGoesVirtual #UnitingForEducation
https://t.co/Mfsk1y8rEt</t>
  </si>
  <si>
    <t>kwameakyeampong
Become an integral part of #TIESS2021
and Join the conversation with
Prof. @kwameakyeampong , Professor
of International Education and
Development, The Open University,
UK Register Now - https://t.co/tJlyVN8a5W
#TIESSGoesVirtual #UnitingForEducation
https://t.co/Mfsk1y8rEt</t>
  </si>
  <si>
    <t xml:space="preserve">dianamwai
</t>
  </si>
  <si>
    <t>gavindk
#TIESS2021 Get Ready to meet the
most influential global leaders
in education! listen, collaborate
and contribute to the Future of
Education!! 30,000+ Delegates|
80+ Countries| 150+ Speakers! Only
2 days to go! #TIESSGoesVirtual
#UnitingForEducation #StayTuned
https://t.co/MHlHRts8dm</t>
  </si>
  <si>
    <t xml:space="preserve">worldomep
</t>
  </si>
  <si>
    <t xml:space="preserve">pratham_india
</t>
  </si>
  <si>
    <t>mkelly_explo
At #TIESS2021 - We are uniting
the leaders from the global education
community. Do not miss to join
dialogue with Ms. Moira Kelly @mkelly_explo,
President, @EXPLOLive Exploration
Learning, USA. Register Now - https://t.co/SlnYFpEY8z
#TIESSGoesVirtual #UnitingForEducation
https://t.co/XlXdrR05YJ</t>
  </si>
  <si>
    <t xml:space="preserve">explolive
</t>
  </si>
  <si>
    <t>lyftaed
#TIESS2021 Join the league of change-makers
by being an integral part of world’s
largest conference for Education
sector. Hear Mr. @SerdarFerit CEO
and Founder, @LyftaEd UK only at
TIESS virtual summit. Register
: https://t.co/QvmUaA3nJo #TIESSGoesVirtual
#UnitingForEducation https://t.co/hlrMRUgVwU</t>
  </si>
  <si>
    <t>joysyj
Listen to thoughtful deliberations
on the Future of Education with
renowned International Education
Leaders. Join the Dialogue with
Ms. Joysy John, Edtech Advisor
&amp;amp; Consultant, UK @joysyj Register
Now: https://t.co/iiCIOw0lNR #TIESSGoesVirtual
#UnitingForEducation #TIESS2021
https://t.co/KHaVGmoI2f</t>
  </si>
  <si>
    <t>kw_research
So excited to be a part of the
#TIESS2021 conference next week.
I’m chairing panels on evidence
in education and play. Join us!
https://t.co/sGbhO4ovIK</t>
  </si>
  <si>
    <t xml:space="preserve">mbrechner
</t>
  </si>
  <si>
    <t xml:space="preserve">sakuidealist
</t>
  </si>
  <si>
    <t xml:space="preserve">blomgun
</t>
  </si>
  <si>
    <t xml:space="preserve">gedcouncil
</t>
  </si>
  <si>
    <t xml:space="preserve">moeducationuae
</t>
  </si>
  <si>
    <t xml:space="preserve">moedumv
</t>
  </si>
  <si>
    <t xml:space="preserve">arasheedgn
</t>
  </si>
  <si>
    <t>timunwin
Very much looking forward to contributing
to #TIESS2021 #tiessgoesvirtual
#UnitingForEducation @Indiadidac
@UNESCOICT4D on 27th Jan https://t.co/4WKRfBhBju
speaking about our new report on
education for the most marginalised
#emmpostcovid19 https://t.co/CX9sRG6Eyo</t>
  </si>
  <si>
    <t>unescoict4d
Very much looking forward to contributing
to #TIESS2021 #tiessgoesvirtual
#UnitingForEducation @Indiadidac
@UNESCOICT4D on 27th Jan https://t.co/4WKRfBhBju
speaking about our new report on
education for the most marginalised
#emmpostcovid19 https://t.co/CX9sRG6Eyo</t>
  </si>
  <si>
    <t xml:space="preserve">unesco
</t>
  </si>
  <si>
    <t xml:space="preserve">upgovt
</t>
  </si>
  <si>
    <t xml:space="preserve">diana_elazar
</t>
  </si>
  <si>
    <t xml:space="preserve">christenseninst
</t>
  </si>
  <si>
    <t xml:space="preserve">chelseawaite
</t>
  </si>
  <si>
    <t xml:space="preserve">irislapinski
</t>
  </si>
  <si>
    <t xml:space="preserve">gus_education
</t>
  </si>
  <si>
    <t xml:space="preserve">michellewade99
</t>
  </si>
  <si>
    <t xml:space="preserve">thoughtbox_ed
</t>
  </si>
  <si>
    <t xml:space="preserve">drrussq
</t>
  </si>
  <si>
    <t>connect_aditya
#TIESS2021 - The world's largest
virtual conference on education
and skills sector, is all set to
unite the global education leaders
to collaborate for thoughtful deliberations
&amp;amp; discussion on the Future
of Education. Register now - https://t.co/dmY6H0s4ZC
#TIESSGoesVirtual https://t.co/goVAOAnvt6</t>
  </si>
  <si>
    <t>uopeople
Join #UoPeople Founder &amp;amp; President
@ShaiReshef this Thursday, January
28th at #TIESS2021, for a conversation
about the future of higher education.
Register now: https://t.co/1pRgBo6HKO
#TIESSGoesVirtual #UnitingForEducation
#TuitionFree #HigherEducation https://t.co/EoPE1GUvqC</t>
  </si>
  <si>
    <t>shaireshef
Join me this Thursday at #TIESS2021
– let’s discuss the future of #HigherEducation
https://t.co/eB8HNqI9ZL https://t.co/2QOhPtJWRq</t>
  </si>
  <si>
    <t xml:space="preserve">cjpwright
</t>
  </si>
  <si>
    <t xml:space="preserve">educationgovuk
</t>
  </si>
  <si>
    <t xml:space="preserve">damianhinds
</t>
  </si>
  <si>
    <t xml:space="preserve">sharath36
</t>
  </si>
  <si>
    <t>grausger
#TIESS2021 Listen to thoughtful
deliberations on the Future of
Education with renowned International
Education Leaders. Join the Dialogue
with Prof. Dr. Ger Graus OBE, Global
Director of Education, Kidzania,
UK Register Now https://t.co/2F0k4h6oZd
#TIESSGoesVirtual @GrausGer https://t.co/607VriKft1</t>
  </si>
  <si>
    <t xml:space="preserve">cit_ccise
</t>
  </si>
  <si>
    <t xml:space="preserve">anju_sharma_ind
</t>
  </si>
  <si>
    <t xml:space="preserve">msisodia
</t>
  </si>
  <si>
    <t xml:space="preserve">india
</t>
  </si>
  <si>
    <t>yaoydo
Become an integral part of #TIESS2021
and Join the conversation with
Mr. Yao Ydo Director, UNESCO International
Bureau of Education, Switzerland
Register now https://t.co/DkjnQ7iwZa
#TIESSGoesVirtual #UnitingForEducation
@IBE_UNESCO @YaoYdo #TIESSGoesVirtual
#UnitingForEducation https://t.co/9DdYy3Ts7L</t>
  </si>
  <si>
    <t>ibe_unesco
Become an integral part of #TIESS2021
and Join the conversation with
Mr. Yao Ydo Director, UNESCO International
Bureau of Education, Switzerland
Register now https://t.co/DkjnQ7iwZa
#TIESSGoesVirtual #UnitingForEducation
@IBE_UNESCO @YaoYdo #TIESSGoesVirtual
#UnitingForEducation https://t.co/9DdYy3Ts7L</t>
  </si>
  <si>
    <t>ciet_ncert
Become an integral part of #TIESS2021
and Join the conversation with
Mr. Yao Ydo Director, UNESCO International
Bureau of Education, Switzerland
Register now https://t.co/DkjnQ7iwZa
#TIESSGoesVirtual #UnitingForEducation
@IBE_UNESCO @YaoYdo #TIESSGoesVirtual
#UnitingForEducation https://t.co/9DdYy3Ts7L</t>
  </si>
  <si>
    <t xml:space="preserve">besatweet
</t>
  </si>
  <si>
    <t xml:space="preserve">theewf
</t>
  </si>
  <si>
    <t xml:space="preserve">d2l
</t>
  </si>
  <si>
    <t xml:space="preserve">iborganization
</t>
  </si>
  <si>
    <t xml:space="preserve">coursera
</t>
  </si>
  <si>
    <t xml:space="preserve">aws_edu
</t>
  </si>
  <si>
    <t xml:space="preserve">aws_gov
</t>
  </si>
  <si>
    <t xml:space="preserve">global_vic
</t>
  </si>
  <si>
    <t>stazanuel
Join #UoPeople Founder &amp;amp; President
@ShaiReshef this Thursday, January
28th at #TIESS2021, for a conversation
about the future of higher education.
Register now: https://t.co/1pRgBo6HKO
#TIESSGoesVirtual #UnitingForEducation
#TuitionFree #HigherEducation https://t.co/EoPE1GUvqC</t>
  </si>
  <si>
    <t>yinkaadeosun
Join #UoPeople Founder &amp;amp; President
@ShaiReshef this Thursday, January
28th at #TIESS2021, for a conversation
about the future of higher education.
Register now: https://t.co/1pRgBo6HKO
#TIESSGoesVirtual #UnitingForEducation
#TuitionFree #HigherEducation https://t.co/EoPE1GUvqC</t>
  </si>
  <si>
    <t>davidbartram_
I'm hosting a couple of panels
at this exciting event running
later this week - one on empathy
and the second on the balance between
competition and collaboration!
Do join me if you are able #TIESS2021
https://t.co/HhEaIrhBft</t>
  </si>
  <si>
    <t>susandouglas70
I'm hosting a couple of panels
at this exciting event running
later this week - one on empathy
and the second on the balance between
competition and collaboration!
Do join me if you are able #TIESS2021
https://t.co/HhEaIrhBft</t>
  </si>
  <si>
    <t>creativehigg
I'm hosting a couple of panels
at this exciting event running
later this week - one on empathy
and the second on the balance between
competition and collaboration!
Do join me if you are able #TIESS2021
https://t.co/HhEaIrhBft</t>
  </si>
  <si>
    <t>olgatoulk
I'm hosting a couple of panels
at this exciting event running
later this week - one on empathy
and the second on the balance between
competition and collaboration!
Do join me if you are able #TIESS2021
https://t.co/HhEaIrhBft</t>
  </si>
  <si>
    <t>sambeckertweets
_xD83D__xDE31_ Looking forward to presenting
live “in India” tmrw at #TIESS2021
— the world’s largest virtual conference
for the edu &amp;amp; skills sector.
If anyone wants to know how I could
possibly have less of a filter,
find out live at this 3am breakout
session. _xD83D__xDE2C_ https://t.co/A6uDuPqbP6
https://t.co/IuUU2DWQdk</t>
  </si>
  <si>
    <t xml:space="preserve">lshayter
</t>
  </si>
  <si>
    <t>gen_global_
Hear @LSHayter, Director for Generation
Global, talk about developing positive
attitudes &amp;amp; behaviours within
formal education settings at #TIESS2021
by @Indiadidac on January 29th,
7:45 am GMT Register now https://t.co/EioZpUlN9e
#TIESSGoesVirtual #UnitingForEducation
https://t.co/3nVm5gImjo</t>
  </si>
  <si>
    <t>diakonstefanos
Join me this Thursday at #TIESS2021
– let’s discuss the future of #HigherEducation
https://t.co/eB8HNqI9ZL https://t.co/2QOhPtJWRq</t>
  </si>
  <si>
    <t>rajeshanni
#TIESS2021 - The world's largest
virtual conference on education
and skills sector, is all set to
unite the global education leaders
to collaborate for thoughtful deliberations
&amp;amp; discussion on the Future
of Education. Register now - https://t.co/Iyb6jZOFvX
#TIESSGoesVirtual https://t.co/mfSU6Dclwm</t>
  </si>
  <si>
    <t>Directed</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</si>
  <si>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</si>
  <si>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</si>
  <si>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</si>
  <si>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</si>
  <si>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</si>
  <si>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</si>
  <si>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</si>
  <si>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</si>
  <si>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</si>
  <si>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</si>
  <si>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</si>
  <si>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</si>
  <si>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</si>
  <si>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</si>
  <si>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</si>
  <si>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</si>
  <si>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</si>
  <si>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</si>
  <si>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</si>
  <si>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</si>
  <si>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</si>
  <si>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</si>
  <si>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</si>
  <si>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</si>
  <si>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</si>
  <si>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</si>
  <si>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</si>
  <si>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</si>
  <si>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</si>
  <si>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Top URLs in Tweet in Entire Graph</t>
  </si>
  <si>
    <t>https://www.tiess.online/registration?utm_source=TIESS&amp;utm_medium=Amity&amp;utm_campaign=TIESS&amp;utm_term=010</t>
  </si>
  <si>
    <t>https://www.tiess.online/registration?utm_source=SM&amp;utm_medium=Swaroop&amp;utm_campaign=TIESS&amp;utm_term=015</t>
  </si>
  <si>
    <t>https://www.tiess.online/registration?utm_source=SM&amp;utm_medium=Rashef&amp;utm_campaign=TIESS&amp;utm_term=020</t>
  </si>
  <si>
    <t>https://www.tiess.online/registration?utm_source=Twitter&amp;utm_medium=IDA&amp;utm_campaign=TIESS&amp;utm_term=006</t>
  </si>
  <si>
    <t>https://www.tiess.online/registration?utm_source=SM&amp;utm_medium=Timmers&amp;utm_campaign=TIESS&amp;utm_term=022</t>
  </si>
  <si>
    <t>https://www.tiess.online/registration?utm_source=SM&amp;utm_medium=Raghavan&amp;utm_campaign=TIESS&amp;utm_term=023</t>
  </si>
  <si>
    <t>https://www.tiess.online/registration?utm_source=SM&amp;utm_medium=Yao&amp;utm_campaign=TIESS&amp;utm_term=009</t>
  </si>
  <si>
    <t>https://www.tiess.online/registration?utm_source=SM&amp;utm_medium=Vincent&amp;utm_campaign=TIESS&amp;utm_term=018</t>
  </si>
  <si>
    <t>https://www.tiess.online/registration?utm_source=SM&amp;utm_medium=Ramanan&amp;utm_campaign=TIESS&amp;utm_term=011</t>
  </si>
  <si>
    <t>https://www.tiess.online/registration?utm_source=SM&amp;utm_medium=Andreas&amp;utm_campaign=TIESS&amp;utm_term=008</t>
  </si>
  <si>
    <t>Entire Graph Count</t>
  </si>
  <si>
    <t>Top URLs in Tweet in G1</t>
  </si>
  <si>
    <t>https://www.tiess.online/registration?utm_source=Manjula&amp;utm_medium=SM&amp;utm_campaign=TIESS&amp;utm_term=035</t>
  </si>
  <si>
    <t>https://www.tiess.online/registration?utm_source=SM&amp;utm_medium=Akyeampong&amp;utm_campaign=TIESS&amp;utm_term=031</t>
  </si>
  <si>
    <t>https://www.tiess.online/registration?utm_source=Mart&amp;utm_medium=Email&amp;utm_campaign=TIESS&amp;utm_term=018</t>
  </si>
  <si>
    <t>https://www.tiess.online/registration?utm_source=SM&amp;utm_medium=Kelly&amp;utm_campaign=TIESS&amp;utm_term=024</t>
  </si>
  <si>
    <t>https://www.tiess.online/registration?utm_source=SM&amp;utm_medium=Joysy&amp;utm_campaign=TIESS&amp;utm_term=036</t>
  </si>
  <si>
    <t>https://www.tiess.online/registration?utm_source=SM&amp;utm_medium=Schmedlen&amp;utm_campaign=TIESS&amp;utm_term=032</t>
  </si>
  <si>
    <t>https://www.tiess.online/registration?utm_source=SM&amp;utm_medium=Graus&amp;utm_campaign=TIESS&amp;utm_term=017</t>
  </si>
  <si>
    <t>Top URLs in Tweet in G2</t>
  </si>
  <si>
    <t>G1 Count</t>
  </si>
  <si>
    <t>https://bit.ly/3oTtvE6</t>
  </si>
  <si>
    <t>https://www.tiess.online/registration?utm_source=Partners&amp;utm_medium=All&amp;utm_campaign=TIESS&amp;utm_term=039</t>
  </si>
  <si>
    <t>Top URLs in Tweet in G3</t>
  </si>
  <si>
    <t>G2 Count</t>
  </si>
  <si>
    <t>https://virtual.tiess.online</t>
  </si>
  <si>
    <t>https://www.tiess.online/registration?utm_source=SM&amp;utm_medium=Tim&amp;utm_campaign=TIESS&amp;utm_term=010</t>
  </si>
  <si>
    <t>Top URLs in Tweet in G4</t>
  </si>
  <si>
    <t>G3 Count</t>
  </si>
  <si>
    <t>Top URLs in Tweet in G5</t>
  </si>
  <si>
    <t>G4 Count</t>
  </si>
  <si>
    <t>https://twitter.com/indiadidac/status/1352130841325944834</t>
  </si>
  <si>
    <t>https://www.tiess.online/registration?utm_source=SM&amp;utm_medium=Ferrit&amp;utm_campaign=TIESS&amp;utm_term=034</t>
  </si>
  <si>
    <t>Top URLs in Tweet in G6</t>
  </si>
  <si>
    <t>G5 Count</t>
  </si>
  <si>
    <t>Top URLs in Tweet in G7</t>
  </si>
  <si>
    <t>G6 Count</t>
  </si>
  <si>
    <t>Top URLs in Tweet in G8</t>
  </si>
  <si>
    <t>G7 Count</t>
  </si>
  <si>
    <t>https://twitter.com/Indiadidac/status/1353586348117028867</t>
  </si>
  <si>
    <t>https://www.tiess.online/registration?utm_source=SM&amp;utm_medium=Krishnan&amp;utm_campaign=TIESS&amp;utm_term=040</t>
  </si>
  <si>
    <t>https://twitter.com/Indiadidac/status/1352560149135671299</t>
  </si>
  <si>
    <t>Top URLs in Tweet in G9</t>
  </si>
  <si>
    <t>G8 Count</t>
  </si>
  <si>
    <t>Top URLs in Tweet in G10</t>
  </si>
  <si>
    <t>G9 Count</t>
  </si>
  <si>
    <t>G10 Count</t>
  </si>
  <si>
    <t>Top URLs in Tweet</t>
  </si>
  <si>
    <t>https://www.tiess.online/registration?utm_source=SM&amp;utm_medium=Swaroop&amp;utm_campaign=TIESS&amp;utm_term=015 https://www.tiess.online/registration?utm_source=SM&amp;utm_medium=Raghavan&amp;utm_campaign=TIESS&amp;utm_term=023 https://www.tiess.online/registration?utm_source=Manjula&amp;utm_medium=SM&amp;utm_campaign=TIESS&amp;utm_term=035 https://www.tiess.online/registration?utm_source=SM&amp;utm_medium=Akyeampong&amp;utm_campaign=TIESS&amp;utm_term=031 https://www.tiess.online/registration?utm_source=Mart&amp;utm_medium=Email&amp;utm_campaign=TIESS&amp;utm_term=018 https://www.tiess.online/registration?utm_source=SM&amp;utm_medium=Timmers&amp;utm_campaign=TIESS&amp;utm_term=022 https://www.tiess.online/registration?utm_source=SM&amp;utm_medium=Kelly&amp;utm_campaign=TIESS&amp;utm_term=024 https://www.tiess.online/registration?utm_source=SM&amp;utm_medium=Joysy&amp;utm_campaign=TIESS&amp;utm_term=036 https://www.tiess.online/registration?utm_source=SM&amp;utm_medium=Schmedlen&amp;utm_campaign=TIESS&amp;utm_term=032 https://www.tiess.online/registration?utm_source=SM&amp;utm_medium=Graus&amp;utm_campaign=TIESS&amp;utm_term=017</t>
  </si>
  <si>
    <t>https://www.tiess.online/registration?utm_source=SM&amp;utm_medium=Rashef&amp;utm_campaign=TIESS&amp;utm_term=020 https://bit.ly/3oTtvE6 https://www.tiess.online/registration?utm_source=Partners&amp;utm_medium=All&amp;utm_campaign=TIESS&amp;utm_term=039 https://www.tiess.online/registration?utm_source=Twitter&amp;utm_medium=IDA&amp;utm_campaign=TIESS&amp;utm_term=006</t>
  </si>
  <si>
    <t>https://www.tiess.online/registration?utm_source=SM&amp;utm_medium=Vincent&amp;utm_campaign=TIESS&amp;utm_term=018 https://www.tiess.online/registration?utm_source=SM&amp;utm_medium=Andreas&amp;utm_campaign=TIESS&amp;utm_term=008 https://virtual.tiess.online https://www.tiess.online/registration?utm_source=SM&amp;utm_medium=Tim&amp;utm_campaign=TIESS&amp;utm_term=010</t>
  </si>
  <si>
    <t>https://twitter.com/indiadidac/status/1352130841325944834 https://www.tiess.online/registration?utm_source=SM&amp;utm_medium=Ferrit&amp;utm_campaign=TIESS&amp;utm_term=034</t>
  </si>
  <si>
    <t>https://twitter.com/Indiadidac/status/1353586348117028867 https://www.tiess.online/registration?utm_source=SM&amp;utm_medium=Krishnan&amp;utm_campaign=TIESS&amp;utm_term=040 https://twitter.com/Indiadidac/status/1352560149135671299</t>
  </si>
  <si>
    <t>https://www.tiess.online/registration?utm_source=SM&amp;utm_medium=Sheeran&amp;utm_campaign=TIESS&amp;utm_term=038</t>
  </si>
  <si>
    <t>Top Domains in Tweet in Entire Graph</t>
  </si>
  <si>
    <t>indiaeducationdiary.in</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</si>
  <si>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</si>
  <si>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</si>
  <si>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</si>
  <si>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</si>
  <si>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</si>
  <si>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</si>
  <si>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</si>
  <si>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</si>
  <si>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</si>
  <si>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</si>
  <si>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</si>
  <si>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tiess.online indiaeducationdiary.in twitter.com</t>
  </si>
  <si>
    <t>tiess.online bit.ly</t>
  </si>
  <si>
    <t>twitter.com tiess.online</t>
  </si>
  <si>
    <t>Top Hashtags in Tweet in Entire Graph</t>
  </si>
  <si>
    <t>tiessgoesvirtual</t>
  </si>
  <si>
    <t>unitingforeducation</t>
  </si>
  <si>
    <t>highereducation</t>
  </si>
  <si>
    <t>staytuned</t>
  </si>
  <si>
    <t>tuitionfree</t>
  </si>
  <si>
    <t>tcsion</t>
  </si>
  <si>
    <t>emmpostcovid19</t>
  </si>
  <si>
    <t>education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</si>
  <si>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</si>
  <si>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</si>
  <si>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</si>
  <si>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</si>
  <si>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</si>
  <si>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</si>
  <si>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</si>
  <si>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</si>
  <si>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skills</t>
  </si>
  <si>
    <t>Top Hashtags in Tweet in G9</t>
  </si>
  <si>
    <t>Top Hashtags in Tweet in G10</t>
  </si>
  <si>
    <t>Top Hashtags in Tweet</t>
  </si>
  <si>
    <t>tiess2021 tiessgoesvirtual highereducation unitingforeducation uopeople tuitionfree</t>
  </si>
  <si>
    <t>tiess2021 tiessgoesvirtual unitingforeducation emmpostcovid19 staytuned</t>
  </si>
  <si>
    <t>Top Words in Tweet in Entire Graph</t>
  </si>
  <si>
    <t>#tiess2021</t>
  </si>
  <si>
    <t>#tiessgoesvirtual</t>
  </si>
  <si>
    <t>register</t>
  </si>
  <si>
    <t>join</t>
  </si>
  <si>
    <t>now</t>
  </si>
  <si>
    <t>#unitingforeducation</t>
  </si>
  <si>
    <t>summit</t>
  </si>
  <si>
    <t>conversation</t>
  </si>
  <si>
    <t>Top Words in Tweet in G1</t>
  </si>
  <si>
    <t>global</t>
  </si>
  <si>
    <t>Top Words in Tweet in G2</t>
  </si>
  <si>
    <t>future</t>
  </si>
  <si>
    <t>thursday</t>
  </si>
  <si>
    <t>#highereducation</t>
  </si>
  <si>
    <t>founder</t>
  </si>
  <si>
    <t>Top Words in Tweet in G3</t>
  </si>
  <si>
    <t>leaders</t>
  </si>
  <si>
    <t>Top Words in Tweet in G4</t>
  </si>
  <si>
    <t>amity</t>
  </si>
  <si>
    <t>dr</t>
  </si>
  <si>
    <t>atul</t>
  </si>
  <si>
    <t>chauhan</t>
  </si>
  <si>
    <t>president</t>
  </si>
  <si>
    <t>group</t>
  </si>
  <si>
    <t>chancellor</t>
  </si>
  <si>
    <t>Top Words in Tweet in G5</t>
  </si>
  <si>
    <t>ceo</t>
  </si>
  <si>
    <t>really</t>
  </si>
  <si>
    <t>excited</t>
  </si>
  <si>
    <t>presenting</t>
  </si>
  <si>
    <t>next</t>
  </si>
  <si>
    <t>week</t>
  </si>
  <si>
    <t>note</t>
  </si>
  <si>
    <t>co</t>
  </si>
  <si>
    <t>lyfta</t>
  </si>
  <si>
    <t>Top Words in Tweet in G6</t>
  </si>
  <si>
    <t>mission</t>
  </si>
  <si>
    <t>mr</t>
  </si>
  <si>
    <t>ramanan</t>
  </si>
  <si>
    <t>ramanathan</t>
  </si>
  <si>
    <t>director</t>
  </si>
  <si>
    <t>atal</t>
  </si>
  <si>
    <t>innovation</t>
  </si>
  <si>
    <t>additional</t>
  </si>
  <si>
    <t>Top Words in Tweet in G7</t>
  </si>
  <si>
    <t>hosting</t>
  </si>
  <si>
    <t>couple</t>
  </si>
  <si>
    <t>panels</t>
  </si>
  <si>
    <t>exciting</t>
  </si>
  <si>
    <t>event</t>
  </si>
  <si>
    <t>running</t>
  </si>
  <si>
    <t>later</t>
  </si>
  <si>
    <t>one</t>
  </si>
  <si>
    <t>empathy</t>
  </si>
  <si>
    <t>Top Words in Tweet in G8</t>
  </si>
  <si>
    <t>#tcsion</t>
  </si>
  <si>
    <t>glad</t>
  </si>
  <si>
    <t>official</t>
  </si>
  <si>
    <t>'transformation</t>
  </si>
  <si>
    <t>partner'</t>
  </si>
  <si>
    <t>world</t>
  </si>
  <si>
    <t>Top Words in Tweet in G9</t>
  </si>
  <si>
    <t>prodigious</t>
  </si>
  <si>
    <t>opportunity</t>
  </si>
  <si>
    <t>koen</t>
  </si>
  <si>
    <t>timmers</t>
  </si>
  <si>
    <t>executive</t>
  </si>
  <si>
    <t>Top Words in Tweet in G10</t>
  </si>
  <si>
    <t>become</t>
  </si>
  <si>
    <t>integral</t>
  </si>
  <si>
    <t>part</t>
  </si>
  <si>
    <t>yao</t>
  </si>
  <si>
    <t>Top Words in Tweet</t>
  </si>
  <si>
    <t>education #tiess2021 register now #tiessgoesvirtual join #unitingforeducation conversation global summit</t>
  </si>
  <si>
    <t>#tiess2021 education join register #tiessgoesvirtual future now thursday #highereducation founder</t>
  </si>
  <si>
    <t>education #tiess2021 #tiessgoesvirtual #unitingforeducation global skills join register now leaders</t>
  </si>
  <si>
    <t>amity education join conversation dr atul chauhan president group chancellor</t>
  </si>
  <si>
    <t>#tiess2021 ceo really excited presenting next week note co lyfta</t>
  </si>
  <si>
    <t>mission join conversation mr ramanan ramanathan director atal innovation additional</t>
  </si>
  <si>
    <t>hosting couple panels exciting event running later week one empathy</t>
  </si>
  <si>
    <t>education skills #tcsion #tiess2021 tcs glad official 'transformation partner' world</t>
  </si>
  <si>
    <t>#tiess2021 prodigious opportunity join conversation zelfstudie mr koen timmers executive</t>
  </si>
  <si>
    <t>#tiessgoesvirtual #unitingforeducation become integral part #tiess2021 join conversation mr yao</t>
  </si>
  <si>
    <t>international education #tiess2021 listen mr jude sheeran lead cloud innovation</t>
  </si>
  <si>
    <t>education #tiess2021 global leaders collaborate future #tiessgoesvirtual world's largest virtual</t>
  </si>
  <si>
    <t>looking forward presenting st #tiess2021 next week register now #tiessgoesvirtual</t>
  </si>
  <si>
    <t>Top Word Pairs in Tweet in Entire Graph</t>
  </si>
  <si>
    <t>register,now</t>
  </si>
  <si>
    <t>now,#tiessgoesvirtual</t>
  </si>
  <si>
    <t>#tiessgoesvirtual,#unitingforeducation</t>
  </si>
  <si>
    <t>join,conversation</t>
  </si>
  <si>
    <t>education,skills</t>
  </si>
  <si>
    <t>skills,sector</t>
  </si>
  <si>
    <t>summit,education</t>
  </si>
  <si>
    <t>world,s</t>
  </si>
  <si>
    <t>virtual,summit</t>
  </si>
  <si>
    <t>international,education</t>
  </si>
  <si>
    <t>Top Word Pairs in Tweet in G1</t>
  </si>
  <si>
    <t>join,talks</t>
  </si>
  <si>
    <t>#tiess2021,join</t>
  </si>
  <si>
    <t>Top Word Pairs in Tweet in G2</t>
  </si>
  <si>
    <t>education,register</t>
  </si>
  <si>
    <t>join,#uopeople</t>
  </si>
  <si>
    <t>#uopeople,founder</t>
  </si>
  <si>
    <t>founder,president</t>
  </si>
  <si>
    <t>president,shaireshef</t>
  </si>
  <si>
    <t>shaireshef,thursday</t>
  </si>
  <si>
    <t>thursday,january</t>
  </si>
  <si>
    <t>Top Word Pairs in Tweet in G3</t>
  </si>
  <si>
    <t>join,mr</t>
  </si>
  <si>
    <t>mr,stephan</t>
  </si>
  <si>
    <t>stephan,vincent</t>
  </si>
  <si>
    <t>vincent,lancrin</t>
  </si>
  <si>
    <t>lancrin,deputy</t>
  </si>
  <si>
    <t>Top Word Pairs in Tweet in G4</t>
  </si>
  <si>
    <t>conversation,dr</t>
  </si>
  <si>
    <t>dr,atul</t>
  </si>
  <si>
    <t>atul,chauhan</t>
  </si>
  <si>
    <t>chauhan,president</t>
  </si>
  <si>
    <t>president,amity</t>
  </si>
  <si>
    <t>amity,education</t>
  </si>
  <si>
    <t>education,group</t>
  </si>
  <si>
    <t>group,chancellor</t>
  </si>
  <si>
    <t>chancellor,amity</t>
  </si>
  <si>
    <t>Top Word Pairs in Tweet in G5</t>
  </si>
  <si>
    <t>really,excited</t>
  </si>
  <si>
    <t>excited,presenting</t>
  </si>
  <si>
    <t>presenting,#tiess2021</t>
  </si>
  <si>
    <t>#tiess2021,next</t>
  </si>
  <si>
    <t>next,week</t>
  </si>
  <si>
    <t>week,note</t>
  </si>
  <si>
    <t>note,co</t>
  </si>
  <si>
    <t>co,ceo</t>
  </si>
  <si>
    <t>ceo,lyfta</t>
  </si>
  <si>
    <t>lyfta,along</t>
  </si>
  <si>
    <t>Top Word Pairs in Tweet in G6</t>
  </si>
  <si>
    <t>conversation,mr</t>
  </si>
  <si>
    <t>mr,ramanan</t>
  </si>
  <si>
    <t>ramanan,ramanathan</t>
  </si>
  <si>
    <t>ramanathan,mission</t>
  </si>
  <si>
    <t>mission,director</t>
  </si>
  <si>
    <t>director,atal</t>
  </si>
  <si>
    <t>atal,innovation</t>
  </si>
  <si>
    <t>innovation,mission</t>
  </si>
  <si>
    <t>mission,additional</t>
  </si>
  <si>
    <t>Top Word Pairs in Tweet in G7</t>
  </si>
  <si>
    <t>hosting,couple</t>
  </si>
  <si>
    <t>couple,panels</t>
  </si>
  <si>
    <t>panels,exciting</t>
  </si>
  <si>
    <t>exciting,event</t>
  </si>
  <si>
    <t>event,running</t>
  </si>
  <si>
    <t>running,later</t>
  </si>
  <si>
    <t>later,week</t>
  </si>
  <si>
    <t>week,one</t>
  </si>
  <si>
    <t>one,empathy</t>
  </si>
  <si>
    <t>empathy,second</t>
  </si>
  <si>
    <t>Top Word Pairs in Tweet in G8</t>
  </si>
  <si>
    <t>#tcsion,#tiess2021</t>
  </si>
  <si>
    <t>glad,official</t>
  </si>
  <si>
    <t>official,'transformation</t>
  </si>
  <si>
    <t>'transformation,partner'</t>
  </si>
  <si>
    <t>partner',world</t>
  </si>
  <si>
    <t>s,largest</t>
  </si>
  <si>
    <t>largest,virtual</t>
  </si>
  <si>
    <t>virtual,conference</t>
  </si>
  <si>
    <t>Top Word Pairs in Tweet in G9</t>
  </si>
  <si>
    <t>#tiess2021,prodigious</t>
  </si>
  <si>
    <t>prodigious,opportunity</t>
  </si>
  <si>
    <t>opportunity,join</t>
  </si>
  <si>
    <t>conversation,zelfstudie</t>
  </si>
  <si>
    <t>zelfstudie,mr</t>
  </si>
  <si>
    <t>mr,koen</t>
  </si>
  <si>
    <t>koen,timmers</t>
  </si>
  <si>
    <t>timmers,executive</t>
  </si>
  <si>
    <t>executive,director</t>
  </si>
  <si>
    <t>Top Word Pairs in Tweet in G10</t>
  </si>
  <si>
    <t>become,integral</t>
  </si>
  <si>
    <t>integral,part</t>
  </si>
  <si>
    <t>part,#tiess2021</t>
  </si>
  <si>
    <t>mr,yao</t>
  </si>
  <si>
    <t>yao,ydo</t>
  </si>
  <si>
    <t>ydo,director</t>
  </si>
  <si>
    <t>Top Word Pairs in Tweet</t>
  </si>
  <si>
    <t>register,now  now,#tiessgoesvirtual  #tiessgoesvirtual,#unitingforeducation  join,conversation  summit,education  international,education  education,skills  skills,sector  join,talks  #tiess2021,join</t>
  </si>
  <si>
    <t>register,now  now,#tiessgoesvirtual  #tiessgoesvirtual,#unitingforeducation  education,register  join,#uopeople  #uopeople,founder  founder,president  president,shaireshef  shaireshef,thursday  thursday,january</t>
  </si>
  <si>
    <t>#tiessgoesvirtual,#unitingforeducation  education,skills  register,now  now,#tiessgoesvirtual  skills,sector  join,mr  mr,stephan  stephan,vincent  vincent,lancrin  lancrin,deputy</t>
  </si>
  <si>
    <t>join,conversation  conversation,dr  dr,atul  atul,chauhan  chauhan,president  president,amity  amity,education  education,group  group,chancellor  chancellor,amity</t>
  </si>
  <si>
    <t>really,excited  excited,presenting  presenting,#tiess2021  #tiess2021,next  next,week  week,note  note,co  co,ceo  ceo,lyfta  lyfta,along</t>
  </si>
  <si>
    <t>join,conversation  conversation,mr  mr,ramanan  ramanan,ramanathan  ramanathan,mission  mission,director  director,atal  atal,innovation  innovation,mission  mission,additional</t>
  </si>
  <si>
    <t>hosting,couple  couple,panels  panels,exciting  exciting,event  event,running  running,later  later,week  week,one  one,empathy  empathy,second</t>
  </si>
  <si>
    <t>education,skills  #tcsion,#tiess2021  glad,official  official,'transformation  'transformation,partner'  partner',world  world,s  s,largest  largest,virtual  virtual,conference</t>
  </si>
  <si>
    <t>#tiess2021,prodigious  prodigious,opportunity  opportunity,join  join,conversation  conversation,zelfstudie  zelfstudie,mr  mr,koen  koen,timmers  timmers,executive  executive,director</t>
  </si>
  <si>
    <t>#tiessgoesvirtual,#unitingforeducation  become,integral  integral,part  part,#tiess2021  #tiess2021,join  join,conversation  conversation,mr  mr,yao  yao,ydo  ydo,director</t>
  </si>
  <si>
    <t>#tiess2021,listen  listen,mr  mr,jude  jude,sheeran  sheeran,lead  lead,international  international,cloud  cloud,innovation  innovation,programmes  programmes,international</t>
  </si>
  <si>
    <t>future,education  #tiess2021,world's  world's,largest  largest,virtual  virtual,conference  conference,education  education,skills  skills,sector  sector,set  set,unite</t>
  </si>
  <si>
    <t>looking,forward  forward,presenting  presenting,st  st,#tiess2021  #tiess2021,next  next,week  week,register  register,now  now,#tiessgoesvirtual  #tiessgoesvirtual,#unitingforeducation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</si>
  <si>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</si>
  <si>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</si>
  <si>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</si>
  <si>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</si>
  <si>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</si>
  <si>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</si>
  <si>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</si>
  <si>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</si>
  <si>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</si>
  <si>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</si>
  <si>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</si>
  <si>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</si>
  <si>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</si>
  <si>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</si>
  <si>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</si>
  <si>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</si>
  <si>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</si>
  <si>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</si>
  <si>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</si>
  <si>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</si>
  <si>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</si>
  <si>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</si>
  <si>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</si>
  <si>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</si>
  <si>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yoswaroop agastyasparks awscloud manjula_d kwameakyeampong besatweet coursera lshayter tcs_ion mkelly_explo</t>
  </si>
  <si>
    <t>shaireshef uopeople global_vic aws_gov aws_edu awscloud coursera tcs_ion iborganization d2l</t>
  </si>
  <si>
    <t>unescoict4d oecd schleicheroecd oecdeduskills indiadidac timunwin unesco</t>
  </si>
  <si>
    <t>paulinatervo serdarferit lyftaed</t>
  </si>
  <si>
    <t>nitiaayog rramanan</t>
  </si>
  <si>
    <t>krishnanca tcs</t>
  </si>
  <si>
    <t>zelfstudie takeactionedu</t>
  </si>
  <si>
    <t>ibe_unesco yaoydo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</si>
  <si>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</si>
  <si>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</si>
  <si>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</si>
  <si>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</si>
  <si>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</si>
  <si>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</si>
  <si>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</si>
  <si>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</si>
  <si>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</si>
  <si>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</si>
  <si>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</si>
  <si>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</si>
  <si>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shail67330119 meenakshipai upgovt adatewithcocoa moeducationuae educationgovuk moedumv msisodia mukesh49963098 yoswaroop</t>
  </si>
  <si>
    <t>d2l uopeople besatweet iborganization aws_gov coursera yinkaadeosun aws_edu shaireshef stazanuel</t>
  </si>
  <si>
    <t>unesco oecd oecdeduskills timunwin untiporaro fachportalpaed schleicheroecd gavindk unescoict4d m_rueth</t>
  </si>
  <si>
    <t>drsantanugupta fonsstoelinga imgauravsood noidaagbs amityuni amitypresident aizadkhursheed anjani_kb</t>
  </si>
  <si>
    <t>christallaj serdarferit lyftaed patisseriefilm paulinatervo</t>
  </si>
  <si>
    <t>bhilai nitiaayog aimtoinnovate rramanan sanatan96735902</t>
  </si>
  <si>
    <t>susandouglas70 davidbartram_ creativehigg olgatoulk</t>
  </si>
  <si>
    <t>tcs ashokamane tcs_ion krishnanca</t>
  </si>
  <si>
    <t>debijules zelfstudie takeactionedu afreen50079461</t>
  </si>
  <si>
    <t>ciet_ncert ibe_unesco yaoydo</t>
  </si>
  <si>
    <t>awscloud hinabhagwani sarka003</t>
  </si>
  <si>
    <t>didacindia rajeshanni mohitsparihar</t>
  </si>
  <si>
    <t>olliebray muriel21400928</t>
  </si>
  <si>
    <t>Top URLs in Tweet by Count</t>
  </si>
  <si>
    <t>https://www.tiess.online/registration?utm_source=SM&amp;utm_medium=Schmedlen&amp;utm_campaign=TIESS&amp;utm_term=032 https://www.tiess.online/registration?utm_source=SM&amp;utm_medium=Timmers&amp;utm_campaign=TIESS&amp;utm_term=022 https://www.tiess.online/registration?utm_source=Lucy&amp;utm_medium=SM&amp;utm_campaign=TIESS&amp;utm_term=033 https://www.tiess.online/registration?utm_source=SM&amp;utm_medium=Becker&amp;utm_campaign=TIESS&amp;utm_term=026 https://www.tiess.online/registration?utm_source=Partners&amp;utm_medium=All&amp;utm_campaign=TIESS&amp;utm_term=039 https://www.tiess.online/registration?utm_source=Raghav&amp;utm_medium=Coursera&amp;utm_campaign=TIESS&amp;utm_term=040 https://www.tiess.online/registration?utm_source=Jeff&amp;utm_medium=Coursera&amp;utm_campaign=TIESS&amp;utm_term=039 https://www.tiess.online/registration?utm_source=SM&amp;utm_medium=Holloway&amp;utm_campaign=TIESS&amp;utm_term=043 https://www.tiess.online/registration?utm_source=Damian&amp;utm_medium=SM&amp;utm_campaign=TIESS&amp;utm_term=027 https://www.tiess.online/registration?utm_source=Caroline&amp;utm_medium=Email&amp;utm_campaign=TIESS&amp;utm_term=024</t>
  </si>
  <si>
    <t>https://www.tiess.online/registration?utm_source=Ollie&amp;utm_medium=SM&amp;utm_campaign=TIESS&amp;utm_term=029</t>
  </si>
  <si>
    <t>https://www.tiess.online/registration?utm_source=SM&amp;utm_medium=Krishnan&amp;utm_campaign=TIESS&amp;utm_term=040 https://twitter.com/Indiadidac/status/1352560149135671299 https://twitter.com/Indiadidac/status/1353586348117028867</t>
  </si>
  <si>
    <t>https://www.tiess.online/registration?utm_source=SM&amp;utm_medium=Tim&amp;utm_campaign=TIESS&amp;utm_term=010 https://www.tiess.online/registration?utm_source=SM&amp;utm_medium=Vincent&amp;utm_campaign=TIESS&amp;utm_term=018</t>
  </si>
  <si>
    <t>https://twitter.com/Indiadidac/status/1352210574285836289</t>
  </si>
  <si>
    <t>https://www.tiess.online/registration?utm_source=SM&amp;utm_medium=Rashef&amp;utm_campaign=TIESS&amp;utm_term=020 https://www.tiess.online/registration?utm_source=Twitter&amp;utm_medium=IDA&amp;utm_campaign=TIESS&amp;utm_term=006</t>
  </si>
  <si>
    <t>https://bit.ly/3oTtvE6 https://www.tiess.online/registration?utm_source=SM&amp;utm_medium=Rashef&amp;utm_campaign=TIESS&amp;utm_term=020</t>
  </si>
  <si>
    <t>https://www.tiess.online/registration?utm_source=Partners&amp;utm_medium=All&amp;utm_campaign=TIESS&amp;utm_term=039 https://www.tiess.online/registration?utm_source=SM&amp;utm_medium=Rashef&amp;utm_campaign=TIESS&amp;utm_term=020</t>
  </si>
  <si>
    <t>https://www.tiess.online</t>
  </si>
  <si>
    <t>Top URLs in Tweet by Salience</t>
  </si>
  <si>
    <t>Top Domains in Tweet by Count</t>
  </si>
  <si>
    <t>bit.ly tiess.online</t>
  </si>
  <si>
    <t>Top Domains in Tweet by Salience</t>
  </si>
  <si>
    <t>indiaeducationdiary.in tiess.online</t>
  </si>
  <si>
    <t>Top Hashtags in Tweet by Count</t>
  </si>
  <si>
    <t>tiess2021 tiessgoesvirtual unitingforeducation uopeople tuitionfree highereducation</t>
  </si>
  <si>
    <t>tiess2021 tiessgoesvirtual highereducation</t>
  </si>
  <si>
    <t>Top Hashtags in Tweet by Salience</t>
  </si>
  <si>
    <t>staytuned unitingforeducation tiess2021 tiessgoesvirtual</t>
  </si>
  <si>
    <t>unitingforeducation tiessgoesvirtual staytuned tiess2021</t>
  </si>
  <si>
    <t>education skills tcsion tiess2021</t>
  </si>
  <si>
    <t>staytuned tiess2021 tiessgoesvirtual unitingforeducation</t>
  </si>
  <si>
    <t>emmpostcovid19 tiess2021 tiessgoesvirtual unitingforeducation</t>
  </si>
  <si>
    <t>unitingforeducation tiess2021 tiessgoesvirtual</t>
  </si>
  <si>
    <t>uopeople tuitionfree highereducation tiess2021 tiessgoesvirtual unitingforeducation</t>
  </si>
  <si>
    <t>tiessgoesvirtual highereducation tiess2021</t>
  </si>
  <si>
    <t>Top Words in Tweet by Count</t>
  </si>
  <si>
    <t>education world's largest virtual conference skills sector set unite global</t>
  </si>
  <si>
    <t>education global leaders collaborate future #tiessgoesvirtual ready meet influential listen</t>
  </si>
  <si>
    <t>education bringing together eminent leaders global community join dialogue schleicheroecd</t>
  </si>
  <si>
    <t>join mr stephan vincent lancrin deputy head division senior analyst</t>
  </si>
  <si>
    <t>education register now #tiessgoesvirtual join #unitingforeducation conversation global summit mr</t>
  </si>
  <si>
    <t>international education listen mr jude sheeran lead cloud innovation programmes</t>
  </si>
  <si>
    <t>skills phenomenal opportunity join conversation dr yoswaroop coo nem life</t>
  </si>
  <si>
    <t>really excited presenting next week note co ceo lyfta along</t>
  </si>
  <si>
    <t>education estonia outstanding opportunity listen renowned international leaders join talks</t>
  </si>
  <si>
    <t>looking forward presenting st next week register now #tiessgoesvirtual #unitingforeducation</t>
  </si>
  <si>
    <t>join conversation mr ramji raghavan founder chairperson agastya international foundation</t>
  </si>
  <si>
    <t>prodigious opportunity join conversation zelfstudie mr koen timmers executive director</t>
  </si>
  <si>
    <t>lanka global leading virtual summit education join dialogue mr manjula</t>
  </si>
  <si>
    <t>education tcs #tcsion skills watch out special session krishnanca business</t>
  </si>
  <si>
    <t>education skills glad official 'transformation partner' world s largest virtual</t>
  </si>
  <si>
    <t>education ready meet influential global leaders listen collaborate contribute future</t>
  </si>
  <si>
    <t>become integral part join conversation prof kwameakyeampong professor international education</t>
  </si>
  <si>
    <t>education #tiessgoesvirtual #unitingforeducation global summit join unesco register now ready</t>
  </si>
  <si>
    <t>uniting leaders global education community miss join dialogue ms moira</t>
  </si>
  <si>
    <t>join league change makers being integral part world s largest</t>
  </si>
  <si>
    <t>education listen thoughtful deliberations future renowned international leaders join dialogue</t>
  </si>
  <si>
    <t>excited part conference next week m chairing panels evidence education</t>
  </si>
  <si>
    <t>education #tiessgoesvirtual #unitingforeducation very much looking forward contributing indiadidac unescoict4d</t>
  </si>
  <si>
    <t>very much looking forward contributing #tiessgoesvirtual #unitingforeducation indiadidac unescoict4d 27th</t>
  </si>
  <si>
    <t>education register now #tiessgoesvirtual great opportunity join conversation shaireshef founder</t>
  </si>
  <si>
    <t>join founder shaireshef conversation education register now #tiessgoesvirtual #unitingforeducation #uopeople</t>
  </si>
  <si>
    <t>big shout partnering org intl associations supporting entities global_vic aws_gov</t>
  </si>
  <si>
    <t>#tiessgoesvirtual #unitingforeducation become integral part join conversation mr yao ydo</t>
  </si>
  <si>
    <t>join #uopeople founder president shaireshef thursday january 28th conversation future</t>
  </si>
  <si>
    <t>live looking forward presenting india tmrw world s largest virtual</t>
  </si>
  <si>
    <t>hear lshayter director generation global talk developing positive attitudes behaviours</t>
  </si>
  <si>
    <t>join thursday s discuss future #highereducation</t>
  </si>
  <si>
    <t>Top Words in Tweet by Salience</t>
  </si>
  <si>
    <t>wait over 1 day 2 days #staytuned world's largest virtual</t>
  </si>
  <si>
    <t>global india international conversation summit mr leaders director talks uk</t>
  </si>
  <si>
    <t>tcs skills watch out special session krishnanca business unit head</t>
  </si>
  <si>
    <t>unesco summit join register now ready meet influential leaders 30</t>
  </si>
  <si>
    <t>very much looking forward contributing indiadidac unescoict4d 27th jan speaking</t>
  </si>
  <si>
    <t>great opportunity join conversation shaireshef founder university people usa international</t>
  </si>
  <si>
    <t>#uopeople president thursday january 28th future higher #tuitionfree #highereducation great</t>
  </si>
  <si>
    <t>Top Word Pairs in Tweet by Count</t>
  </si>
  <si>
    <t>#tiess2021,world's  world's,largest  largest,virtual  virtual,conference  conference,education  education,skills  skills,sector  sector,set  set,unite  unite,global</t>
  </si>
  <si>
    <t>future,education  ready,meet  meet,influential  influential,global  global,leaders  leaders,education  education,listen  listen,collaborate  collaborate,contribute  contribute,future</t>
  </si>
  <si>
    <t>#tiess2021,bringing  bringing,together  together,eminent  eminent,leaders  leaders,global  global,education  education,community  community,join  join,dialogue  dialogue,schleicheroecd</t>
  </si>
  <si>
    <t>join,mr  mr,stephan  stephan,vincent  vincent,lancrin  lancrin,deputy  deputy,head  head,division  division,senior  senior,analyst  analyst,oecd</t>
  </si>
  <si>
    <t>register,now  now,#tiessgoesvirtual  #tiessgoesvirtual,#unitingforeducation  join,conversation  join,talks  international,education  #tiess2021,join  education,leaders  summit,education  education,skills</t>
  </si>
  <si>
    <t>#tiess2021,phenomenal  phenomenal,opportunity  opportunity,join  join,conversation  conversation,dr  dr,yoswaroop  yoswaroop,coo  coo,nem  nem,life  life,skills</t>
  </si>
  <si>
    <t>#tiess2021,outstanding  outstanding,opportunity  opportunity,listen  listen,renowned  renowned,international  international,education  education,leaders  leaders,join  join,talks  talks,mr</t>
  </si>
  <si>
    <t>join,conversation  conversation,mr  mr,ramji  ramji,raghavan  raghavan,founder  founder,chairperson  chairperson,agastya  agastya,international  international,foundation  foundation,india</t>
  </si>
  <si>
    <t>#tiess2021,global  global,leading  leading,virtual  virtual,summit  summit,education  education,join  join,dialogue  dialogue,mr  mr,manjula  manjula,m</t>
  </si>
  <si>
    <t>#tcsion,#tiess2021  education,skills  watch,out  out,special  special,session  session,krishnanca  krishnanca,business  business,unit  unit,head  head,higher</t>
  </si>
  <si>
    <t>education,skills  glad,official  official,'transformation  'transformation,partner'  partner',world  world,s  s,largest  largest,virtual  virtual,conference  conference,education</t>
  </si>
  <si>
    <t>#tiess2021,ready  ready,meet  meet,influential  influential,global  global,leaders  leaders,education  education,listen  listen,collaborate  collaborate,contribute  contribute,future</t>
  </si>
  <si>
    <t>become,integral  integral,part  part,#tiess2021  #tiess2021,join  join,conversation  conversation,prof  prof,kwameakyeampong  kwameakyeampong,professor  professor,international  international,education</t>
  </si>
  <si>
    <t>#tiessgoesvirtual,#unitingforeducation  register,now  now,#tiessgoesvirtual  ready,meet  meet,influential  influential,global  global,leaders  leaders,education  education,30  30,000</t>
  </si>
  <si>
    <t>#tiess2021,uniting  uniting,leaders  leaders,global  global,education  education,community  community,miss  miss,join  join,dialogue  dialogue,ms  ms,moira</t>
  </si>
  <si>
    <t>#tiess2021,join  join,league  league,change  change,makers  makers,being  being,integral  integral,part  part,world  world,s  s,largest</t>
  </si>
  <si>
    <t>listen,thoughtful  thoughtful,deliberations  deliberations,future  future,education  education,renowned  renowned,international  international,education  education,leaders  leaders,join  join,dialogue</t>
  </si>
  <si>
    <t>excited,part  part,#tiess2021  #tiess2021,conference  conference,next  next,week  week,m  m,chairing  chairing,panels  panels,evidence  evidence,education</t>
  </si>
  <si>
    <t>#tiessgoesvirtual,#unitingforeducation  very,much  much,looking  looking,forward  forward,contributing  contributing,#tiess2021  #tiess2021,#tiessgoesvirtual  #unitingforeducation,indiadidac  indiadidac,unescoict4d  unescoict4d,27th</t>
  </si>
  <si>
    <t>very,much  much,looking  looking,forward  forward,contributing  contributing,#tiess2021  #tiess2021,#tiessgoesvirtual  #tiessgoesvirtual,#unitingforeducation  #unitingforeducation,indiadidac  indiadidac,unescoict4d  unescoict4d,27th</t>
  </si>
  <si>
    <t>register,now  now,#tiessgoesvirtual  #tiess2021,great  great,opportunity  opportunity,join  join,conversation  conversation,shaireshef  shaireshef,founder  founder,university  university,people</t>
  </si>
  <si>
    <t>register,now  now,#tiessgoesvirtual  #tiessgoesvirtual,#unitingforeducation  join,#uopeople  #uopeople,founder  founder,president  president,shaireshef  shaireshef,thursday  thursday,january  january,28th</t>
  </si>
  <si>
    <t>#tiess2021,big  big,shout  shout,partnering  partnering,org  org,intl  intl,associations  associations,supporting  supporting,entities  entities,global_vic  global_vic,aws_gov</t>
  </si>
  <si>
    <t>#tiess2021,listen  listen,thoughtful  thoughtful,deliberations  deliberations,future  future,education  education,renowned  renowned,international  international,education  education,leaders  leaders,join</t>
  </si>
  <si>
    <t>join,#uopeople  #uopeople,founder  founder,president  president,shaireshef  shaireshef,thursday  thursday,january  january,28th  28th,#tiess2021  #tiess2021,conversation  conversation,future</t>
  </si>
  <si>
    <t>looking,forward  forward,presenting  presenting,live  live,india  india,tmrw  tmrw,#tiess2021  #tiess2021,world  world,s  s,largest  largest,virtual</t>
  </si>
  <si>
    <t>hear,lshayter  lshayter,director  director,generation  generation,global  global,talk  talk,developing  developing,positive  positive,attitudes  attitudes,behaviours  behaviours,within</t>
  </si>
  <si>
    <t>join,thursday  thursday,#tiess2021  #tiess2021,s  s,discuss  discuss,future  future,#highereducation</t>
  </si>
  <si>
    <t>Top Word Pairs in Tweet by Salience</t>
  </si>
  <si>
    <t>#tiess2021,wait  wait,over  over,ready  speakers,1  1,day  day,go  #tiess2021,ready  speakers,2  2,days  days,go</t>
  </si>
  <si>
    <t>join,conversation  join,talks  international,education  #tiess2021,join  education,leaders  summit,education  education,skills  join,dialogue  future,education  conversation,mr</t>
  </si>
  <si>
    <t>education,skills  watch,out  out,special  special,session  session,krishnanca  krishnanca,business  business,unit  unit,head  head,higher  higher,education</t>
  </si>
  <si>
    <t>register,now  now,#tiessgoesvirtual  ready,meet  meet,influential  influential,global  global,leaders  leaders,education  education,30  30,000  000,delegates</t>
  </si>
  <si>
    <t>very,much  much,looking  looking,forward  forward,contributing  contributing,#tiess2021  #tiess2021,#tiessgoesvirtual  #unitingforeducation,indiadidac  indiadidac,unescoict4d  unescoict4d,27th  27th,jan</t>
  </si>
  <si>
    <t>#tiess2021,great  great,opportunity  opportunity,join  join,conversation  conversation,shaireshef  shaireshef,founder  founder,university  university,people  people,usa  usa,international</t>
  </si>
  <si>
    <t>Word</t>
  </si>
  <si>
    <t>Sentiment List#1</t>
  </si>
  <si>
    <t>Sentiment List#2</t>
  </si>
  <si>
    <t>Sentiment List#3</t>
  </si>
  <si>
    <t>Words in Sentiment List#1</t>
  </si>
  <si>
    <t>Words in Sentiment List#2</t>
  </si>
  <si>
    <t>Words in Sentiment List#3</t>
  </si>
  <si>
    <t>Non-categorized Words</t>
  </si>
  <si>
    <t>Total Words</t>
  </si>
  <si>
    <t>sector</t>
  </si>
  <si>
    <t>virtual</t>
  </si>
  <si>
    <t>international</t>
  </si>
  <si>
    <t>s</t>
  </si>
  <si>
    <t>largest</t>
  </si>
  <si>
    <t>uk</t>
  </si>
  <si>
    <t>listen</t>
  </si>
  <si>
    <t>talks</t>
  </si>
  <si>
    <t>dialogue</t>
  </si>
  <si>
    <t>ms</t>
  </si>
  <si>
    <t>leading</t>
  </si>
  <si>
    <t>conference</t>
  </si>
  <si>
    <t>usa</t>
  </si>
  <si>
    <t>skill</t>
  </si>
  <si>
    <t>renowned</t>
  </si>
  <si>
    <t>meet</t>
  </si>
  <si>
    <t>government</t>
  </si>
  <si>
    <t>foundation</t>
  </si>
  <si>
    <t>phenomenal</t>
  </si>
  <si>
    <t>collaborate</t>
  </si>
  <si>
    <t>university</t>
  </si>
  <si>
    <t>secretary</t>
  </si>
  <si>
    <t>minister</t>
  </si>
  <si>
    <t>thoughtful</t>
  </si>
  <si>
    <t>deliberations</t>
  </si>
  <si>
    <t>ready</t>
  </si>
  <si>
    <t>influential</t>
  </si>
  <si>
    <t>30</t>
  </si>
  <si>
    <t>000</t>
  </si>
  <si>
    <t>delegates</t>
  </si>
  <si>
    <t>80</t>
  </si>
  <si>
    <t>countries</t>
  </si>
  <si>
    <t>150</t>
  </si>
  <si>
    <t>speakers</t>
  </si>
  <si>
    <t>head</t>
  </si>
  <si>
    <t>universities</t>
  </si>
  <si>
    <t>higher</t>
  </si>
  <si>
    <t>chief</t>
  </si>
  <si>
    <t>deputy</t>
  </si>
  <si>
    <t>life</t>
  </si>
  <si>
    <t>prof</t>
  </si>
  <si>
    <t>together</t>
  </si>
  <si>
    <t>former</t>
  </si>
  <si>
    <t>development</t>
  </si>
  <si>
    <t>community</t>
  </si>
  <si>
    <t>contribute</t>
  </si>
  <si>
    <t>go</t>
  </si>
  <si>
    <t>lanka</t>
  </si>
  <si>
    <t>coo</t>
  </si>
  <si>
    <t>nem</t>
  </si>
  <si>
    <t>january</t>
  </si>
  <si>
    <t>institute</t>
  </si>
  <si>
    <t>looking</t>
  </si>
  <si>
    <t>forward</t>
  </si>
  <si>
    <t>officer</t>
  </si>
  <si>
    <t>bureau</t>
  </si>
  <si>
    <t>switzerland</t>
  </si>
  <si>
    <t>world's</t>
  </si>
  <si>
    <t>set</t>
  </si>
  <si>
    <t>unite</t>
  </si>
  <si>
    <t>discussion</t>
  </si>
  <si>
    <t>germany</t>
  </si>
  <si>
    <t>research</t>
  </si>
  <si>
    <t>senior</t>
  </si>
  <si>
    <t>h</t>
  </si>
  <si>
    <t>e</t>
  </si>
  <si>
    <t>kenya</t>
  </si>
  <si>
    <t>ramji</t>
  </si>
  <si>
    <t>raghavan</t>
  </si>
  <si>
    <t>chairperson</t>
  </si>
  <si>
    <t>agastya</t>
  </si>
  <si>
    <t>hear</t>
  </si>
  <si>
    <t>change</t>
  </si>
  <si>
    <t>state</t>
  </si>
  <si>
    <t>second</t>
  </si>
  <si>
    <t>balance</t>
  </si>
  <si>
    <t>between</t>
  </si>
  <si>
    <t>competition</t>
  </si>
  <si>
    <t>collaboration</t>
  </si>
  <si>
    <t>general</t>
  </si>
  <si>
    <t>member</t>
  </si>
  <si>
    <t>ydo</t>
  </si>
  <si>
    <t>professor</t>
  </si>
  <si>
    <t>great</t>
  </si>
  <si>
    <t>thought</t>
  </si>
  <si>
    <t>consultant</t>
  </si>
  <si>
    <t>chair</t>
  </si>
  <si>
    <t>national</t>
  </si>
  <si>
    <t>m</t>
  </si>
  <si>
    <t>2</t>
  </si>
  <si>
    <t>days</t>
  </si>
  <si>
    <t>#staytuned</t>
  </si>
  <si>
    <t>stephan</t>
  </si>
  <si>
    <t>vincent</t>
  </si>
  <si>
    <t>lancrin</t>
  </si>
  <si>
    <t>division</t>
  </si>
  <si>
    <t>analyst</t>
  </si>
  <si>
    <t>france</t>
  </si>
  <si>
    <t>educate</t>
  </si>
  <si>
    <t>tag</t>
  </si>
  <si>
    <t>inc</t>
  </si>
  <si>
    <t>belgium</t>
  </si>
  <si>
    <t>govt</t>
  </si>
  <si>
    <t>estonia</t>
  </si>
  <si>
    <t>bringing</t>
  </si>
  <si>
    <t>eminent</t>
  </si>
  <si>
    <t>#uopeople</t>
  </si>
  <si>
    <t>28th</t>
  </si>
  <si>
    <t>#tuitionfree</t>
  </si>
  <si>
    <t>remarkable</t>
  </si>
  <si>
    <t>hon</t>
  </si>
  <si>
    <t>people</t>
  </si>
  <si>
    <t>advancements</t>
  </si>
  <si>
    <t>provoking</t>
  </si>
  <si>
    <t>discussions</t>
  </si>
  <si>
    <t>distinguished</t>
  </si>
  <si>
    <t>technology</t>
  </si>
  <si>
    <t>countdown</t>
  </si>
  <si>
    <t>begins</t>
  </si>
  <si>
    <t>biggest</t>
  </si>
  <si>
    <t>amazing</t>
  </si>
  <si>
    <t>miss</t>
  </si>
  <si>
    <t>forum</t>
  </si>
  <si>
    <t>asian</t>
  </si>
  <si>
    <t>open</t>
  </si>
  <si>
    <t>ltd</t>
  </si>
  <si>
    <t>manjula</t>
  </si>
  <si>
    <t>dissanayake</t>
  </si>
  <si>
    <t>sri</t>
  </si>
  <si>
    <t>along</t>
  </si>
  <si>
    <t>greater</t>
  </si>
  <si>
    <t>sum</t>
  </si>
  <si>
    <t>parts</t>
  </si>
  <si>
    <t>jude</t>
  </si>
  <si>
    <t>sheeran</t>
  </si>
  <si>
    <t>lead</t>
  </si>
  <si>
    <t>cloud</t>
  </si>
  <si>
    <t>programmes</t>
  </si>
  <si>
    <t>strategy</t>
  </si>
  <si>
    <t>discuss</t>
  </si>
  <si>
    <t>generation</t>
  </si>
  <si>
    <t>talk</t>
  </si>
  <si>
    <t>live</t>
  </si>
  <si>
    <t>out</t>
  </si>
  <si>
    <t>session</t>
  </si>
  <si>
    <t>participate</t>
  </si>
  <si>
    <t>communications</t>
  </si>
  <si>
    <t>big</t>
  </si>
  <si>
    <t>shout</t>
  </si>
  <si>
    <t>partnering</t>
  </si>
  <si>
    <t>org</t>
  </si>
  <si>
    <t>intl</t>
  </si>
  <si>
    <t>associations</t>
  </si>
  <si>
    <t>supporting</t>
  </si>
  <si>
    <t>entities</t>
  </si>
  <si>
    <t>naturenurturecd</t>
  </si>
  <si>
    <t>cell</t>
  </si>
  <si>
    <t>cove</t>
  </si>
  <si>
    <t>news</t>
  </si>
  <si>
    <t>ministers</t>
  </si>
  <si>
    <t>reformists</t>
  </si>
  <si>
    <t>globally</t>
  </si>
  <si>
    <t>joining</t>
  </si>
  <si>
    <t>principal</t>
  </si>
  <si>
    <t>technical</t>
  </si>
  <si>
    <t>michael</t>
  </si>
  <si>
    <t>ger</t>
  </si>
  <si>
    <t>graus</t>
  </si>
  <si>
    <t>obe</t>
  </si>
  <si>
    <t>kidzania</t>
  </si>
  <si>
    <t>leadership</t>
  </si>
  <si>
    <t>quaglia</t>
  </si>
  <si>
    <t>south</t>
  </si>
  <si>
    <t>asia</t>
  </si>
  <si>
    <t>revenue</t>
  </si>
  <si>
    <t>stealth</t>
  </si>
  <si>
    <t>mode</t>
  </si>
  <si>
    <t>good</t>
  </si>
  <si>
    <t>diana</t>
  </si>
  <si>
    <t>vocational</t>
  </si>
  <si>
    <t>ict4d</t>
  </si>
  <si>
    <t>very</t>
  </si>
  <si>
    <t>much</t>
  </si>
  <si>
    <t>contributing</t>
  </si>
  <si>
    <t>27th</t>
  </si>
  <si>
    <t>jan</t>
  </si>
  <si>
    <t>speaking</t>
  </si>
  <si>
    <t>new</t>
  </si>
  <si>
    <t>report</t>
  </si>
  <si>
    <t>marginalised</t>
  </si>
  <si>
    <t>#emmpostcovid19</t>
  </si>
  <si>
    <t>republic</t>
  </si>
  <si>
    <t>maldives</t>
  </si>
  <si>
    <t>uae</t>
  </si>
  <si>
    <t>committee</t>
  </si>
  <si>
    <t>council</t>
  </si>
  <si>
    <t>finland</t>
  </si>
  <si>
    <t>insights</t>
  </si>
  <si>
    <t>advancement</t>
  </si>
  <si>
    <t>play</t>
  </si>
  <si>
    <t>joysy</t>
  </si>
  <si>
    <t>john</t>
  </si>
  <si>
    <t>edtech</t>
  </si>
  <si>
    <t>advisor</t>
  </si>
  <si>
    <t>league</t>
  </si>
  <si>
    <t>makers</t>
  </si>
  <si>
    <t>being</t>
  </si>
  <si>
    <t>tiess</t>
  </si>
  <si>
    <t>uniting</t>
  </si>
  <si>
    <t>moira</t>
  </si>
  <si>
    <t>kelly</t>
  </si>
  <si>
    <t>exploration</t>
  </si>
  <si>
    <t>learning</t>
  </si>
  <si>
    <t>2021</t>
  </si>
  <si>
    <t>program</t>
  </si>
  <si>
    <t>#education</t>
  </si>
  <si>
    <t>#skills</t>
  </si>
  <si>
    <t>business</t>
  </si>
  <si>
    <t>unit</t>
  </si>
  <si>
    <t>services</t>
  </si>
  <si>
    <t>st</t>
  </si>
  <si>
    <t>outstanding</t>
  </si>
  <si>
    <t>mart</t>
  </si>
  <si>
    <t>laidmets</t>
  </si>
  <si>
    <t>aws</t>
  </si>
  <si>
    <t>academy</t>
  </si>
  <si>
    <t>wait</t>
  </si>
  <si>
    <t>over</t>
  </si>
  <si>
    <t>1</t>
  </si>
  <si>
    <t>day</t>
  </si>
  <si>
    <t>board</t>
  </si>
  <si>
    <t>science</t>
  </si>
  <si>
    <t>afghanistan</t>
  </si>
  <si>
    <t>lao</t>
  </si>
  <si>
    <t>pdr</t>
  </si>
  <si>
    <t>kyrgyzstan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</si>
  <si>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</si>
  <si>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</si>
  <si>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</si>
  <si>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</si>
  <si>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</si>
  <si>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</si>
  <si>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</si>
  <si>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</si>
  <si>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</si>
  <si>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</si>
  <si>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</si>
  <si>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</si>
  <si>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</si>
  <si>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</si>
  <si>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</si>
  <si>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</si>
  <si>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</si>
  <si>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</si>
  <si>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</si>
  <si>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</si>
  <si>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</si>
  <si>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</si>
  <si>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</si>
  <si>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</si>
  <si>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</si>
  <si>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</si>
  <si>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</si>
  <si>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</si>
  <si>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</si>
  <si>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</si>
  <si>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</si>
  <si>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</si>
  <si>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</si>
  <si>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</si>
  <si>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</si>
  <si>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</si>
  <si>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</si>
  <si>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</si>
  <si>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</si>
  <si>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</si>
  <si>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</si>
  <si>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</si>
  <si>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</si>
  <si>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</si>
  <si>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</si>
  <si>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</si>
  <si>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</si>
  <si>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</si>
  <si>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</si>
  <si>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</si>
  <si>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</si>
  <si>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</si>
  <si>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</si>
  <si>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</si>
  <si>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</si>
  <si>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</si>
  <si>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</si>
  <si>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</si>
  <si>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</si>
  <si>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</si>
  <si>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</si>
  <si>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</si>
  <si>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</si>
  <si>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</si>
  <si>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</si>
  <si>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</si>
  <si>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Jan</t>
  </si>
  <si>
    <t>19-Jan</t>
  </si>
  <si>
    <t>9 AM</t>
  </si>
  <si>
    <t>11 AM</t>
  </si>
  <si>
    <t>12 PM</t>
  </si>
  <si>
    <t>1 PM</t>
  </si>
  <si>
    <t>3 PM</t>
  </si>
  <si>
    <t>20-Jan</t>
  </si>
  <si>
    <t>5 AM</t>
  </si>
  <si>
    <t>10 AM</t>
  </si>
  <si>
    <t>2 PM</t>
  </si>
  <si>
    <t>21-Jan</t>
  </si>
  <si>
    <t>4 AM</t>
  </si>
  <si>
    <t>6 AM</t>
  </si>
  <si>
    <t>7 AM</t>
  </si>
  <si>
    <t>4 PM</t>
  </si>
  <si>
    <t>8 PM</t>
  </si>
  <si>
    <t>22-Jan</t>
  </si>
  <si>
    <t>8 AM</t>
  </si>
  <si>
    <t>5 PM</t>
  </si>
  <si>
    <t>23-Jan</t>
  </si>
  <si>
    <t>6 PM</t>
  </si>
  <si>
    <t>24-Jan</t>
  </si>
  <si>
    <t>2 AM</t>
  </si>
  <si>
    <t>7 PM</t>
  </si>
  <si>
    <t>25-Jan</t>
  </si>
  <si>
    <t>26-Jan</t>
  </si>
  <si>
    <t>9 PM</t>
  </si>
  <si>
    <t>10 PM</t>
  </si>
  <si>
    <t>11 PM</t>
  </si>
  <si>
    <t>27-Jan</t>
  </si>
  <si>
    <t>1 AM</t>
  </si>
  <si>
    <t>Green</t>
  </si>
  <si>
    <t>26, 115, 0</t>
  </si>
  <si>
    <t>13, 121, 0</t>
  </si>
  <si>
    <t>39, 108, 0</t>
  </si>
  <si>
    <t>Red</t>
  </si>
  <si>
    <t>G1: education #tiess2021 register now #tiessgoesvirtual join #unitingforeducation conversation global summit</t>
  </si>
  <si>
    <t>G2: #tiess2021 education join register #tiessgoesvirtual future now thursday #highereducation founder</t>
  </si>
  <si>
    <t>G3: education #tiess2021 #tiessgoesvirtual #unitingforeducation global skills join register now leaders</t>
  </si>
  <si>
    <t>G4: amity education join conversation dr atul chauhan president group chancellor</t>
  </si>
  <si>
    <t>G5: #tiess2021 ceo really excited presenting next week note co lyfta</t>
  </si>
  <si>
    <t>G6: mission join conversation mr ramanan ramanathan director atal innovation additional</t>
  </si>
  <si>
    <t>G7: hosting couple panels exciting event running later week one empathy</t>
  </si>
  <si>
    <t>G8: education skills #tcsion #tiess2021 tcs glad official 'transformation partner' world</t>
  </si>
  <si>
    <t>G9: #tiess2021 prodigious opportunity join conversation zelfstudie mr koen timmers executive</t>
  </si>
  <si>
    <t>G10: #tiessgoesvirtual #unitingforeducation become integral part #tiess2021 join conversation mr yao</t>
  </si>
  <si>
    <t>G11: international education #tiess2021 listen mr jude sheeran lead cloud innovation</t>
  </si>
  <si>
    <t>G12: education #tiess2021 global leaders collaborate future #tiessgoesvirtual world's largest virtual</t>
  </si>
  <si>
    <t>G13: looking forward presenting st #tiess2021 next week register now #tiessgoesvirtual</t>
  </si>
  <si>
    <t>Edge Weight▓1▓20▓0▓True▓Green▓Red▓▓Edge Weight▓1▓4▓0▓3▓10▓False▓Edge Weight▓1▓20▓0▓32▓6▓False▓▓0▓0▓0▓True▓Black▓Black▓▓Followers▓1▓571424▓0▓162▓1000▓False▓▓0▓0▓0▓0▓0▓False▓▓0▓0▓0▓0▓0▓False▓▓0▓0▓0▓0▓0▓False</t>
  </si>
  <si>
    <t>Subgraph</t>
  </si>
  <si>
    <t>GraphSource░TwitterSearch▓GraphTerm░#TIESS2021▓ImportDescription░The graph represents a network of 116 Twitter users whose recent tweets contained "#TIESS2021", or who were replied to or mentioned in those tweets, taken from a data set limited to a maximum of 18,000 tweets.  The network was obtained from Twitter on Wednesday, 27 January 2021 at 02:07 UTC.
The tweets in the network were tweeted over the 7-day, 14-hour, 14-minute period from Tuesday, 19 January 2021 at 11:34 UTC to Wednesday, 27 January 2021 at 01:48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"mentions".▓ImportSuggestedTitle░#TIESS2021 Twitter NodeXL SNA Map and Report for Wednesday, 27 January 2021 at 02:07 UTC▓ImportSuggestedFileNameNoExtension░2021-01-27 02-07-01 NodeXL Twitter Search #TIESS2021▓GroupingDescription░The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</si>
  <si>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</si>
  <si>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</si>
  <si>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</si>
  <si>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</si>
  <si>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</si>
  <si>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</si>
  <si>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</si>
  <si>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</si>
  <si>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</si>
  <si>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</si>
  <si>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</si>
  <si>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</si>
  <si>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</si>
  <si>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t>
  </si>
  <si>
    <t>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t>
  </si>
  <si>
    <t xml:space="preserve">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</si>
  <si>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</si>
  <si>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#TIESS2021</t>
  </si>
  <si>
    <t>The graph represents a network of 116 Twitter users whose recent tweets contained "#TIESS2021", or who were replied to or mentioned in those tweets, taken from a data set limited to a maximum of 18,000 tweets.  The network was obtained from Twitter on Wednesday, 27 January 2021 at 02:07 UTC.
The tweets in the network were tweeted over the 7-day, 14-hour, 14-minute period from Tuesday, 19 January 2021 at 11:34 UTC to Wednesday, 27 January 2021 at 01:48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</si>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</sst>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4"/>
      <tableStyleElement type="headerRow" dxfId="503"/>
    </tableStyle>
    <tableStyle name="NodeXL Table" pivot="0" count="1">
      <tableStyleElement type="headerRow" dxfId="5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2082"/>
        <c:axId val="12528739"/>
      </c:barChart>
      <c:catAx>
        <c:axId val="13920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28739"/>
        <c:crosses val="autoZero"/>
        <c:auto val="1"/>
        <c:lblOffset val="100"/>
        <c:noMultiLvlLbl val="0"/>
      </c:catAx>
      <c:valAx>
        <c:axId val="12528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#TIESS2021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71"/>
                <c:pt idx="0">
                  <c:v>9 AM
19-Jan
Jan
2021</c:v>
                </c:pt>
                <c:pt idx="1">
                  <c:v>11 AM</c:v>
                </c:pt>
                <c:pt idx="2">
                  <c:v>12 PM</c:v>
                </c:pt>
                <c:pt idx="3">
                  <c:v>1 PM</c:v>
                </c:pt>
                <c:pt idx="4">
                  <c:v>3 PM</c:v>
                </c:pt>
                <c:pt idx="5">
                  <c:v>5 AM
20-Jan</c:v>
                </c:pt>
                <c:pt idx="6">
                  <c:v>10 AM</c:v>
                </c:pt>
                <c:pt idx="7">
                  <c:v>11 AM</c:v>
                </c:pt>
                <c:pt idx="8">
                  <c:v>2 PM</c:v>
                </c:pt>
                <c:pt idx="9">
                  <c:v>4 AM
21-Jan</c:v>
                </c:pt>
                <c:pt idx="10">
                  <c:v>5 AM</c:v>
                </c:pt>
                <c:pt idx="11">
                  <c:v>6 AM</c:v>
                </c:pt>
                <c:pt idx="12">
                  <c:v>7 AM</c:v>
                </c:pt>
                <c:pt idx="13">
                  <c:v>9 AM</c:v>
                </c:pt>
                <c:pt idx="14">
                  <c:v>11 AM</c:v>
                </c:pt>
                <c:pt idx="15">
                  <c:v>12 PM</c:v>
                </c:pt>
                <c:pt idx="16">
                  <c:v>2 PM</c:v>
                </c:pt>
                <c:pt idx="17">
                  <c:v>3 PM</c:v>
                </c:pt>
                <c:pt idx="18">
                  <c:v>4 PM</c:v>
                </c:pt>
                <c:pt idx="19">
                  <c:v>8 PM</c:v>
                </c:pt>
                <c:pt idx="20">
                  <c:v>5 AM
22-Jan</c:v>
                </c:pt>
                <c:pt idx="21">
                  <c:v>6 AM</c:v>
                </c:pt>
                <c:pt idx="22">
                  <c:v>7 AM</c:v>
                </c:pt>
                <c:pt idx="23">
                  <c:v>8 AM</c:v>
                </c:pt>
                <c:pt idx="24">
                  <c:v>9 AM</c:v>
                </c:pt>
                <c:pt idx="25">
                  <c:v>10 AM</c:v>
                </c:pt>
                <c:pt idx="26">
                  <c:v>11 AM</c:v>
                </c:pt>
                <c:pt idx="27">
                  <c:v>12 PM</c:v>
                </c:pt>
                <c:pt idx="28">
                  <c:v>1 PM</c:v>
                </c:pt>
                <c:pt idx="29">
                  <c:v>2 PM</c:v>
                </c:pt>
                <c:pt idx="30">
                  <c:v>3 PM</c:v>
                </c:pt>
                <c:pt idx="31">
                  <c:v>4 PM</c:v>
                </c:pt>
                <c:pt idx="32">
                  <c:v>5 PM</c:v>
                </c:pt>
                <c:pt idx="33">
                  <c:v>6 AM
23-Jan</c:v>
                </c:pt>
                <c:pt idx="34">
                  <c:v>7 AM</c:v>
                </c:pt>
                <c:pt idx="35">
                  <c:v>8 AM</c:v>
                </c:pt>
                <c:pt idx="36">
                  <c:v>9 AM</c:v>
                </c:pt>
                <c:pt idx="37">
                  <c:v>10 AM</c:v>
                </c:pt>
                <c:pt idx="38">
                  <c:v>11 AM</c:v>
                </c:pt>
                <c:pt idx="39">
                  <c:v>12 PM</c:v>
                </c:pt>
                <c:pt idx="40">
                  <c:v>1 PM</c:v>
                </c:pt>
                <c:pt idx="41">
                  <c:v>3 PM</c:v>
                </c:pt>
                <c:pt idx="42">
                  <c:v>6 PM</c:v>
                </c:pt>
                <c:pt idx="43">
                  <c:v>2 AM
24-Jan</c:v>
                </c:pt>
                <c:pt idx="44">
                  <c:v>4 AM</c:v>
                </c:pt>
                <c:pt idx="45">
                  <c:v>2 PM</c:v>
                </c:pt>
                <c:pt idx="46">
                  <c:v>4 PM</c:v>
                </c:pt>
                <c:pt idx="47">
                  <c:v>6 PM</c:v>
                </c:pt>
                <c:pt idx="48">
                  <c:v>7 PM</c:v>
                </c:pt>
                <c:pt idx="49">
                  <c:v>8 PM</c:v>
                </c:pt>
                <c:pt idx="50">
                  <c:v>6 AM
25-Jan</c:v>
                </c:pt>
                <c:pt idx="51">
                  <c:v>7 AM</c:v>
                </c:pt>
                <c:pt idx="52">
                  <c:v>8 AM</c:v>
                </c:pt>
                <c:pt idx="53">
                  <c:v>9 AM</c:v>
                </c:pt>
                <c:pt idx="54">
                  <c:v>10 AM</c:v>
                </c:pt>
                <c:pt idx="55">
                  <c:v>1 PM</c:v>
                </c:pt>
                <c:pt idx="56">
                  <c:v>5 PM</c:v>
                </c:pt>
                <c:pt idx="57">
                  <c:v>6 AM
26-Jan</c:v>
                </c:pt>
                <c:pt idx="58">
                  <c:v>7 AM</c:v>
                </c:pt>
                <c:pt idx="59">
                  <c:v>8 AM</c:v>
                </c:pt>
                <c:pt idx="60">
                  <c:v>9 AM</c:v>
                </c:pt>
                <c:pt idx="61">
                  <c:v>11 AM</c:v>
                </c:pt>
                <c:pt idx="62">
                  <c:v>12 PM</c:v>
                </c:pt>
                <c:pt idx="63">
                  <c:v>1 PM</c:v>
                </c:pt>
                <c:pt idx="64">
                  <c:v>2 PM</c:v>
                </c:pt>
                <c:pt idx="65">
                  <c:v>3 PM</c:v>
                </c:pt>
                <c:pt idx="66">
                  <c:v>4 PM</c:v>
                </c:pt>
                <c:pt idx="67">
                  <c:v>9 PM</c:v>
                </c:pt>
                <c:pt idx="68">
                  <c:v>10 PM</c:v>
                </c:pt>
                <c:pt idx="69">
                  <c:v>11 PM</c:v>
                </c:pt>
                <c:pt idx="70">
                  <c:v>1 AM
27-Jan</c:v>
                </c:pt>
              </c:strCache>
            </c:strRef>
          </c:cat>
          <c:val>
            <c:numRef>
              <c:f>'Time Series'!$B$26:$B$108</c:f>
              <c:numCache>
                <c:formatCode>General</c:formatCode>
                <c:ptCount val="71"/>
                <c:pt idx="0">
                  <c:v>2</c:v>
                </c:pt>
                <c:pt idx="1">
                  <c:v>5</c:v>
                </c:pt>
                <c:pt idx="2">
                  <c:v>2</c:v>
                </c:pt>
                <c:pt idx="3">
                  <c:v>2</c:v>
                </c:pt>
                <c:pt idx="4">
                  <c:v>1</c:v>
                </c:pt>
                <c:pt idx="5">
                  <c:v>2</c:v>
                </c:pt>
                <c:pt idx="6">
                  <c:v>2</c:v>
                </c:pt>
                <c:pt idx="7">
                  <c:v>1</c:v>
                </c:pt>
                <c:pt idx="8">
                  <c:v>1</c:v>
                </c:pt>
                <c:pt idx="9">
                  <c:v>2</c:v>
                </c:pt>
                <c:pt idx="10">
                  <c:v>3</c:v>
                </c:pt>
                <c:pt idx="11">
                  <c:v>3</c:v>
                </c:pt>
                <c:pt idx="12">
                  <c:v>2</c:v>
                </c:pt>
                <c:pt idx="13">
                  <c:v>4</c:v>
                </c:pt>
                <c:pt idx="14">
                  <c:v>1</c:v>
                </c:pt>
                <c:pt idx="15">
                  <c:v>1</c:v>
                </c:pt>
                <c:pt idx="16">
                  <c:v>1</c:v>
                </c:pt>
                <c:pt idx="17">
                  <c:v>1</c:v>
                </c:pt>
                <c:pt idx="18">
                  <c:v>1</c:v>
                </c:pt>
                <c:pt idx="19">
                  <c:v>1</c:v>
                </c:pt>
                <c:pt idx="20">
                  <c:v>1</c:v>
                </c:pt>
                <c:pt idx="21">
                  <c:v>1</c:v>
                </c:pt>
                <c:pt idx="22">
                  <c:v>2</c:v>
                </c:pt>
                <c:pt idx="23">
                  <c:v>4</c:v>
                </c:pt>
                <c:pt idx="24">
                  <c:v>6</c:v>
                </c:pt>
                <c:pt idx="25">
                  <c:v>2</c:v>
                </c:pt>
                <c:pt idx="26">
                  <c:v>7</c:v>
                </c:pt>
                <c:pt idx="27">
                  <c:v>3</c:v>
                </c:pt>
                <c:pt idx="28">
                  <c:v>7</c:v>
                </c:pt>
                <c:pt idx="29">
                  <c:v>5</c:v>
                </c:pt>
                <c:pt idx="30">
                  <c:v>3</c:v>
                </c:pt>
                <c:pt idx="31">
                  <c:v>1</c:v>
                </c:pt>
                <c:pt idx="32">
                  <c:v>1</c:v>
                </c:pt>
                <c:pt idx="33">
                  <c:v>1</c:v>
                </c:pt>
                <c:pt idx="34">
                  <c:v>3</c:v>
                </c:pt>
                <c:pt idx="35">
                  <c:v>3</c:v>
                </c:pt>
                <c:pt idx="36">
                  <c:v>1</c:v>
                </c:pt>
                <c:pt idx="37">
                  <c:v>5</c:v>
                </c:pt>
                <c:pt idx="38">
                  <c:v>2</c:v>
                </c:pt>
                <c:pt idx="39">
                  <c:v>1</c:v>
                </c:pt>
                <c:pt idx="40">
                  <c:v>3</c:v>
                </c:pt>
                <c:pt idx="41">
                  <c:v>1</c:v>
                </c:pt>
                <c:pt idx="42">
                  <c:v>1</c:v>
                </c:pt>
                <c:pt idx="43">
                  <c:v>1</c:v>
                </c:pt>
                <c:pt idx="44">
                  <c:v>1</c:v>
                </c:pt>
                <c:pt idx="45">
                  <c:v>1</c:v>
                </c:pt>
                <c:pt idx="46">
                  <c:v>2</c:v>
                </c:pt>
                <c:pt idx="47">
                  <c:v>1</c:v>
                </c:pt>
                <c:pt idx="48">
                  <c:v>1</c:v>
                </c:pt>
                <c:pt idx="49">
                  <c:v>2</c:v>
                </c:pt>
                <c:pt idx="50">
                  <c:v>2</c:v>
                </c:pt>
                <c:pt idx="51">
                  <c:v>1</c:v>
                </c:pt>
                <c:pt idx="52">
                  <c:v>1</c:v>
                </c:pt>
                <c:pt idx="53">
                  <c:v>2</c:v>
                </c:pt>
                <c:pt idx="54">
                  <c:v>3</c:v>
                </c:pt>
                <c:pt idx="55">
                  <c:v>4</c:v>
                </c:pt>
                <c:pt idx="56">
                  <c:v>1</c:v>
                </c:pt>
                <c:pt idx="57">
                  <c:v>1</c:v>
                </c:pt>
                <c:pt idx="58">
                  <c:v>1</c:v>
                </c:pt>
                <c:pt idx="59">
                  <c:v>2</c:v>
                </c:pt>
                <c:pt idx="60">
                  <c:v>1</c:v>
                </c:pt>
                <c:pt idx="61">
                  <c:v>3</c:v>
                </c:pt>
                <c:pt idx="62">
                  <c:v>2</c:v>
                </c:pt>
                <c:pt idx="63">
                  <c:v>4</c:v>
                </c:pt>
                <c:pt idx="64">
                  <c:v>1</c:v>
                </c:pt>
                <c:pt idx="65">
                  <c:v>1</c:v>
                </c:pt>
                <c:pt idx="66">
                  <c:v>3</c:v>
                </c:pt>
                <c:pt idx="67">
                  <c:v>3</c:v>
                </c:pt>
                <c:pt idx="68">
                  <c:v>1</c:v>
                </c:pt>
                <c:pt idx="69">
                  <c:v>1</c:v>
                </c:pt>
                <c:pt idx="70">
                  <c:v>2</c:v>
                </c:pt>
              </c:numCache>
            </c:numRef>
          </c:val>
        </c:ser>
        <c:axId val="42736972"/>
        <c:axId val="49088429"/>
      </c:barChart>
      <c:catAx>
        <c:axId val="42736972"/>
        <c:scaling>
          <c:orientation val="minMax"/>
        </c:scaling>
        <c:axPos val="b"/>
        <c:delete val="0"/>
        <c:numFmt formatCode="General" sourceLinked="1"/>
        <c:majorTickMark val="out"/>
        <c:minorTickMark val="none"/>
        <c:tickLblPos val="nextTo"/>
        <c:crossAx val="49088429"/>
        <c:crosses val="autoZero"/>
        <c:auto val="1"/>
        <c:lblOffset val="100"/>
        <c:noMultiLvlLbl val="0"/>
      </c:catAx>
      <c:valAx>
        <c:axId val="49088429"/>
        <c:scaling>
          <c:orientation val="minMax"/>
        </c:scaling>
        <c:axPos val="l"/>
        <c:majorGridlines/>
        <c:delete val="0"/>
        <c:numFmt formatCode="General" sourceLinked="1"/>
        <c:majorTickMark val="out"/>
        <c:minorTickMark val="none"/>
        <c:tickLblPos val="nextTo"/>
        <c:crossAx val="42736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49788"/>
        <c:axId val="8194909"/>
      </c:barChart>
      <c:catAx>
        <c:axId val="45649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94909"/>
        <c:crosses val="autoZero"/>
        <c:auto val="1"/>
        <c:lblOffset val="100"/>
        <c:noMultiLvlLbl val="0"/>
      </c:catAx>
      <c:valAx>
        <c:axId val="8194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49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45318"/>
        <c:axId val="59807863"/>
      </c:barChart>
      <c:catAx>
        <c:axId val="6645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07863"/>
        <c:crosses val="autoZero"/>
        <c:auto val="1"/>
        <c:lblOffset val="100"/>
        <c:noMultiLvlLbl val="0"/>
      </c:catAx>
      <c:valAx>
        <c:axId val="59807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9856"/>
        <c:axId val="12598705"/>
      </c:barChart>
      <c:catAx>
        <c:axId val="13998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98705"/>
        <c:crosses val="autoZero"/>
        <c:auto val="1"/>
        <c:lblOffset val="100"/>
        <c:noMultiLvlLbl val="0"/>
      </c:catAx>
      <c:valAx>
        <c:axId val="1259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279482"/>
        <c:axId val="13862155"/>
      </c:barChart>
      <c:catAx>
        <c:axId val="46279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62155"/>
        <c:crosses val="autoZero"/>
        <c:auto val="1"/>
        <c:lblOffset val="100"/>
        <c:noMultiLvlLbl val="0"/>
      </c:catAx>
      <c:valAx>
        <c:axId val="1386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7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650532"/>
        <c:axId val="49092741"/>
      </c:barChart>
      <c:catAx>
        <c:axId val="57650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092741"/>
        <c:crosses val="autoZero"/>
        <c:auto val="1"/>
        <c:lblOffset val="100"/>
        <c:noMultiLvlLbl val="0"/>
      </c:catAx>
      <c:valAx>
        <c:axId val="4909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181486"/>
        <c:axId val="17089055"/>
      </c:barChart>
      <c:catAx>
        <c:axId val="391814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89055"/>
        <c:crosses val="autoZero"/>
        <c:auto val="1"/>
        <c:lblOffset val="100"/>
        <c:noMultiLvlLbl val="0"/>
      </c:catAx>
      <c:valAx>
        <c:axId val="1708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83768"/>
        <c:axId val="42036185"/>
      </c:barChart>
      <c:catAx>
        <c:axId val="19583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36185"/>
        <c:crosses val="autoZero"/>
        <c:auto val="1"/>
        <c:lblOffset val="100"/>
        <c:noMultiLvlLbl val="0"/>
      </c:catAx>
      <c:valAx>
        <c:axId val="4203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3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781346"/>
        <c:axId val="49487795"/>
      </c:barChart>
      <c:catAx>
        <c:axId val="42781346"/>
        <c:scaling>
          <c:orientation val="minMax"/>
        </c:scaling>
        <c:axPos val="b"/>
        <c:delete val="1"/>
        <c:majorTickMark val="out"/>
        <c:minorTickMark val="none"/>
        <c:tickLblPos val="none"/>
        <c:crossAx val="49487795"/>
        <c:crosses val="autoZero"/>
        <c:auto val="1"/>
        <c:lblOffset val="100"/>
        <c:noMultiLvlLbl val="0"/>
      </c:catAx>
      <c:valAx>
        <c:axId val="49487795"/>
        <c:scaling>
          <c:orientation val="minMax"/>
        </c:scaling>
        <c:axPos val="l"/>
        <c:delete val="1"/>
        <c:majorTickMark val="out"/>
        <c:minorTickMark val="none"/>
        <c:tickLblPos val="none"/>
        <c:crossAx val="42781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rajeshan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didacin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mohitsparih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fachportalpa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oecdeduskil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schleicheroec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indiadida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untiporar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hinabhagwan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awsclou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sarka00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shail6733011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yoswaroo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meenakshipa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shivanikdmishr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christallaj"/>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paulinaterv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serdarferi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patisseriefil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estoniaed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m_rue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oec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noidaagb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amitypresiden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adatewithcoco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amityun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anjani_kb"/>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fonsstoeling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aimtoinnovat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rraman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nitiaayo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bhila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imgauravsoo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muriel21400928"/>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olliebra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drsantanugupt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aizadkhurshee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mehulch06582077"/>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agastyaspark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mukesh4996309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sanatan9673590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afreen5007946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takeactioned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zelfstudi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1" name="Subgraph-educatelank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3" name="Subgraph-manjula_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5" name="Subgraph-tcs_i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7" name="Subgraph-tc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9" name="Subgraph-krishnanc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101" name="Subgraph-ashokama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103" name="Subgraph-tweeterett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105" name="Subgraph-debijule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107" name="Subgraph-kthiag2000"/>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109" name="Subgraph-emuvunyi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111" name="Subgraph-kwameakyeampong"/>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113" name="Subgraph-dianamwa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115" name="Subgraph-gavindk"/>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117" name="Subgraph-worldomep"/>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119" name="Subgraph-pratham_indi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121" name="Subgraph-mkelly_expl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123" name="Subgraph-exploliv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125" name="Subgraph-lyftaed"/>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127" name="Subgraph-joysyj"/>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129" name="Subgraph-kw_research"/>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131" name="Subgraph-mbrechn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133" name="Subgraph-sakuidealis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135" name="Subgraph-blomgu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137" name="Subgraph-gedcounci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139" name="Subgraph-moeducationua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141" name="Subgraph-moedumv"/>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143" name="Subgraph-arasheedg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145" name="Subgraph-timunwi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147" name="Subgraph-unescoict4d"/>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149" name="Subgraph-unesco"/>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151" name="Subgraph-upgov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153" name="Subgraph-diana_elaza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155" name="Subgraph-christensenins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175575"/>
          <a:ext cx="571500" cy="381000"/>
        </a:xfrm>
        <a:prstGeom prst="rect">
          <a:avLst/>
        </a:prstGeom>
        <a:ln>
          <a:noFill/>
        </a:ln>
      </xdr:spPr>
    </xdr:pic>
    <xdr:clientData/>
  </xdr:twoCellAnchor>
  <xdr:twoCellAnchor editAs="oneCell">
    <xdr:from>
      <xdr:col>1</xdr:col>
      <xdr:colOff>28575</xdr:colOff>
      <xdr:row>79</xdr:row>
      <xdr:rowOff>28575</xdr:rowOff>
    </xdr:from>
    <xdr:to>
      <xdr:col>1</xdr:col>
      <xdr:colOff>600075</xdr:colOff>
      <xdr:row>79</xdr:row>
      <xdr:rowOff>409575</xdr:rowOff>
    </xdr:to>
    <xdr:pic>
      <xdr:nvPicPr>
        <xdr:cNvPr id="157" name="Subgraph-chelseawait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604200"/>
          <a:ext cx="571500" cy="381000"/>
        </a:xfrm>
        <a:prstGeom prst="rect">
          <a:avLst/>
        </a:prstGeom>
        <a:ln>
          <a:noFill/>
        </a:ln>
      </xdr:spPr>
    </xdr:pic>
    <xdr:clientData/>
  </xdr:twoCellAnchor>
  <xdr:twoCellAnchor editAs="oneCell">
    <xdr:from>
      <xdr:col>1</xdr:col>
      <xdr:colOff>28575</xdr:colOff>
      <xdr:row>80</xdr:row>
      <xdr:rowOff>28575</xdr:rowOff>
    </xdr:from>
    <xdr:to>
      <xdr:col>1</xdr:col>
      <xdr:colOff>600075</xdr:colOff>
      <xdr:row>80</xdr:row>
      <xdr:rowOff>409575</xdr:rowOff>
    </xdr:to>
    <xdr:pic>
      <xdr:nvPicPr>
        <xdr:cNvPr id="159" name="Subgraph-irislapinsk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4032825"/>
          <a:ext cx="571500" cy="381000"/>
        </a:xfrm>
        <a:prstGeom prst="rect">
          <a:avLst/>
        </a:prstGeom>
        <a:ln>
          <a:noFill/>
        </a:ln>
      </xdr:spPr>
    </xdr:pic>
    <xdr:clientData/>
  </xdr:twoCellAnchor>
  <xdr:twoCellAnchor editAs="oneCell">
    <xdr:from>
      <xdr:col>1</xdr:col>
      <xdr:colOff>28575</xdr:colOff>
      <xdr:row>81</xdr:row>
      <xdr:rowOff>28575</xdr:rowOff>
    </xdr:from>
    <xdr:to>
      <xdr:col>1</xdr:col>
      <xdr:colOff>600075</xdr:colOff>
      <xdr:row>81</xdr:row>
      <xdr:rowOff>409575</xdr:rowOff>
    </xdr:to>
    <xdr:pic>
      <xdr:nvPicPr>
        <xdr:cNvPr id="161" name="Subgraph-gus_educati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4461450"/>
          <a:ext cx="571500" cy="381000"/>
        </a:xfrm>
        <a:prstGeom prst="rect">
          <a:avLst/>
        </a:prstGeom>
        <a:ln>
          <a:noFill/>
        </a:ln>
      </xdr:spPr>
    </xdr:pic>
    <xdr:clientData/>
  </xdr:twoCellAnchor>
  <xdr:twoCellAnchor editAs="oneCell">
    <xdr:from>
      <xdr:col>1</xdr:col>
      <xdr:colOff>28575</xdr:colOff>
      <xdr:row>82</xdr:row>
      <xdr:rowOff>28575</xdr:rowOff>
    </xdr:from>
    <xdr:to>
      <xdr:col>1</xdr:col>
      <xdr:colOff>600075</xdr:colOff>
      <xdr:row>82</xdr:row>
      <xdr:rowOff>409575</xdr:rowOff>
    </xdr:to>
    <xdr:pic>
      <xdr:nvPicPr>
        <xdr:cNvPr id="163" name="Subgraph-michellewade99"/>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890075"/>
          <a:ext cx="571500" cy="381000"/>
        </a:xfrm>
        <a:prstGeom prst="rect">
          <a:avLst/>
        </a:prstGeom>
        <a:ln>
          <a:noFill/>
        </a:ln>
      </xdr:spPr>
    </xdr:pic>
    <xdr:clientData/>
  </xdr:twoCellAnchor>
  <xdr:twoCellAnchor editAs="oneCell">
    <xdr:from>
      <xdr:col>1</xdr:col>
      <xdr:colOff>28575</xdr:colOff>
      <xdr:row>83</xdr:row>
      <xdr:rowOff>28575</xdr:rowOff>
    </xdr:from>
    <xdr:to>
      <xdr:col>1</xdr:col>
      <xdr:colOff>600075</xdr:colOff>
      <xdr:row>83</xdr:row>
      <xdr:rowOff>409575</xdr:rowOff>
    </xdr:to>
    <xdr:pic>
      <xdr:nvPicPr>
        <xdr:cNvPr id="165" name="Subgraph-thoughtbox_e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318700"/>
          <a:ext cx="571500" cy="381000"/>
        </a:xfrm>
        <a:prstGeom prst="rect">
          <a:avLst/>
        </a:prstGeom>
        <a:ln>
          <a:noFill/>
        </a:ln>
      </xdr:spPr>
    </xdr:pic>
    <xdr:clientData/>
  </xdr:twoCellAnchor>
  <xdr:twoCellAnchor editAs="oneCell">
    <xdr:from>
      <xdr:col>1</xdr:col>
      <xdr:colOff>28575</xdr:colOff>
      <xdr:row>84</xdr:row>
      <xdr:rowOff>28575</xdr:rowOff>
    </xdr:from>
    <xdr:to>
      <xdr:col>1</xdr:col>
      <xdr:colOff>600075</xdr:colOff>
      <xdr:row>84</xdr:row>
      <xdr:rowOff>409575</xdr:rowOff>
    </xdr:to>
    <xdr:pic>
      <xdr:nvPicPr>
        <xdr:cNvPr id="167" name="Subgraph-drrussq"/>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747325"/>
          <a:ext cx="571500" cy="381000"/>
        </a:xfrm>
        <a:prstGeom prst="rect">
          <a:avLst/>
        </a:prstGeom>
        <a:ln>
          <a:noFill/>
        </a:ln>
      </xdr:spPr>
    </xdr:pic>
    <xdr:clientData/>
  </xdr:twoCellAnchor>
  <xdr:twoCellAnchor editAs="oneCell">
    <xdr:from>
      <xdr:col>1</xdr:col>
      <xdr:colOff>28575</xdr:colOff>
      <xdr:row>85</xdr:row>
      <xdr:rowOff>28575</xdr:rowOff>
    </xdr:from>
    <xdr:to>
      <xdr:col>1</xdr:col>
      <xdr:colOff>600075</xdr:colOff>
      <xdr:row>85</xdr:row>
      <xdr:rowOff>409575</xdr:rowOff>
    </xdr:to>
    <xdr:pic>
      <xdr:nvPicPr>
        <xdr:cNvPr id="169" name="Subgraph-connect_adity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6175950"/>
          <a:ext cx="571500" cy="381000"/>
        </a:xfrm>
        <a:prstGeom prst="rect">
          <a:avLst/>
        </a:prstGeom>
        <a:ln>
          <a:noFill/>
        </a:ln>
      </xdr:spPr>
    </xdr:pic>
    <xdr:clientData/>
  </xdr:twoCellAnchor>
  <xdr:twoCellAnchor editAs="oneCell">
    <xdr:from>
      <xdr:col>1</xdr:col>
      <xdr:colOff>28575</xdr:colOff>
      <xdr:row>86</xdr:row>
      <xdr:rowOff>28575</xdr:rowOff>
    </xdr:from>
    <xdr:to>
      <xdr:col>1</xdr:col>
      <xdr:colOff>600075</xdr:colOff>
      <xdr:row>86</xdr:row>
      <xdr:rowOff>409575</xdr:rowOff>
    </xdr:to>
    <xdr:pic>
      <xdr:nvPicPr>
        <xdr:cNvPr id="171" name="Subgraph-uopeopl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6604575"/>
          <a:ext cx="571500" cy="381000"/>
        </a:xfrm>
        <a:prstGeom prst="rect">
          <a:avLst/>
        </a:prstGeom>
        <a:ln>
          <a:noFill/>
        </a:ln>
      </xdr:spPr>
    </xdr:pic>
    <xdr:clientData/>
  </xdr:twoCellAnchor>
  <xdr:twoCellAnchor editAs="oneCell">
    <xdr:from>
      <xdr:col>1</xdr:col>
      <xdr:colOff>28575</xdr:colOff>
      <xdr:row>87</xdr:row>
      <xdr:rowOff>28575</xdr:rowOff>
    </xdr:from>
    <xdr:to>
      <xdr:col>1</xdr:col>
      <xdr:colOff>600075</xdr:colOff>
      <xdr:row>87</xdr:row>
      <xdr:rowOff>409575</xdr:rowOff>
    </xdr:to>
    <xdr:pic>
      <xdr:nvPicPr>
        <xdr:cNvPr id="173" name="Subgraph-shaireshef"/>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7033200"/>
          <a:ext cx="571500" cy="381000"/>
        </a:xfrm>
        <a:prstGeom prst="rect">
          <a:avLst/>
        </a:prstGeom>
        <a:ln>
          <a:noFill/>
        </a:ln>
      </xdr:spPr>
    </xdr:pic>
    <xdr:clientData/>
  </xdr:twoCellAnchor>
  <xdr:twoCellAnchor editAs="oneCell">
    <xdr:from>
      <xdr:col>1</xdr:col>
      <xdr:colOff>28575</xdr:colOff>
      <xdr:row>88</xdr:row>
      <xdr:rowOff>28575</xdr:rowOff>
    </xdr:from>
    <xdr:to>
      <xdr:col>1</xdr:col>
      <xdr:colOff>600075</xdr:colOff>
      <xdr:row>88</xdr:row>
      <xdr:rowOff>409575</xdr:rowOff>
    </xdr:to>
    <xdr:pic>
      <xdr:nvPicPr>
        <xdr:cNvPr id="175" name="Subgraph-cjpwrigh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7461825"/>
          <a:ext cx="571500" cy="381000"/>
        </a:xfrm>
        <a:prstGeom prst="rect">
          <a:avLst/>
        </a:prstGeom>
        <a:ln>
          <a:noFill/>
        </a:ln>
      </xdr:spPr>
    </xdr:pic>
    <xdr:clientData/>
  </xdr:twoCellAnchor>
  <xdr:twoCellAnchor editAs="oneCell">
    <xdr:from>
      <xdr:col>1</xdr:col>
      <xdr:colOff>28575</xdr:colOff>
      <xdr:row>89</xdr:row>
      <xdr:rowOff>28575</xdr:rowOff>
    </xdr:from>
    <xdr:to>
      <xdr:col>1</xdr:col>
      <xdr:colOff>600075</xdr:colOff>
      <xdr:row>89</xdr:row>
      <xdr:rowOff>409575</xdr:rowOff>
    </xdr:to>
    <xdr:pic>
      <xdr:nvPicPr>
        <xdr:cNvPr id="177" name="Subgraph-educationgovuk"/>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7890450"/>
          <a:ext cx="571500" cy="381000"/>
        </a:xfrm>
        <a:prstGeom prst="rect">
          <a:avLst/>
        </a:prstGeom>
        <a:ln>
          <a:noFill/>
        </a:ln>
      </xdr:spPr>
    </xdr:pic>
    <xdr:clientData/>
  </xdr:twoCellAnchor>
  <xdr:twoCellAnchor editAs="oneCell">
    <xdr:from>
      <xdr:col>1</xdr:col>
      <xdr:colOff>28575</xdr:colOff>
      <xdr:row>90</xdr:row>
      <xdr:rowOff>28575</xdr:rowOff>
    </xdr:from>
    <xdr:to>
      <xdr:col>1</xdr:col>
      <xdr:colOff>600075</xdr:colOff>
      <xdr:row>90</xdr:row>
      <xdr:rowOff>409575</xdr:rowOff>
    </xdr:to>
    <xdr:pic>
      <xdr:nvPicPr>
        <xdr:cNvPr id="179" name="Subgraph-damianhin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8319075"/>
          <a:ext cx="571500" cy="381000"/>
        </a:xfrm>
        <a:prstGeom prst="rect">
          <a:avLst/>
        </a:prstGeom>
        <a:ln>
          <a:noFill/>
        </a:ln>
      </xdr:spPr>
    </xdr:pic>
    <xdr:clientData/>
  </xdr:twoCellAnchor>
  <xdr:twoCellAnchor editAs="oneCell">
    <xdr:from>
      <xdr:col>1</xdr:col>
      <xdr:colOff>28575</xdr:colOff>
      <xdr:row>91</xdr:row>
      <xdr:rowOff>28575</xdr:rowOff>
    </xdr:from>
    <xdr:to>
      <xdr:col>1</xdr:col>
      <xdr:colOff>600075</xdr:colOff>
      <xdr:row>91</xdr:row>
      <xdr:rowOff>409575</xdr:rowOff>
    </xdr:to>
    <xdr:pic>
      <xdr:nvPicPr>
        <xdr:cNvPr id="181" name="Subgraph-sharath36"/>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8747700"/>
          <a:ext cx="571500" cy="381000"/>
        </a:xfrm>
        <a:prstGeom prst="rect">
          <a:avLst/>
        </a:prstGeom>
        <a:ln>
          <a:noFill/>
        </a:ln>
      </xdr:spPr>
    </xdr:pic>
    <xdr:clientData/>
  </xdr:twoCellAnchor>
  <xdr:twoCellAnchor editAs="oneCell">
    <xdr:from>
      <xdr:col>1</xdr:col>
      <xdr:colOff>28575</xdr:colOff>
      <xdr:row>92</xdr:row>
      <xdr:rowOff>28575</xdr:rowOff>
    </xdr:from>
    <xdr:to>
      <xdr:col>1</xdr:col>
      <xdr:colOff>600075</xdr:colOff>
      <xdr:row>92</xdr:row>
      <xdr:rowOff>409575</xdr:rowOff>
    </xdr:to>
    <xdr:pic>
      <xdr:nvPicPr>
        <xdr:cNvPr id="183" name="Subgraph-grausge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9176325"/>
          <a:ext cx="571500" cy="381000"/>
        </a:xfrm>
        <a:prstGeom prst="rect">
          <a:avLst/>
        </a:prstGeom>
        <a:ln>
          <a:noFill/>
        </a:ln>
      </xdr:spPr>
    </xdr:pic>
    <xdr:clientData/>
  </xdr:twoCellAnchor>
  <xdr:twoCellAnchor editAs="oneCell">
    <xdr:from>
      <xdr:col>1</xdr:col>
      <xdr:colOff>28575</xdr:colOff>
      <xdr:row>93</xdr:row>
      <xdr:rowOff>28575</xdr:rowOff>
    </xdr:from>
    <xdr:to>
      <xdr:col>1</xdr:col>
      <xdr:colOff>600075</xdr:colOff>
      <xdr:row>93</xdr:row>
      <xdr:rowOff>409575</xdr:rowOff>
    </xdr:to>
    <xdr:pic>
      <xdr:nvPicPr>
        <xdr:cNvPr id="185" name="Subgraph-cit_ccis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604950"/>
          <a:ext cx="571500" cy="381000"/>
        </a:xfrm>
        <a:prstGeom prst="rect">
          <a:avLst/>
        </a:prstGeom>
        <a:ln>
          <a:noFill/>
        </a:ln>
      </xdr:spPr>
    </xdr:pic>
    <xdr:clientData/>
  </xdr:twoCellAnchor>
  <xdr:twoCellAnchor editAs="oneCell">
    <xdr:from>
      <xdr:col>1</xdr:col>
      <xdr:colOff>28575</xdr:colOff>
      <xdr:row>94</xdr:row>
      <xdr:rowOff>28575</xdr:rowOff>
    </xdr:from>
    <xdr:to>
      <xdr:col>1</xdr:col>
      <xdr:colOff>600075</xdr:colOff>
      <xdr:row>94</xdr:row>
      <xdr:rowOff>409575</xdr:rowOff>
    </xdr:to>
    <xdr:pic>
      <xdr:nvPicPr>
        <xdr:cNvPr id="187" name="Subgraph-anju_sharma_ind"/>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033575"/>
          <a:ext cx="571500" cy="381000"/>
        </a:xfrm>
        <a:prstGeom prst="rect">
          <a:avLst/>
        </a:prstGeom>
        <a:ln>
          <a:noFill/>
        </a:ln>
      </xdr:spPr>
    </xdr:pic>
    <xdr:clientData/>
  </xdr:twoCellAnchor>
  <xdr:twoCellAnchor editAs="oneCell">
    <xdr:from>
      <xdr:col>1</xdr:col>
      <xdr:colOff>28575</xdr:colOff>
      <xdr:row>95</xdr:row>
      <xdr:rowOff>28575</xdr:rowOff>
    </xdr:from>
    <xdr:to>
      <xdr:col>1</xdr:col>
      <xdr:colOff>600075</xdr:colOff>
      <xdr:row>95</xdr:row>
      <xdr:rowOff>409575</xdr:rowOff>
    </xdr:to>
    <xdr:pic>
      <xdr:nvPicPr>
        <xdr:cNvPr id="189" name="Subgraph-msisodi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462200"/>
          <a:ext cx="571500" cy="381000"/>
        </a:xfrm>
        <a:prstGeom prst="rect">
          <a:avLst/>
        </a:prstGeom>
        <a:ln>
          <a:noFill/>
        </a:ln>
      </xdr:spPr>
    </xdr:pic>
    <xdr:clientData/>
  </xdr:twoCellAnchor>
  <xdr:twoCellAnchor editAs="oneCell">
    <xdr:from>
      <xdr:col>1</xdr:col>
      <xdr:colOff>28575</xdr:colOff>
      <xdr:row>96</xdr:row>
      <xdr:rowOff>28575</xdr:rowOff>
    </xdr:from>
    <xdr:to>
      <xdr:col>1</xdr:col>
      <xdr:colOff>600075</xdr:colOff>
      <xdr:row>96</xdr:row>
      <xdr:rowOff>409575</xdr:rowOff>
    </xdr:to>
    <xdr:pic>
      <xdr:nvPicPr>
        <xdr:cNvPr id="191" name="Subgraph-indi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0890825"/>
          <a:ext cx="571500" cy="381000"/>
        </a:xfrm>
        <a:prstGeom prst="rect">
          <a:avLst/>
        </a:prstGeom>
        <a:ln>
          <a:noFill/>
        </a:ln>
      </xdr:spPr>
    </xdr:pic>
    <xdr:clientData/>
  </xdr:twoCellAnchor>
  <xdr:twoCellAnchor editAs="oneCell">
    <xdr:from>
      <xdr:col>1</xdr:col>
      <xdr:colOff>28575</xdr:colOff>
      <xdr:row>97</xdr:row>
      <xdr:rowOff>28575</xdr:rowOff>
    </xdr:from>
    <xdr:to>
      <xdr:col>1</xdr:col>
      <xdr:colOff>600075</xdr:colOff>
      <xdr:row>97</xdr:row>
      <xdr:rowOff>409575</xdr:rowOff>
    </xdr:to>
    <xdr:pic>
      <xdr:nvPicPr>
        <xdr:cNvPr id="193" name="Subgraph-yaoydo"/>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1319450"/>
          <a:ext cx="571500" cy="381000"/>
        </a:xfrm>
        <a:prstGeom prst="rect">
          <a:avLst/>
        </a:prstGeom>
        <a:ln>
          <a:noFill/>
        </a:ln>
      </xdr:spPr>
    </xdr:pic>
    <xdr:clientData/>
  </xdr:twoCellAnchor>
  <xdr:twoCellAnchor editAs="oneCell">
    <xdr:from>
      <xdr:col>1</xdr:col>
      <xdr:colOff>28575</xdr:colOff>
      <xdr:row>98</xdr:row>
      <xdr:rowOff>28575</xdr:rowOff>
    </xdr:from>
    <xdr:to>
      <xdr:col>1</xdr:col>
      <xdr:colOff>600075</xdr:colOff>
      <xdr:row>98</xdr:row>
      <xdr:rowOff>409575</xdr:rowOff>
    </xdr:to>
    <xdr:pic>
      <xdr:nvPicPr>
        <xdr:cNvPr id="195" name="Subgraph-ibe_unesco"/>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748075"/>
          <a:ext cx="571500" cy="381000"/>
        </a:xfrm>
        <a:prstGeom prst="rect">
          <a:avLst/>
        </a:prstGeom>
        <a:ln>
          <a:noFill/>
        </a:ln>
      </xdr:spPr>
    </xdr:pic>
    <xdr:clientData/>
  </xdr:twoCellAnchor>
  <xdr:twoCellAnchor editAs="oneCell">
    <xdr:from>
      <xdr:col>1</xdr:col>
      <xdr:colOff>28575</xdr:colOff>
      <xdr:row>99</xdr:row>
      <xdr:rowOff>28575</xdr:rowOff>
    </xdr:from>
    <xdr:to>
      <xdr:col>1</xdr:col>
      <xdr:colOff>600075</xdr:colOff>
      <xdr:row>99</xdr:row>
      <xdr:rowOff>409575</xdr:rowOff>
    </xdr:to>
    <xdr:pic>
      <xdr:nvPicPr>
        <xdr:cNvPr id="197" name="Subgraph-ciet_ncert"/>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2176700"/>
          <a:ext cx="571500" cy="381000"/>
        </a:xfrm>
        <a:prstGeom prst="rect">
          <a:avLst/>
        </a:prstGeom>
        <a:ln>
          <a:noFill/>
        </a:ln>
      </xdr:spPr>
    </xdr:pic>
    <xdr:clientData/>
  </xdr:twoCellAnchor>
  <xdr:twoCellAnchor editAs="oneCell">
    <xdr:from>
      <xdr:col>1</xdr:col>
      <xdr:colOff>28575</xdr:colOff>
      <xdr:row>100</xdr:row>
      <xdr:rowOff>28575</xdr:rowOff>
    </xdr:from>
    <xdr:to>
      <xdr:col>1</xdr:col>
      <xdr:colOff>600075</xdr:colOff>
      <xdr:row>100</xdr:row>
      <xdr:rowOff>409575</xdr:rowOff>
    </xdr:to>
    <xdr:pic>
      <xdr:nvPicPr>
        <xdr:cNvPr id="199" name="Subgraph-besatweet"/>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2605325"/>
          <a:ext cx="571500" cy="381000"/>
        </a:xfrm>
        <a:prstGeom prst="rect">
          <a:avLst/>
        </a:prstGeom>
        <a:ln>
          <a:noFill/>
        </a:ln>
      </xdr:spPr>
    </xdr:pic>
    <xdr:clientData/>
  </xdr:twoCellAnchor>
  <xdr:twoCellAnchor editAs="oneCell">
    <xdr:from>
      <xdr:col>1</xdr:col>
      <xdr:colOff>28575</xdr:colOff>
      <xdr:row>101</xdr:row>
      <xdr:rowOff>28575</xdr:rowOff>
    </xdr:from>
    <xdr:to>
      <xdr:col>1</xdr:col>
      <xdr:colOff>600075</xdr:colOff>
      <xdr:row>101</xdr:row>
      <xdr:rowOff>409575</xdr:rowOff>
    </xdr:to>
    <xdr:pic>
      <xdr:nvPicPr>
        <xdr:cNvPr id="201" name="Subgraph-theewf"/>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3033950"/>
          <a:ext cx="571500" cy="381000"/>
        </a:xfrm>
        <a:prstGeom prst="rect">
          <a:avLst/>
        </a:prstGeom>
        <a:ln>
          <a:noFill/>
        </a:ln>
      </xdr:spPr>
    </xdr:pic>
    <xdr:clientData/>
  </xdr:twoCellAnchor>
  <xdr:twoCellAnchor editAs="oneCell">
    <xdr:from>
      <xdr:col>1</xdr:col>
      <xdr:colOff>28575</xdr:colOff>
      <xdr:row>102</xdr:row>
      <xdr:rowOff>28575</xdr:rowOff>
    </xdr:from>
    <xdr:to>
      <xdr:col>1</xdr:col>
      <xdr:colOff>600075</xdr:colOff>
      <xdr:row>102</xdr:row>
      <xdr:rowOff>409575</xdr:rowOff>
    </xdr:to>
    <xdr:pic>
      <xdr:nvPicPr>
        <xdr:cNvPr id="203" name="Subgraph-d2l"/>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3462575"/>
          <a:ext cx="571500" cy="381000"/>
        </a:xfrm>
        <a:prstGeom prst="rect">
          <a:avLst/>
        </a:prstGeom>
        <a:ln>
          <a:noFill/>
        </a:ln>
      </xdr:spPr>
    </xdr:pic>
    <xdr:clientData/>
  </xdr:twoCellAnchor>
  <xdr:twoCellAnchor editAs="oneCell">
    <xdr:from>
      <xdr:col>1</xdr:col>
      <xdr:colOff>28575</xdr:colOff>
      <xdr:row>103</xdr:row>
      <xdr:rowOff>28575</xdr:rowOff>
    </xdr:from>
    <xdr:to>
      <xdr:col>1</xdr:col>
      <xdr:colOff>600075</xdr:colOff>
      <xdr:row>103</xdr:row>
      <xdr:rowOff>409575</xdr:rowOff>
    </xdr:to>
    <xdr:pic>
      <xdr:nvPicPr>
        <xdr:cNvPr id="205" name="Subgraph-iborganizatio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3891200"/>
          <a:ext cx="571500" cy="381000"/>
        </a:xfrm>
        <a:prstGeom prst="rect">
          <a:avLst/>
        </a:prstGeom>
        <a:ln>
          <a:noFill/>
        </a:ln>
      </xdr:spPr>
    </xdr:pic>
    <xdr:clientData/>
  </xdr:twoCellAnchor>
  <xdr:twoCellAnchor editAs="oneCell">
    <xdr:from>
      <xdr:col>1</xdr:col>
      <xdr:colOff>28575</xdr:colOff>
      <xdr:row>104</xdr:row>
      <xdr:rowOff>28575</xdr:rowOff>
    </xdr:from>
    <xdr:to>
      <xdr:col>1</xdr:col>
      <xdr:colOff>600075</xdr:colOff>
      <xdr:row>104</xdr:row>
      <xdr:rowOff>409575</xdr:rowOff>
    </xdr:to>
    <xdr:pic>
      <xdr:nvPicPr>
        <xdr:cNvPr id="207" name="Subgraph-courser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4319825"/>
          <a:ext cx="571500" cy="381000"/>
        </a:xfrm>
        <a:prstGeom prst="rect">
          <a:avLst/>
        </a:prstGeom>
        <a:ln>
          <a:noFill/>
        </a:ln>
      </xdr:spPr>
    </xdr:pic>
    <xdr:clientData/>
  </xdr:twoCellAnchor>
  <xdr:twoCellAnchor editAs="oneCell">
    <xdr:from>
      <xdr:col>1</xdr:col>
      <xdr:colOff>28575</xdr:colOff>
      <xdr:row>105</xdr:row>
      <xdr:rowOff>28575</xdr:rowOff>
    </xdr:from>
    <xdr:to>
      <xdr:col>1</xdr:col>
      <xdr:colOff>600075</xdr:colOff>
      <xdr:row>105</xdr:row>
      <xdr:rowOff>409575</xdr:rowOff>
    </xdr:to>
    <xdr:pic>
      <xdr:nvPicPr>
        <xdr:cNvPr id="209" name="Subgraph-aws_edu"/>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4748450"/>
          <a:ext cx="571500" cy="381000"/>
        </a:xfrm>
        <a:prstGeom prst="rect">
          <a:avLst/>
        </a:prstGeom>
        <a:ln>
          <a:noFill/>
        </a:ln>
      </xdr:spPr>
    </xdr:pic>
    <xdr:clientData/>
  </xdr:twoCellAnchor>
  <xdr:twoCellAnchor editAs="oneCell">
    <xdr:from>
      <xdr:col>1</xdr:col>
      <xdr:colOff>28575</xdr:colOff>
      <xdr:row>106</xdr:row>
      <xdr:rowOff>28575</xdr:rowOff>
    </xdr:from>
    <xdr:to>
      <xdr:col>1</xdr:col>
      <xdr:colOff>600075</xdr:colOff>
      <xdr:row>106</xdr:row>
      <xdr:rowOff>409575</xdr:rowOff>
    </xdr:to>
    <xdr:pic>
      <xdr:nvPicPr>
        <xdr:cNvPr id="211" name="Subgraph-aws_gov"/>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5177075"/>
          <a:ext cx="571500" cy="381000"/>
        </a:xfrm>
        <a:prstGeom prst="rect">
          <a:avLst/>
        </a:prstGeom>
        <a:ln>
          <a:noFill/>
        </a:ln>
      </xdr:spPr>
    </xdr:pic>
    <xdr:clientData/>
  </xdr:twoCellAnchor>
  <xdr:twoCellAnchor editAs="oneCell">
    <xdr:from>
      <xdr:col>1</xdr:col>
      <xdr:colOff>28575</xdr:colOff>
      <xdr:row>107</xdr:row>
      <xdr:rowOff>28575</xdr:rowOff>
    </xdr:from>
    <xdr:to>
      <xdr:col>1</xdr:col>
      <xdr:colOff>600075</xdr:colOff>
      <xdr:row>107</xdr:row>
      <xdr:rowOff>409575</xdr:rowOff>
    </xdr:to>
    <xdr:pic>
      <xdr:nvPicPr>
        <xdr:cNvPr id="213" name="Subgraph-global_vic"/>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5605700"/>
          <a:ext cx="571500" cy="381000"/>
        </a:xfrm>
        <a:prstGeom prst="rect">
          <a:avLst/>
        </a:prstGeom>
        <a:ln>
          <a:noFill/>
        </a:ln>
      </xdr:spPr>
    </xdr:pic>
    <xdr:clientData/>
  </xdr:twoCellAnchor>
  <xdr:twoCellAnchor editAs="oneCell">
    <xdr:from>
      <xdr:col>1</xdr:col>
      <xdr:colOff>28575</xdr:colOff>
      <xdr:row>108</xdr:row>
      <xdr:rowOff>28575</xdr:rowOff>
    </xdr:from>
    <xdr:to>
      <xdr:col>1</xdr:col>
      <xdr:colOff>600075</xdr:colOff>
      <xdr:row>108</xdr:row>
      <xdr:rowOff>409575</xdr:rowOff>
    </xdr:to>
    <xdr:pic>
      <xdr:nvPicPr>
        <xdr:cNvPr id="215" name="Subgraph-stazanuel"/>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6034325"/>
          <a:ext cx="571500" cy="381000"/>
        </a:xfrm>
        <a:prstGeom prst="rect">
          <a:avLst/>
        </a:prstGeom>
        <a:ln>
          <a:noFill/>
        </a:ln>
      </xdr:spPr>
    </xdr:pic>
    <xdr:clientData/>
  </xdr:twoCellAnchor>
  <xdr:twoCellAnchor editAs="oneCell">
    <xdr:from>
      <xdr:col>1</xdr:col>
      <xdr:colOff>28575</xdr:colOff>
      <xdr:row>109</xdr:row>
      <xdr:rowOff>28575</xdr:rowOff>
    </xdr:from>
    <xdr:to>
      <xdr:col>1</xdr:col>
      <xdr:colOff>600075</xdr:colOff>
      <xdr:row>109</xdr:row>
      <xdr:rowOff>409575</xdr:rowOff>
    </xdr:to>
    <xdr:pic>
      <xdr:nvPicPr>
        <xdr:cNvPr id="217" name="Subgraph-yinkaadeosun"/>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6462950"/>
          <a:ext cx="571500" cy="381000"/>
        </a:xfrm>
        <a:prstGeom prst="rect">
          <a:avLst/>
        </a:prstGeom>
        <a:ln>
          <a:noFill/>
        </a:ln>
      </xdr:spPr>
    </xdr:pic>
    <xdr:clientData/>
  </xdr:twoCellAnchor>
  <xdr:twoCellAnchor editAs="oneCell">
    <xdr:from>
      <xdr:col>1</xdr:col>
      <xdr:colOff>28575</xdr:colOff>
      <xdr:row>110</xdr:row>
      <xdr:rowOff>28575</xdr:rowOff>
    </xdr:from>
    <xdr:to>
      <xdr:col>1</xdr:col>
      <xdr:colOff>600075</xdr:colOff>
      <xdr:row>110</xdr:row>
      <xdr:rowOff>409575</xdr:rowOff>
    </xdr:to>
    <xdr:pic>
      <xdr:nvPicPr>
        <xdr:cNvPr id="219" name="Subgraph-davidbartram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6891575"/>
          <a:ext cx="571500" cy="381000"/>
        </a:xfrm>
        <a:prstGeom prst="rect">
          <a:avLst/>
        </a:prstGeom>
        <a:ln>
          <a:noFill/>
        </a:ln>
      </xdr:spPr>
    </xdr:pic>
    <xdr:clientData/>
  </xdr:twoCellAnchor>
  <xdr:twoCellAnchor editAs="oneCell">
    <xdr:from>
      <xdr:col>1</xdr:col>
      <xdr:colOff>28575</xdr:colOff>
      <xdr:row>111</xdr:row>
      <xdr:rowOff>28575</xdr:rowOff>
    </xdr:from>
    <xdr:to>
      <xdr:col>1</xdr:col>
      <xdr:colOff>600075</xdr:colOff>
      <xdr:row>111</xdr:row>
      <xdr:rowOff>409575</xdr:rowOff>
    </xdr:to>
    <xdr:pic>
      <xdr:nvPicPr>
        <xdr:cNvPr id="221" name="Subgraph-susandouglas70"/>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47320200"/>
          <a:ext cx="571500" cy="381000"/>
        </a:xfrm>
        <a:prstGeom prst="rect">
          <a:avLst/>
        </a:prstGeom>
        <a:ln>
          <a:noFill/>
        </a:ln>
      </xdr:spPr>
    </xdr:pic>
    <xdr:clientData/>
  </xdr:twoCellAnchor>
  <xdr:twoCellAnchor editAs="oneCell">
    <xdr:from>
      <xdr:col>1</xdr:col>
      <xdr:colOff>28575</xdr:colOff>
      <xdr:row>112</xdr:row>
      <xdr:rowOff>28575</xdr:rowOff>
    </xdr:from>
    <xdr:to>
      <xdr:col>1</xdr:col>
      <xdr:colOff>600075</xdr:colOff>
      <xdr:row>112</xdr:row>
      <xdr:rowOff>409575</xdr:rowOff>
    </xdr:to>
    <xdr:pic>
      <xdr:nvPicPr>
        <xdr:cNvPr id="223" name="Subgraph-creativehigg"/>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47748825"/>
          <a:ext cx="571500" cy="381000"/>
        </a:xfrm>
        <a:prstGeom prst="rect">
          <a:avLst/>
        </a:prstGeom>
        <a:ln>
          <a:noFill/>
        </a:ln>
      </xdr:spPr>
    </xdr:pic>
    <xdr:clientData/>
  </xdr:twoCellAnchor>
  <xdr:twoCellAnchor editAs="oneCell">
    <xdr:from>
      <xdr:col>1</xdr:col>
      <xdr:colOff>28575</xdr:colOff>
      <xdr:row>113</xdr:row>
      <xdr:rowOff>28575</xdr:rowOff>
    </xdr:from>
    <xdr:to>
      <xdr:col>1</xdr:col>
      <xdr:colOff>600075</xdr:colOff>
      <xdr:row>113</xdr:row>
      <xdr:rowOff>409575</xdr:rowOff>
    </xdr:to>
    <xdr:pic>
      <xdr:nvPicPr>
        <xdr:cNvPr id="225" name="Subgraph-olgatoulk"/>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48177450"/>
          <a:ext cx="571500" cy="381000"/>
        </a:xfrm>
        <a:prstGeom prst="rect">
          <a:avLst/>
        </a:prstGeom>
        <a:ln>
          <a:noFill/>
        </a:ln>
      </xdr:spPr>
    </xdr:pic>
    <xdr:clientData/>
  </xdr:twoCellAnchor>
  <xdr:twoCellAnchor editAs="oneCell">
    <xdr:from>
      <xdr:col>1</xdr:col>
      <xdr:colOff>28575</xdr:colOff>
      <xdr:row>114</xdr:row>
      <xdr:rowOff>28575</xdr:rowOff>
    </xdr:from>
    <xdr:to>
      <xdr:col>1</xdr:col>
      <xdr:colOff>600075</xdr:colOff>
      <xdr:row>114</xdr:row>
      <xdr:rowOff>409575</xdr:rowOff>
    </xdr:to>
    <xdr:pic>
      <xdr:nvPicPr>
        <xdr:cNvPr id="227" name="Subgraph-sambeckertweet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48606075"/>
          <a:ext cx="571500" cy="381000"/>
        </a:xfrm>
        <a:prstGeom prst="rect">
          <a:avLst/>
        </a:prstGeom>
        <a:ln>
          <a:noFill/>
        </a:ln>
      </xdr:spPr>
    </xdr:pic>
    <xdr:clientData/>
  </xdr:twoCellAnchor>
  <xdr:twoCellAnchor editAs="oneCell">
    <xdr:from>
      <xdr:col>1</xdr:col>
      <xdr:colOff>28575</xdr:colOff>
      <xdr:row>115</xdr:row>
      <xdr:rowOff>28575</xdr:rowOff>
    </xdr:from>
    <xdr:to>
      <xdr:col>1</xdr:col>
      <xdr:colOff>600075</xdr:colOff>
      <xdr:row>115</xdr:row>
      <xdr:rowOff>409575</xdr:rowOff>
    </xdr:to>
    <xdr:pic>
      <xdr:nvPicPr>
        <xdr:cNvPr id="229" name="Subgraph-lshayter"/>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9034700"/>
          <a:ext cx="571500" cy="381000"/>
        </a:xfrm>
        <a:prstGeom prst="rect">
          <a:avLst/>
        </a:prstGeom>
        <a:ln>
          <a:noFill/>
        </a:ln>
      </xdr:spPr>
    </xdr:pic>
    <xdr:clientData/>
  </xdr:twoCellAnchor>
  <xdr:twoCellAnchor editAs="oneCell">
    <xdr:from>
      <xdr:col>1</xdr:col>
      <xdr:colOff>28575</xdr:colOff>
      <xdr:row>116</xdr:row>
      <xdr:rowOff>28575</xdr:rowOff>
    </xdr:from>
    <xdr:to>
      <xdr:col>1</xdr:col>
      <xdr:colOff>600075</xdr:colOff>
      <xdr:row>116</xdr:row>
      <xdr:rowOff>409575</xdr:rowOff>
    </xdr:to>
    <xdr:pic>
      <xdr:nvPicPr>
        <xdr:cNvPr id="231" name="Subgraph-gen_global_"/>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9463325"/>
          <a:ext cx="571500" cy="381000"/>
        </a:xfrm>
        <a:prstGeom prst="rect">
          <a:avLst/>
        </a:prstGeom>
        <a:ln>
          <a:noFill/>
        </a:ln>
      </xdr:spPr>
    </xdr:pic>
    <xdr:clientData/>
  </xdr:twoCellAnchor>
  <xdr:twoCellAnchor editAs="oneCell">
    <xdr:from>
      <xdr:col>1</xdr:col>
      <xdr:colOff>28575</xdr:colOff>
      <xdr:row>117</xdr:row>
      <xdr:rowOff>28575</xdr:rowOff>
    </xdr:from>
    <xdr:to>
      <xdr:col>1</xdr:col>
      <xdr:colOff>600075</xdr:colOff>
      <xdr:row>117</xdr:row>
      <xdr:rowOff>409575</xdr:rowOff>
    </xdr:to>
    <xdr:pic>
      <xdr:nvPicPr>
        <xdr:cNvPr id="233" name="Subgraph-diakonstefano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498919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123825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Doc Assar" refreshedVersion="6">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tiess2021 tiessgoesvirtual"/>
        <s v="tiess2021 tiessgoesvirtual unitingforeducation"/>
        <s v="tiess2021"/>
        <s v="tcsion tiess2021"/>
        <s v="tcsion tiess2021 education skills"/>
        <s v="tiess2021 tiessgoesvirtual unitingforeducation staytuned"/>
        <s v="tiessgoesvirtual unitingforeducation tiess2021"/>
        <s v="tiess2021 tiessgoesvirtual unitingforeducation emmpostcovid19"/>
        <s v="tiess2021 tiess2021 tiessgoesvirtual unitingforeducation"/>
        <s v="tiess2021 tiessgoesvirtual unitingforeducation tiessgoesvirtual unitingforeducation"/>
        <s v="uopeople tiess2021 tiessgoesvirtual unitingforeducation tuitionfree highereducation"/>
        <s v="tiess2021 higher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1">
        <d v="2021-01-19T11:29:24.000"/>
        <d v="2021-01-19T12:27:28.000"/>
        <d v="2021-01-19T13:13:42.000"/>
        <d v="2021-01-19T15:37:35.000"/>
        <d v="2021-01-21T06:11:25.000"/>
        <d v="2021-01-21T06:24:46.000"/>
        <d v="2021-01-21T09:55:26.000"/>
        <d v="2021-01-21T12:07:16.000"/>
        <d v="2021-01-21T16:03:00.000"/>
        <d v="2021-01-21T20:34:45.000"/>
        <d v="2021-01-21T09:42:59.000"/>
        <d v="2021-01-22T08:50:58.000"/>
        <d v="2021-01-22T09:02:28.000"/>
        <d v="2021-01-22T09:41:02.000"/>
        <d v="2021-01-22T11:16:04.000"/>
        <d v="2021-01-22T11:33:15.000"/>
        <d v="2021-01-22T13:36:16.000"/>
        <d v="2021-01-22T15:28:03.000"/>
        <d v="2021-01-22T15:44:29.000"/>
        <d v="2021-01-22T16:32:50.000"/>
        <d v="2021-01-22T17:07:46.000"/>
        <d v="2021-01-23T06:41:00.000"/>
        <d v="2021-01-23T12:57:33.000"/>
        <d v="2021-01-23T13:13:39.000"/>
        <d v="2021-01-23T13:51:10.000"/>
        <d v="2021-01-24T02:57:27.000"/>
        <d v="2021-01-24T04:52:05.000"/>
        <d v="2021-01-24T16:24:36.000"/>
        <d v="2021-01-24T16:26:59.000"/>
        <d v="2021-01-24T18:32:40.000"/>
        <d v="2021-01-25T07:48:24.000"/>
        <d v="2021-01-25T08:10:47.000"/>
        <d v="2021-01-25T13:21:04.000"/>
        <d v="2021-01-25T17:36:31.000"/>
        <d v="2021-01-19T09:12:10.000"/>
        <d v="2021-01-25T10:28:40.000"/>
        <d v="2021-01-26T08:34:02.000"/>
        <d v="2021-01-26T11:54:54.000"/>
        <d v="2021-01-26T12:23:29.000"/>
        <d v="2021-01-19T11:34:13.000"/>
        <d v="2021-01-19T13:12:34.000"/>
        <d v="2021-01-22T09:19:37.000"/>
        <d v="2021-01-19T11:40:07.000"/>
        <d v="2021-01-20T11:42:51.000"/>
        <d v="2021-01-20T10:51:07.000"/>
        <d v="2021-01-20T10:55:12.000"/>
        <d v="2021-01-23T18:03:14.000"/>
        <d v="2021-01-20T14:24:39.000"/>
        <d v="2021-01-21T04:42:01.000"/>
        <d v="2021-01-22T12:40:22.000"/>
        <d v="2021-01-21T04:51:26.000"/>
        <d v="2021-01-26T11:44:13.000"/>
        <d v="2021-01-21T05:13:40.000"/>
        <d v="2021-01-21T07:07:39.000"/>
        <d v="2021-01-21T05:48:08.000"/>
        <d v="2021-01-21T09:11:47.000"/>
        <d v="2021-01-21T07:29:16.000"/>
        <d v="2021-01-21T14:16:09.000"/>
        <d v="2021-01-21T09:24:56.000"/>
        <d v="2021-01-21T15:26:23.000"/>
        <d v="2021-01-21T11:04:58.000"/>
        <d v="2021-01-22T06:48:23.000"/>
        <d v="2021-01-22T07:27:54.000"/>
        <d v="2021-01-22T07:53:50.000"/>
        <d v="2021-01-22T08:32:46.000"/>
        <d v="2021-01-22T08:50:49.000"/>
        <d v="2021-01-22T09:05:08.000"/>
        <d v="2021-01-22T09:47:04.000"/>
        <d v="2021-01-24T20:09:13.000"/>
        <d v="2021-01-22T11:41:34.000"/>
        <d v="2021-01-25T13:06:33.000"/>
        <d v="2021-01-22T10:37:25.000"/>
        <d v="2021-01-24T20:05:32.000"/>
        <d v="2021-01-22T11:14:03.000"/>
        <d v="2021-01-22T11:56:57.000"/>
        <d v="2021-01-22T12:26:08.000"/>
        <d v="2021-01-22T13:11:17.000"/>
        <d v="2021-01-21T05:26:29.000"/>
        <d v="2021-01-22T13:12:30.000"/>
        <d v="2021-01-22T13:30:10.000"/>
        <d v="2021-01-22T14:06:03.000"/>
        <d v="2021-01-22T14:25:03.000"/>
        <d v="2021-01-23T10:07:08.000"/>
        <d v="2021-01-22T14:59:49.000"/>
        <d v="2021-01-22T15:14:50.000"/>
        <d v="2021-01-20T05:56:05.000"/>
        <d v="2021-01-20T05:57:55.000"/>
        <d v="2021-01-23T07:34:45.000"/>
        <d v="2021-01-22T13:43:26.000"/>
        <d v="2021-01-23T07:49:01.000"/>
        <d v="2021-01-23T09:47:45.000"/>
        <d v="2021-01-23T07:55:22.000"/>
        <d v="2021-01-23T08:58:45.000"/>
        <d v="2021-01-23T08:11:31.000"/>
        <d v="2021-01-23T08:23:17.000"/>
        <d v="2021-01-23T15:36:59.000"/>
        <d v="2021-01-23T11:07:57.000"/>
        <d v="2021-01-25T13:44:20.000"/>
        <d v="2021-01-26T11:16:36.000"/>
        <d v="2021-01-24T19:03:55.000"/>
        <d v="2021-01-25T13:05:09.000"/>
        <d v="2021-01-26T12:31:58.000"/>
        <d v="2021-01-26T13:06:27.000"/>
        <d v="2021-01-26T13:12:00.000"/>
        <d v="2021-01-26T13:45:04.000"/>
        <d v="2021-01-26T13:45:29.000"/>
        <d v="2021-01-26T14:48:18.000"/>
        <d v="2021-01-25T06:11:48.000"/>
        <d v="2021-01-26T09:07:42.000"/>
        <d v="2021-01-22T14:44:24.000"/>
        <d v="2021-01-25T06:29:45.000"/>
        <d v="2021-01-22T10:14:03.000"/>
        <d v="2021-01-25T09:25:10.000"/>
        <d v="2021-01-25T09:27:34.000"/>
        <d v="2021-01-21T06:02:22.000"/>
        <d v="2021-01-26T06:42:31.000"/>
        <d v="2021-01-26T16:04:34.000"/>
        <d v="2021-01-19T11:46:04.000"/>
        <d v="2021-01-19T12:32:25.000"/>
        <d v="2021-01-26T16:02:56.000"/>
        <d v="2021-01-26T16:17:48.000"/>
        <d v="2021-01-26T21:13:31.000"/>
        <d v="2021-01-26T21:15:28.000"/>
        <d v="2021-01-26T21:10:13.000"/>
        <d v="2021-01-26T22:41:16.000"/>
        <d v="2021-01-19T09:08:04.000"/>
        <d v="2021-01-19T11:43:21.000"/>
        <d v="2021-01-22T05:52:16.000"/>
        <d v="2021-01-22T08:08:53.000"/>
        <d v="2021-01-22T09:31:47.000"/>
        <d v="2021-01-22T11:01:37.000"/>
        <d v="2021-01-22T11:30:53.000"/>
        <d v="2021-01-22T12:07:55.000"/>
        <d v="2021-01-22T13:24:13.000"/>
        <d v="2021-01-22T13:54:30.000"/>
        <d v="2021-01-22T14:35:01.000"/>
        <d v="2021-01-23T10:21:20.000"/>
        <d v="2021-01-23T10:23:49.000"/>
        <d v="2021-01-23T10:37:51.000"/>
        <d v="2021-01-23T10:57:26.000"/>
        <d v="2021-01-23T11:36:43.000"/>
        <d v="2021-01-23T13:29:33.000"/>
        <d v="2021-01-24T14:25:51.000"/>
        <d v="2021-01-25T10:28:23.000"/>
        <d v="2021-01-25T10:29:48.000"/>
        <d v="2021-01-26T07:06:22.000"/>
        <d v="2021-01-26T08:34:27.000"/>
        <d v="2021-01-26T23:10:14.000"/>
        <d v="2021-01-26T15:42:29.000"/>
        <d v="2021-01-27T01:18:58.000"/>
        <d v="2021-01-27T01:48:17.000"/>
      </sharedItems>
      <fieldGroup par="68" base="22">
        <rangePr groupBy="hours" autoEnd="1" autoStart="1" startDate="2021-01-19T09:08:04.000" endDate="2021-01-27T01:48:17.000"/>
        <groupItems count="26">
          <s v="&lt;1/19/2021"/>
          <s v="12 AM"/>
          <s v="1 AM"/>
          <s v="2 AM"/>
          <s v="3 AM"/>
          <s v="4 AM"/>
          <s v="5 AM"/>
          <s v="6 AM"/>
          <s v="7 AM"/>
          <s v="8 AM"/>
          <s v="9 AM"/>
          <s v="10 AM"/>
          <s v="11 AM"/>
          <s v="12 PM"/>
          <s v="1 PM"/>
          <s v="2 PM"/>
          <s v="3 PM"/>
          <s v="4 PM"/>
          <s v="5 PM"/>
          <s v="6 PM"/>
          <s v="7 PM"/>
          <s v="8 PM"/>
          <s v="9 PM"/>
          <s v="10 PM"/>
          <s v="11 PM"/>
          <s v="&gt;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9T09:08:04.000" endDate="2021-01-27T01:48:17.000"/>
        <groupItems count="368">
          <s v="&lt;1/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1"/>
        </groupItems>
      </fieldGroup>
    </cacheField>
    <cacheField name="Months" databaseField="0">
      <sharedItems containsMixedTypes="0" count="0"/>
      <fieldGroup base="22">
        <rangePr groupBy="months" autoEnd="1" autoStart="1" startDate="2021-01-19T09:08:04.000" endDate="2021-01-27T01:48:17.000"/>
        <groupItems count="14">
          <s v="&lt;1/19/2021"/>
          <s v="Jan"/>
          <s v="Feb"/>
          <s v="Mar"/>
          <s v="Apr"/>
          <s v="May"/>
          <s v="Jun"/>
          <s v="Jul"/>
          <s v="Aug"/>
          <s v="Sep"/>
          <s v="Oct"/>
          <s v="Nov"/>
          <s v="Dec"/>
          <s v="&gt;1/27/2021"/>
        </groupItems>
      </fieldGroup>
    </cacheField>
    <cacheField name="Years" databaseField="0">
      <sharedItems containsMixedTypes="0" count="0"/>
      <fieldGroup base="22">
        <rangePr groupBy="years" autoEnd="1" autoStart="1" startDate="2021-01-19T09:08:04.000" endDate="2021-01-27T01:48:17.000"/>
        <groupItems count="3">
          <s v="&lt;1/19/2021"/>
          <s v="2021"/>
          <s v="&gt;1/27/2021"/>
        </groupItems>
      </fieldGroup>
    </cacheField>
  </cacheFields>
  <extLst>
    <ext xmlns:x14="http://schemas.microsoft.com/office/spreadsheetml/2009/9/main" uri="{725AE2AE-9491-48be-B2B4-4EB974FC3084}">
      <x14:pivotCacheDefinition pivotCacheId="70914831"/>
    </ext>
  </extLst>
</pivotCacheDefinition>
</file>

<file path=xl/pivotCache/pivotCacheRecords1.xml><?xml version="1.0" encoding="utf-8"?>
<pivotCacheRecords xmlns="http://schemas.openxmlformats.org/spreadsheetml/2006/main" xmlns:r="http://schemas.openxmlformats.org/officeDocument/2006/relationships" count="151">
  <r>
    <s v="rajeshanni"/>
    <s v="didacindia"/>
    <m/>
    <m/>
    <m/>
    <m/>
    <m/>
    <m/>
    <m/>
    <m/>
    <s v="No"/>
    <n v="3"/>
    <m/>
    <m/>
    <x v="0"/>
    <d v="2021-01-19T11:29:24.000"/>
    <s v="#TIESS2021 - The world's largest virtual conference on education and skills sector, is all set to unite the global education leaders to collaborate for thoughtful deliberations &amp;amp; discussion on the Future of Education. _x000a__x000a_Register now - https://t.co/Iyb6jZOFvX _x000a__x000a_#TIESSGoesVirtual https://t.co/mfSU6Dclwm"/>
    <s v="https://www.tiess.online/registration?utm_source=Twitter&amp;utm_medium=IDA&amp;utm_campaign=TIESS&amp;utm_term=006"/>
    <s v="tiess.online"/>
    <x v="0"/>
    <s v="https://pbs.twimg.com/ext_tw_video_thumb/1351456442998546433/pu/img/aSegp9wmdlv0gjvz.jpg"/>
    <s v="https://pbs.twimg.com/ext_tw_video_thumb/1351456442998546433/pu/img/aSegp9wmdlv0gjvz.jpg"/>
    <x v="0"/>
    <d v="2021-01-19T00:00:00.000"/>
    <s v="11:29:24"/>
    <s v="https://twitter.com/rajeshanni/status/1351491947609767937"/>
    <m/>
    <m/>
    <s v="1351491947609767937"/>
    <m/>
    <b v="0"/>
    <n v="0"/>
    <s v=""/>
    <b v="0"/>
    <s v="en"/>
    <m/>
    <s v=""/>
    <b v="0"/>
    <n v="4"/>
    <s v="1351457412163760134"/>
    <s v="Twitter Web App"/>
    <b v="0"/>
    <s v="1351457412163760134"/>
    <s v="Tweet"/>
    <n v="0"/>
    <n v="0"/>
    <m/>
    <m/>
    <m/>
    <m/>
    <m/>
    <m/>
    <m/>
    <m/>
    <n v="1"/>
    <s v="12"/>
    <s v="12"/>
    <n v="1"/>
    <n v="2.857142857142857"/>
    <n v="0"/>
    <n v="0"/>
    <n v="0"/>
    <n v="0"/>
    <n v="34"/>
    <n v="97.14285714285714"/>
    <n v="35"/>
  </r>
  <r>
    <s v="mohitsparihar"/>
    <s v="didacindia"/>
    <m/>
    <m/>
    <m/>
    <m/>
    <m/>
    <m/>
    <m/>
    <m/>
    <s v="No"/>
    <n v="4"/>
    <m/>
    <m/>
    <x v="0"/>
    <d v="2021-01-19T12:27:28.000"/>
    <s v="#TIESS2021 - The world's largest virtual conference on education and skills sector, is all set to unite the global education leaders to collaborate for thoughtful deliberations &amp;amp; discussion on the Future of Education. _x000a__x000a_Register now - https://t.co/Iyb6jZOFvX _x000a__x000a_#TIESSGoesVirtual https://t.co/mfSU6Dclwm"/>
    <s v="https://www.tiess.online/registration?utm_source=Twitter&amp;utm_medium=IDA&amp;utm_campaign=TIESS&amp;utm_term=006"/>
    <s v="tiess.online"/>
    <x v="0"/>
    <s v="https://pbs.twimg.com/ext_tw_video_thumb/1351456442998546433/pu/img/aSegp9wmdlv0gjvz.jpg"/>
    <s v="https://pbs.twimg.com/ext_tw_video_thumb/1351456442998546433/pu/img/aSegp9wmdlv0gjvz.jpg"/>
    <x v="1"/>
    <d v="2021-01-19T00:00:00.000"/>
    <s v="12:27:28"/>
    <s v="https://twitter.com/mohitsparihar/status/1351506560044867585"/>
    <m/>
    <m/>
    <s v="1351506560044867585"/>
    <m/>
    <b v="0"/>
    <n v="0"/>
    <s v=""/>
    <b v="0"/>
    <s v="en"/>
    <m/>
    <s v=""/>
    <b v="0"/>
    <n v="4"/>
    <s v="1351457412163760134"/>
    <s v="Twitter Web App"/>
    <b v="0"/>
    <s v="1351457412163760134"/>
    <s v="Tweet"/>
    <n v="0"/>
    <n v="0"/>
    <m/>
    <m/>
    <m/>
    <m/>
    <m/>
    <m/>
    <m/>
    <m/>
    <n v="1"/>
    <s v="12"/>
    <s v="12"/>
    <n v="1"/>
    <n v="2.857142857142857"/>
    <n v="0"/>
    <n v="0"/>
    <n v="0"/>
    <n v="0"/>
    <n v="34"/>
    <n v="97.14285714285714"/>
    <n v="35"/>
  </r>
  <r>
    <s v="fachportalpaed"/>
    <s v="oecdeduskills"/>
    <m/>
    <m/>
    <m/>
    <m/>
    <m/>
    <m/>
    <m/>
    <m/>
    <s v="No"/>
    <n v="5"/>
    <m/>
    <m/>
    <x v="1"/>
    <d v="2021-01-19T13:13:42.000"/>
    <s v="#TIESS2021 We are bringing together the most eminent leaders from the global education community. Join dialogue with @SchleicherOECD , Director of Education and Skills, @OECDEduSkills, Germany_x000a__x000a_Register Now - https://t.co/8Q4QRYA1xT_x000a__x000a_#TIESSGoesVirtual #UnitingForEducation https://t.co/hNjsviArbg"/>
    <s v="https://www.tiess.online/registration?utm_source=SM&amp;utm_medium=Andreas&amp;utm_campaign=TIESS&amp;utm_term=008"/>
    <s v="tiess.online"/>
    <x v="1"/>
    <s v="https://pbs.twimg.com/media/EsF5NK-VcAAprHt.jpg"/>
    <s v="https://pbs.twimg.com/media/EsF5NK-VcAAprHt.jpg"/>
    <x v="2"/>
    <d v="2021-01-19T00:00:00.000"/>
    <s v="13:13:42"/>
    <s v="https://twitter.com/fachportalpaed/status/1351518195753119746"/>
    <m/>
    <m/>
    <s v="1351518195753119746"/>
    <m/>
    <b v="0"/>
    <n v="0"/>
    <s v=""/>
    <b v="0"/>
    <s v="en"/>
    <m/>
    <s v=""/>
    <b v="0"/>
    <n v="3"/>
    <s v="1351494643142201344"/>
    <s v="Twitter Web App"/>
    <b v="0"/>
    <s v="1351494643142201344"/>
    <s v="Tweet"/>
    <n v="0"/>
    <n v="0"/>
    <m/>
    <m/>
    <m/>
    <m/>
    <m/>
    <m/>
    <m/>
    <m/>
    <n v="1"/>
    <s v="3"/>
    <s v="3"/>
    <m/>
    <m/>
    <m/>
    <m/>
    <m/>
    <m/>
    <m/>
    <m/>
    <m/>
  </r>
  <r>
    <s v="untiporaro"/>
    <s v="oecdeduskills"/>
    <m/>
    <m/>
    <m/>
    <m/>
    <m/>
    <m/>
    <m/>
    <m/>
    <s v="No"/>
    <n v="8"/>
    <m/>
    <m/>
    <x v="1"/>
    <d v="2021-01-19T15:37:35.000"/>
    <s v="#TIESS2021 We are bringing together the most eminent leaders from the global education community. Join dialogue with @SchleicherOECD , Director of Education and Skills, @OECDEduSkills, Germany_x000a__x000a_Register Now - https://t.co/8Q4QRYA1xT_x000a__x000a_#TIESSGoesVirtual #UnitingForEducation https://t.co/hNjsviArbg"/>
    <s v="https://www.tiess.online/registration?utm_source=SM&amp;utm_medium=Andreas&amp;utm_campaign=TIESS&amp;utm_term=008"/>
    <s v="tiess.online"/>
    <x v="1"/>
    <s v="https://pbs.twimg.com/media/EsF5NK-VcAAprHt.jpg"/>
    <s v="https://pbs.twimg.com/media/EsF5NK-VcAAprHt.jpg"/>
    <x v="3"/>
    <d v="2021-01-19T00:00:00.000"/>
    <s v="15:37:35"/>
    <s v="https://twitter.com/untiporaro/status/1351554405607342081"/>
    <m/>
    <m/>
    <s v="1351554405607342081"/>
    <m/>
    <b v="0"/>
    <n v="0"/>
    <s v=""/>
    <b v="0"/>
    <s v="en"/>
    <m/>
    <s v=""/>
    <b v="0"/>
    <n v="3"/>
    <s v="1351494643142201344"/>
    <s v="Twitter for Android"/>
    <b v="0"/>
    <s v="1351494643142201344"/>
    <s v="Tweet"/>
    <n v="0"/>
    <n v="0"/>
    <m/>
    <m/>
    <m/>
    <m/>
    <m/>
    <m/>
    <m/>
    <m/>
    <n v="1"/>
    <s v="3"/>
    <s v="3"/>
    <m/>
    <m/>
    <m/>
    <m/>
    <m/>
    <m/>
    <m/>
    <m/>
    <m/>
  </r>
  <r>
    <s v="hinabhagwani"/>
    <s v="awscloud"/>
    <m/>
    <m/>
    <m/>
    <m/>
    <m/>
    <m/>
    <m/>
    <m/>
    <s v="No"/>
    <n v="11"/>
    <m/>
    <m/>
    <x v="1"/>
    <d v="2021-01-21T06:11:25.000"/>
    <s v="#TIESS2021 Listen to Mr. Jude Sheeran, Lead - International Cloud Innovation Programmes &amp;amp; International Education Strategy, @awscloud UK only at TIESS2021 World’s Largest Virtual Summit for Education_x000a_Register now https://t.co/DUSINWwdnK_x000a__x000a_#TIESSGoesVirtual #UnitingForEducation https://t.co/0lyEhFrNrR"/>
    <s v="https://www.tiess.online/registration?utm_source=SM&amp;utm_medium=Sheeran&amp;utm_campaign=TIESS&amp;utm_term=038"/>
    <s v="tiess.online"/>
    <x v="1"/>
    <s v="https://pbs.twimg.com/media/EsO_BRzU0AEEbdb.jpg"/>
    <s v="https://pbs.twimg.com/media/EsO_BRzU0AEEbdb.jpg"/>
    <x v="4"/>
    <d v="2021-01-21T00:00:00.000"/>
    <s v="06:11:25"/>
    <s v="https://twitter.com/hinabhagwani/status/1352136699527143425"/>
    <m/>
    <m/>
    <s v="1352136699527143425"/>
    <m/>
    <b v="0"/>
    <n v="0"/>
    <s v=""/>
    <b v="0"/>
    <s v="en"/>
    <m/>
    <s v=""/>
    <b v="0"/>
    <n v="2"/>
    <s v="1352134421097324545"/>
    <s v="Twitter for Android"/>
    <b v="0"/>
    <s v="1352134421097324545"/>
    <s v="Tweet"/>
    <n v="0"/>
    <n v="0"/>
    <m/>
    <m/>
    <m/>
    <m/>
    <m/>
    <m/>
    <m/>
    <m/>
    <n v="1"/>
    <s v="11"/>
    <s v="11"/>
    <n v="2"/>
    <n v="6.451612903225806"/>
    <n v="1"/>
    <n v="3.225806451612903"/>
    <n v="0"/>
    <n v="0"/>
    <n v="28"/>
    <n v="90.3225806451613"/>
    <n v="31"/>
  </r>
  <r>
    <s v="sarka003"/>
    <s v="awscloud"/>
    <m/>
    <m/>
    <m/>
    <m/>
    <m/>
    <m/>
    <m/>
    <m/>
    <s v="No"/>
    <n v="13"/>
    <m/>
    <m/>
    <x v="1"/>
    <d v="2021-01-21T06:24:46.000"/>
    <s v="#TIESS2021 Listen to Mr. Jude Sheeran, Lead - International Cloud Innovation Programmes &amp;amp; International Education Strategy, @awscloud UK only at TIESS2021 World’s Largest Virtual Summit for Education_x000a_Register now https://t.co/DUSINWwdnK_x000a__x000a_#TIESSGoesVirtual #UnitingForEducation https://t.co/0lyEhFrNrR"/>
    <s v="https://www.tiess.online/registration?utm_source=SM&amp;utm_medium=Sheeran&amp;utm_campaign=TIESS&amp;utm_term=038"/>
    <s v="tiess.online"/>
    <x v="1"/>
    <s v="https://pbs.twimg.com/media/EsO_BRzU0AEEbdb.jpg"/>
    <s v="https://pbs.twimg.com/media/EsO_BRzU0AEEbdb.jpg"/>
    <x v="5"/>
    <d v="2021-01-21T00:00:00.000"/>
    <s v="06:24:46"/>
    <s v="https://twitter.com/sarka003/status/1352140061400154114"/>
    <m/>
    <m/>
    <s v="1352140061400154114"/>
    <m/>
    <b v="0"/>
    <n v="0"/>
    <s v=""/>
    <b v="0"/>
    <s v="en"/>
    <m/>
    <s v=""/>
    <b v="0"/>
    <n v="2"/>
    <s v="1352134421097324545"/>
    <s v="Twitter Web App"/>
    <b v="0"/>
    <s v="1352134421097324545"/>
    <s v="Tweet"/>
    <n v="0"/>
    <n v="0"/>
    <m/>
    <m/>
    <m/>
    <m/>
    <m/>
    <m/>
    <m/>
    <m/>
    <n v="1"/>
    <s v="11"/>
    <s v="11"/>
    <m/>
    <m/>
    <m/>
    <m/>
    <m/>
    <m/>
    <m/>
    <m/>
    <m/>
  </r>
  <r>
    <s v="shail67330119"/>
    <s v="yoswaroop"/>
    <m/>
    <m/>
    <m/>
    <m/>
    <m/>
    <m/>
    <m/>
    <m/>
    <s v="No"/>
    <n v="15"/>
    <m/>
    <m/>
    <x v="1"/>
    <d v="2021-01-21T09:55:26.000"/>
    <s v="#TIESS2021 – A phenomenal opportunity to Join the conversation with Dr. @YoSwaroop COO, NEM Life Skills, India only at TIESS2021 – World’s Largest Virtual Summit for Education &amp;amp; Skills sector._x000a_Register now https://t.co/nspH0zc054_x000a__x000a_#TIESSGoesVirtual #UnitingForEducation https://t.co/JSNdMkBqIU"/>
    <s v="https://www.tiess.online/registration?utm_source=SM&amp;utm_medium=Swaroop&amp;utm_campaign=TIESS&amp;utm_term=015"/>
    <s v="tiess.online"/>
    <x v="1"/>
    <s v="https://pbs.twimg.com/media/EsPS8swVEAEm_LK.jpg"/>
    <s v="https://pbs.twimg.com/media/EsPS8swVEAEm_LK.jpg"/>
    <x v="6"/>
    <d v="2021-01-21T00:00:00.000"/>
    <s v="09:55:26"/>
    <s v="https://twitter.com/shail67330119/status/1352193075167150082"/>
    <m/>
    <m/>
    <s v="1352193075167150082"/>
    <m/>
    <b v="0"/>
    <n v="0"/>
    <s v=""/>
    <b v="0"/>
    <s v="en"/>
    <m/>
    <s v=""/>
    <b v="0"/>
    <n v="5"/>
    <s v="1352156293260222465"/>
    <s v="Twitter for iPhone"/>
    <b v="0"/>
    <s v="1352156293260222465"/>
    <s v="Tweet"/>
    <n v="0"/>
    <n v="0"/>
    <m/>
    <m/>
    <m/>
    <m/>
    <m/>
    <m/>
    <m/>
    <m/>
    <n v="1"/>
    <s v="1"/>
    <s v="1"/>
    <n v="1"/>
    <n v="3.0303030303030303"/>
    <n v="0"/>
    <n v="0"/>
    <n v="0"/>
    <n v="0"/>
    <n v="32"/>
    <n v="96.96969696969697"/>
    <n v="33"/>
  </r>
  <r>
    <s v="meenakshipai"/>
    <s v="yoswaroop"/>
    <m/>
    <m/>
    <m/>
    <m/>
    <m/>
    <m/>
    <m/>
    <m/>
    <s v="No"/>
    <n v="17"/>
    <m/>
    <m/>
    <x v="1"/>
    <d v="2021-01-21T12:07:16.000"/>
    <s v="#TIESS2021 – A phenomenal opportunity to Join the conversation with Dr. @YoSwaroop COO, NEM Life Skills, India only at TIESS2021 – World’s Largest Virtual Summit for Education &amp;amp; Skills sector._x000a_Register now https://t.co/nspH0zc054_x000a__x000a_#TIESSGoesVirtual #UnitingForEducation https://t.co/JSNdMkBqIU"/>
    <s v="https://www.tiess.online/registration?utm_source=SM&amp;utm_medium=Swaroop&amp;utm_campaign=TIESS&amp;utm_term=015"/>
    <s v="tiess.online"/>
    <x v="1"/>
    <s v="https://pbs.twimg.com/media/EsPS8swVEAEm_LK.jpg"/>
    <s v="https://pbs.twimg.com/media/EsPS8swVEAEm_LK.jpg"/>
    <x v="7"/>
    <d v="2021-01-21T00:00:00.000"/>
    <s v="12:07:16"/>
    <s v="https://twitter.com/meenakshipai/status/1352226254569705478"/>
    <m/>
    <m/>
    <s v="1352226254569705478"/>
    <m/>
    <b v="0"/>
    <n v="0"/>
    <s v=""/>
    <b v="0"/>
    <s v="en"/>
    <m/>
    <s v=""/>
    <b v="0"/>
    <n v="5"/>
    <s v="1352156293260222465"/>
    <s v="Twitter for Android"/>
    <b v="0"/>
    <s v="1352156293260222465"/>
    <s v="Tweet"/>
    <n v="0"/>
    <n v="0"/>
    <m/>
    <m/>
    <m/>
    <m/>
    <m/>
    <m/>
    <m/>
    <m/>
    <n v="1"/>
    <s v="1"/>
    <s v="1"/>
    <m/>
    <m/>
    <m/>
    <m/>
    <m/>
    <m/>
    <m/>
    <m/>
    <m/>
  </r>
  <r>
    <s v="shivanikdmishra"/>
    <s v="yoswaroop"/>
    <m/>
    <m/>
    <m/>
    <m/>
    <m/>
    <m/>
    <m/>
    <m/>
    <s v="No"/>
    <n v="19"/>
    <m/>
    <m/>
    <x v="1"/>
    <d v="2021-01-21T16:03:00.000"/>
    <s v="#TIESS2021 – A phenomenal opportunity to Join the conversation with Dr. @YoSwaroop COO, NEM Life Skills, India only at TIESS2021 – World’s Largest Virtual Summit for Education &amp;amp; Skills sector._x000a_Register now https://t.co/nspH0zc054_x000a__x000a_#TIESSGoesVirtual #UnitingForEducation https://t.co/JSNdMkBqIU"/>
    <s v="https://www.tiess.online/registration?utm_source=SM&amp;utm_medium=Swaroop&amp;utm_campaign=TIESS&amp;utm_term=015"/>
    <s v="tiess.online"/>
    <x v="1"/>
    <s v="https://pbs.twimg.com/media/EsPS8swVEAEm_LK.jpg"/>
    <s v="https://pbs.twimg.com/media/EsPS8swVEAEm_LK.jpg"/>
    <x v="8"/>
    <d v="2021-01-21T00:00:00.000"/>
    <s v="16:03:00"/>
    <s v="https://twitter.com/shivanikdmishra/status/1352285578167951362"/>
    <m/>
    <m/>
    <s v="1352285578167951362"/>
    <m/>
    <b v="0"/>
    <n v="0"/>
    <s v=""/>
    <b v="0"/>
    <s v="en"/>
    <m/>
    <s v=""/>
    <b v="0"/>
    <n v="5"/>
    <s v="1352156293260222465"/>
    <s v="Twitter for Android"/>
    <b v="0"/>
    <s v="1352156293260222465"/>
    <s v="Tweet"/>
    <n v="0"/>
    <n v="0"/>
    <m/>
    <m/>
    <m/>
    <m/>
    <m/>
    <m/>
    <m/>
    <m/>
    <n v="1"/>
    <s v="1"/>
    <s v="1"/>
    <m/>
    <m/>
    <m/>
    <m/>
    <m/>
    <m/>
    <m/>
    <m/>
    <m/>
  </r>
  <r>
    <s v="christallaj"/>
    <s v="paulinatervo"/>
    <m/>
    <m/>
    <m/>
    <m/>
    <m/>
    <m/>
    <m/>
    <m/>
    <s v="No"/>
    <n v="21"/>
    <m/>
    <m/>
    <x v="1"/>
    <d v="2021-01-21T20:34:45.000"/>
    <s v="Really excited to be presenting at #TIESS2021 next week. _x000a__x000a_(Note: I am the *Co*-CEO of Lyfta, along with @PaulinaTervo - and together we are greater than the sum of our parts) https://t.co/S12aQO0zO9"/>
    <s v="https://twitter.com/indiadidac/status/1352130841325944834"/>
    <s v="twitter.com"/>
    <x v="2"/>
    <m/>
    <s v="https://pbs.twimg.com/profile_images/1339644491565834244/lWHEVHjr_normal.jpg"/>
    <x v="9"/>
    <d v="2021-01-21T00:00:00.000"/>
    <s v="20:34:45"/>
    <s v="https://twitter.com/christallaj/status/1352353963513884679"/>
    <m/>
    <m/>
    <s v="1352353963513884679"/>
    <m/>
    <b v="0"/>
    <n v="0"/>
    <s v=""/>
    <b v="1"/>
    <s v="en"/>
    <m/>
    <s v="1352130841325944834"/>
    <b v="0"/>
    <n v="2"/>
    <s v="1352189941955104772"/>
    <s v="Twitter for iPhone"/>
    <b v="0"/>
    <s v="1352189941955104772"/>
    <s v="Tweet"/>
    <n v="0"/>
    <n v="0"/>
    <m/>
    <m/>
    <m/>
    <m/>
    <m/>
    <m/>
    <m/>
    <m/>
    <n v="1"/>
    <s v="5"/>
    <s v="5"/>
    <m/>
    <m/>
    <m/>
    <m/>
    <m/>
    <m/>
    <m/>
    <m/>
    <m/>
  </r>
  <r>
    <s v="serdarferit"/>
    <s v="paulinatervo"/>
    <m/>
    <m/>
    <m/>
    <m/>
    <m/>
    <m/>
    <m/>
    <m/>
    <s v="No"/>
    <n v="23"/>
    <m/>
    <m/>
    <x v="2"/>
    <d v="2021-01-21T09:42:59.000"/>
    <s v="Really excited to be presenting at #TIESS2021 next week. _x000a__x000a_(Note: I am the *Co*-CEO of Lyfta, along with @PaulinaTervo - and together we are greater than the sum of our parts) https://t.co/S12aQO0zO9"/>
    <s v="https://twitter.com/indiadidac/status/1352130841325944834"/>
    <s v="twitter.com"/>
    <x v="2"/>
    <m/>
    <s v="https://pbs.twimg.com/profile_images/1343572385761533956/4K1t9qHf_normal.jpg"/>
    <x v="10"/>
    <d v="2021-01-21T00:00:00.000"/>
    <s v="09:42:59"/>
    <s v="https://twitter.com/serdarferit/status/1352189941955104772"/>
    <m/>
    <m/>
    <s v="1352189941955104772"/>
    <m/>
    <b v="0"/>
    <n v="11"/>
    <s v=""/>
    <b v="1"/>
    <s v="en"/>
    <m/>
    <s v="1352130841325944834"/>
    <b v="0"/>
    <n v="2"/>
    <s v=""/>
    <s v="Twitter for iPhone"/>
    <b v="0"/>
    <s v="1352189941955104772"/>
    <s v="Tweet"/>
    <n v="0"/>
    <n v="0"/>
    <m/>
    <m/>
    <m/>
    <m/>
    <m/>
    <m/>
    <m/>
    <m/>
    <n v="1"/>
    <s v="5"/>
    <s v="5"/>
    <n v="1"/>
    <n v="3.225806451612903"/>
    <n v="0"/>
    <n v="0"/>
    <n v="0"/>
    <n v="0"/>
    <n v="30"/>
    <n v="96.7741935483871"/>
    <n v="31"/>
  </r>
  <r>
    <s v="patisseriefilm"/>
    <s v="paulinatervo"/>
    <m/>
    <m/>
    <m/>
    <m/>
    <m/>
    <m/>
    <m/>
    <m/>
    <s v="No"/>
    <n v="24"/>
    <m/>
    <m/>
    <x v="1"/>
    <d v="2021-01-22T08:50:58.000"/>
    <s v="Really excited to be presenting at #TIESS2021 next week. _x000a__x000a_(Note: I am the *Co*-CEO of Lyfta, along with @PaulinaTervo - and together we are greater than the sum of our parts) https://t.co/S12aQO0zO9"/>
    <s v="https://twitter.com/indiadidac/status/1352130841325944834"/>
    <s v="twitter.com"/>
    <x v="2"/>
    <m/>
    <s v="https://pbs.twimg.com/profile_images/1126111500538732544/BWUjbMA3_normal.jpg"/>
    <x v="11"/>
    <d v="2021-01-22T00:00:00.000"/>
    <s v="08:50:58"/>
    <s v="https://twitter.com/patisseriefilm/status/1352539241809653760"/>
    <m/>
    <m/>
    <s v="1352539241809653760"/>
    <m/>
    <b v="0"/>
    <n v="0"/>
    <s v=""/>
    <b v="1"/>
    <s v="en"/>
    <m/>
    <s v="1352130841325944834"/>
    <b v="0"/>
    <n v="2"/>
    <s v="1352189941955104772"/>
    <s v="Twitter for iPhone"/>
    <b v="0"/>
    <s v="1352189941955104772"/>
    <s v="Tweet"/>
    <n v="0"/>
    <n v="0"/>
    <m/>
    <m/>
    <m/>
    <m/>
    <m/>
    <m/>
    <m/>
    <m/>
    <n v="1"/>
    <s v="5"/>
    <s v="5"/>
    <m/>
    <m/>
    <m/>
    <m/>
    <m/>
    <m/>
    <m/>
    <m/>
    <m/>
  </r>
  <r>
    <s v="estoniaedu"/>
    <s v="indiadidac"/>
    <m/>
    <m/>
    <m/>
    <m/>
    <m/>
    <m/>
    <m/>
    <m/>
    <s v="No"/>
    <n v="26"/>
    <m/>
    <m/>
    <x v="0"/>
    <d v="2021-01-22T09:02:28.000"/>
    <s v="#TIESS2021 An outstanding opportunity to listen to renowned International Education Leaders. Join the talks with Mr. Mart Laidmets, Secretary General of  Education and Research, Government of Estonia, Estonia_x000a_Register Now https://t.co/4p1pEoPVub_x000a__x000a_#TIESSGoesVirtual https://t.co/QCXSF2pA0O"/>
    <s v="https://www.tiess.online/registration?utm_source=Mart&amp;utm_medium=Email&amp;utm_campaign=TIESS&amp;utm_term=018"/>
    <s v="tiess.online"/>
    <x v="0"/>
    <s v="https://pbs.twimg.com/media/EsUlmPyVkAAkQct.jpg"/>
    <s v="https://pbs.twimg.com/media/EsUlmPyVkAAkQct.jpg"/>
    <x v="12"/>
    <d v="2021-01-22T00:00:00.000"/>
    <s v="09:02:28"/>
    <s v="https://twitter.com/estoniaedu/status/1352542134734381056"/>
    <m/>
    <m/>
    <s v="1352542134734381056"/>
    <m/>
    <b v="0"/>
    <n v="0"/>
    <s v=""/>
    <b v="0"/>
    <s v="en"/>
    <m/>
    <s v=""/>
    <b v="0"/>
    <n v="1"/>
    <s v="1352528648272629761"/>
    <s v="TweetDeck"/>
    <b v="0"/>
    <s v="1352528648272629761"/>
    <s v="Tweet"/>
    <n v="0"/>
    <n v="0"/>
    <m/>
    <m/>
    <m/>
    <m/>
    <m/>
    <m/>
    <m/>
    <m/>
    <n v="1"/>
    <s v="1"/>
    <s v="1"/>
    <n v="2"/>
    <n v="6.451612903225806"/>
    <n v="0"/>
    <n v="0"/>
    <n v="0"/>
    <n v="0"/>
    <n v="29"/>
    <n v="93.54838709677419"/>
    <n v="31"/>
  </r>
  <r>
    <s v="m_rueth"/>
    <s v="oecd"/>
    <m/>
    <m/>
    <m/>
    <m/>
    <m/>
    <m/>
    <m/>
    <m/>
    <s v="No"/>
    <n v="27"/>
    <m/>
    <m/>
    <x v="1"/>
    <d v="2021-01-22T09:41:02.000"/>
    <s v="Join Mr. Stephan Vincent Lancrin, Deputy Head of Division and Senior Analyst, @OECD , France only at #TIESS2021 – The Global Virtual Summit for Education &amp;amp; Skills Sector_x000a__x000a_Register Now: https://t.co/nUHNHp6WYN_x000a__x000a_#TIESSGoesVirtual  #UnitingForEducation https://t.co/IDbDYdAxFQ"/>
    <s v="https://www.tiess.online/registration?utm_source=SM&amp;utm_medium=Vincent&amp;utm_campaign=TIESS&amp;utm_term=018"/>
    <s v="tiess.online"/>
    <x v="1"/>
    <s v="https://pbs.twimg.com/media/EsK26ZcVcAEapSV.jpg"/>
    <s v="https://pbs.twimg.com/media/EsK26ZcVcAEapSV.jpg"/>
    <x v="13"/>
    <d v="2021-01-22T00:00:00.000"/>
    <s v="09:41:02"/>
    <s v="https://twitter.com/m_rueth/status/1352551841687609351"/>
    <m/>
    <m/>
    <s v="1352551841687609351"/>
    <m/>
    <b v="0"/>
    <n v="0"/>
    <s v=""/>
    <b v="0"/>
    <s v="en"/>
    <m/>
    <s v=""/>
    <b v="0"/>
    <n v="3"/>
    <s v="1351844702404833282"/>
    <s v="Twitter Web App"/>
    <b v="0"/>
    <s v="1351844702404833282"/>
    <s v="Tweet"/>
    <n v="0"/>
    <n v="0"/>
    <m/>
    <m/>
    <m/>
    <m/>
    <m/>
    <m/>
    <m/>
    <m/>
    <n v="1"/>
    <s v="3"/>
    <s v="3"/>
    <n v="0"/>
    <n v="0"/>
    <n v="0"/>
    <n v="0"/>
    <n v="0"/>
    <n v="0"/>
    <n v="30"/>
    <n v="100"/>
    <n v="30"/>
  </r>
  <r>
    <s v="noidaagbs"/>
    <s v="amitypresident"/>
    <m/>
    <m/>
    <m/>
    <m/>
    <m/>
    <m/>
    <m/>
    <m/>
    <s v="No"/>
    <n v="29"/>
    <m/>
    <m/>
    <x v="1"/>
    <d v="2021-01-22T11:16:04.000"/>
    <s v="Join the conversation with Dr. Atul Chauhan, President- Amity Education Group, Chancellor- Amity Universities, India, Only at #TIESS2021- World’s Leading Virtual Summit for Education &amp;amp; Skills Sector. _x000a_@AmityPresident _x000a_Register https://t.co/AJeECW38CR_x000a__x000a_#TIESSGoesVirtual https://t.co/uvjhIz8yCO"/>
    <s v="https://www.tiess.online/registration?utm_source=TIESS&amp;utm_medium=Amity&amp;utm_campaign=TIESS&amp;utm_term=010"/>
    <s v="tiess.online"/>
    <x v="0"/>
    <s v="https://pbs.twimg.com/media/EsUyST3U0AA3Z4O.jpg"/>
    <s v="https://pbs.twimg.com/media/EsUyST3U0AA3Z4O.jpg"/>
    <x v="14"/>
    <d v="2021-01-22T00:00:00.000"/>
    <s v="11:16:04"/>
    <s v="https://twitter.com/noidaagbs/status/1352575755960520704"/>
    <m/>
    <m/>
    <s v="1352575755960520704"/>
    <m/>
    <b v="0"/>
    <n v="0"/>
    <s v=""/>
    <b v="0"/>
    <s v="en"/>
    <m/>
    <s v=""/>
    <b v="0"/>
    <n v="7"/>
    <s v="1352542806426804227"/>
    <s v="Twitter for Android"/>
    <b v="0"/>
    <s v="1352542806426804227"/>
    <s v="Tweet"/>
    <n v="0"/>
    <n v="0"/>
    <m/>
    <m/>
    <m/>
    <m/>
    <m/>
    <m/>
    <m/>
    <m/>
    <n v="1"/>
    <s v="4"/>
    <s v="4"/>
    <n v="3"/>
    <n v="9.67741935483871"/>
    <n v="0"/>
    <n v="0"/>
    <n v="0"/>
    <n v="0"/>
    <n v="28"/>
    <n v="90.3225806451613"/>
    <n v="31"/>
  </r>
  <r>
    <s v="adatewithcocoa"/>
    <s v="yoswaroop"/>
    <m/>
    <m/>
    <m/>
    <m/>
    <m/>
    <m/>
    <m/>
    <m/>
    <s v="No"/>
    <n v="31"/>
    <m/>
    <m/>
    <x v="1"/>
    <d v="2021-01-22T11:33:15.000"/>
    <s v="#TIESS2021 – A phenomenal opportunity to Join the conversation with Dr. @YoSwaroop COO, NEM Life Skills, India only at TIESS2021 – World’s Largest Virtual Summit for Education &amp;amp; Skills sector._x000a_Register now https://t.co/nspH0zc054_x000a__x000a_#TIESSGoesVirtual #UnitingForEducation https://t.co/JSNdMkBqIU"/>
    <s v="https://www.tiess.online/registration?utm_source=SM&amp;utm_medium=Swaroop&amp;utm_campaign=TIESS&amp;utm_term=015"/>
    <s v="tiess.online"/>
    <x v="1"/>
    <s v="https://pbs.twimg.com/media/EsPS8swVEAEm_LK.jpg"/>
    <s v="https://pbs.twimg.com/media/EsPS8swVEAEm_LK.jpg"/>
    <x v="15"/>
    <d v="2021-01-22T00:00:00.000"/>
    <s v="11:33:15"/>
    <s v="https://twitter.com/adatewithcocoa/status/1352580081382785026"/>
    <m/>
    <m/>
    <s v="1352580081382785026"/>
    <m/>
    <b v="0"/>
    <n v="0"/>
    <s v=""/>
    <b v="0"/>
    <s v="en"/>
    <m/>
    <s v=""/>
    <b v="0"/>
    <n v="5"/>
    <s v="1352156293260222465"/>
    <s v="Twitter for iPhone"/>
    <b v="0"/>
    <s v="1352156293260222465"/>
    <s v="Tweet"/>
    <n v="0"/>
    <n v="0"/>
    <m/>
    <m/>
    <m/>
    <m/>
    <m/>
    <m/>
    <m/>
    <m/>
    <n v="1"/>
    <s v="1"/>
    <s v="1"/>
    <m/>
    <m/>
    <m/>
    <m/>
    <m/>
    <m/>
    <m/>
    <m/>
    <m/>
  </r>
  <r>
    <s v="amityuni"/>
    <s v="amitypresident"/>
    <m/>
    <m/>
    <m/>
    <m/>
    <m/>
    <m/>
    <m/>
    <m/>
    <s v="No"/>
    <n v="33"/>
    <m/>
    <m/>
    <x v="1"/>
    <d v="2021-01-22T13:36:16.000"/>
    <s v="Join the conversation with Dr. Atul Chauhan, President- Amity Education Group, Chancellor- Amity Universities, India, Only at #TIESS2021- World’s Leading Virtual Summit for Education &amp;amp; Skills Sector. _x000a_@AmityPresident _x000a_Register https://t.co/AJeECW38CR_x000a__x000a_#TIESSGoesVirtual https://t.co/uvjhIz8yCO"/>
    <s v="https://www.tiess.online/registration?utm_source=TIESS&amp;utm_medium=Amity&amp;utm_campaign=TIESS&amp;utm_term=010"/>
    <s v="tiess.online"/>
    <x v="0"/>
    <s v="https://pbs.twimg.com/media/EsUyST3U0AA3Z4O.jpg"/>
    <s v="https://pbs.twimg.com/media/EsUyST3U0AA3Z4O.jpg"/>
    <x v="16"/>
    <d v="2021-01-22T00:00:00.000"/>
    <s v="13:36:16"/>
    <s v="https://twitter.com/amityuni/status/1352611038970036226"/>
    <m/>
    <m/>
    <s v="1352611038970036226"/>
    <m/>
    <b v="0"/>
    <n v="0"/>
    <s v=""/>
    <b v="0"/>
    <s v="en"/>
    <m/>
    <s v=""/>
    <b v="0"/>
    <n v="7"/>
    <s v="1352542806426804227"/>
    <s v="Twitter for iPhone"/>
    <b v="0"/>
    <s v="1352542806426804227"/>
    <s v="Tweet"/>
    <n v="0"/>
    <n v="0"/>
    <m/>
    <m/>
    <m/>
    <m/>
    <m/>
    <m/>
    <m/>
    <m/>
    <n v="1"/>
    <s v="4"/>
    <s v="4"/>
    <m/>
    <m/>
    <m/>
    <m/>
    <m/>
    <m/>
    <m/>
    <m/>
    <m/>
  </r>
  <r>
    <s v="anjani_kb"/>
    <s v="amitypresident"/>
    <m/>
    <m/>
    <m/>
    <m/>
    <m/>
    <m/>
    <m/>
    <m/>
    <s v="No"/>
    <n v="35"/>
    <m/>
    <m/>
    <x v="1"/>
    <d v="2021-01-22T15:28:03.000"/>
    <s v="Join the conversation with Dr. Atul Chauhan, President- Amity Education Group, Chancellor- Amity Universities, India, Only at #TIESS2021- World’s Leading Virtual Summit for Education &amp;amp; Skills Sector. _x000a_@AmityPresident _x000a_Register https://t.co/AJeECW38CR_x000a__x000a_#TIESSGoesVirtual https://t.co/uvjhIz8yCO"/>
    <s v="https://www.tiess.online/registration?utm_source=TIESS&amp;utm_medium=Amity&amp;utm_campaign=TIESS&amp;utm_term=010"/>
    <s v="tiess.online"/>
    <x v="0"/>
    <s v="https://pbs.twimg.com/media/EsUyST3U0AA3Z4O.jpg"/>
    <s v="https://pbs.twimg.com/media/EsUyST3U0AA3Z4O.jpg"/>
    <x v="17"/>
    <d v="2021-01-22T00:00:00.000"/>
    <s v="15:28:03"/>
    <s v="https://twitter.com/anjani_kb/status/1352639169378406401"/>
    <m/>
    <m/>
    <s v="1352639169378406401"/>
    <m/>
    <b v="0"/>
    <n v="0"/>
    <s v=""/>
    <b v="0"/>
    <s v="en"/>
    <m/>
    <s v=""/>
    <b v="0"/>
    <n v="7"/>
    <s v="1352542806426804227"/>
    <s v="Twitter for Android"/>
    <b v="0"/>
    <s v="1352542806426804227"/>
    <s v="Tweet"/>
    <n v="0"/>
    <n v="0"/>
    <m/>
    <m/>
    <m/>
    <m/>
    <m/>
    <m/>
    <m/>
    <m/>
    <n v="1"/>
    <s v="4"/>
    <s v="4"/>
    <m/>
    <m/>
    <m/>
    <m/>
    <m/>
    <m/>
    <m/>
    <m/>
    <m/>
  </r>
  <r>
    <s v="fonsstoelinga"/>
    <s v="amitypresident"/>
    <m/>
    <m/>
    <m/>
    <m/>
    <m/>
    <m/>
    <m/>
    <m/>
    <s v="No"/>
    <n v="37"/>
    <m/>
    <m/>
    <x v="1"/>
    <d v="2021-01-22T15:44:29.000"/>
    <s v="Join the conversation with Dr. Atul Chauhan, President- Amity Education Group, Chancellor- Amity Universities, India, Only at #TIESS2021- World’s Leading Virtual Summit for Education &amp;amp; Skills Sector. _x000a_@AmityPresident _x000a_Register https://t.co/AJeECW38CR_x000a__x000a_#TIESSGoesVirtual https://t.co/uvjhIz8yCO"/>
    <s v="https://www.tiess.online/registration?utm_source=TIESS&amp;utm_medium=Amity&amp;utm_campaign=TIESS&amp;utm_term=010"/>
    <s v="tiess.online"/>
    <x v="0"/>
    <s v="https://pbs.twimg.com/media/EsUyST3U0AA3Z4O.jpg"/>
    <s v="https://pbs.twimg.com/media/EsUyST3U0AA3Z4O.jpg"/>
    <x v="18"/>
    <d v="2021-01-22T00:00:00.000"/>
    <s v="15:44:29"/>
    <s v="https://twitter.com/fonsstoelinga/status/1352643306338086916"/>
    <m/>
    <m/>
    <s v="1352643306338086916"/>
    <m/>
    <b v="0"/>
    <n v="0"/>
    <s v=""/>
    <b v="0"/>
    <s v="en"/>
    <m/>
    <s v=""/>
    <b v="0"/>
    <n v="7"/>
    <s v="1352542806426804227"/>
    <s v="Twitter for iPhone"/>
    <b v="0"/>
    <s v="1352542806426804227"/>
    <s v="Tweet"/>
    <n v="0"/>
    <n v="0"/>
    <m/>
    <m/>
    <m/>
    <m/>
    <m/>
    <m/>
    <m/>
    <m/>
    <n v="1"/>
    <s v="4"/>
    <s v="4"/>
    <m/>
    <m/>
    <m/>
    <m/>
    <m/>
    <m/>
    <m/>
    <m/>
    <m/>
  </r>
  <r>
    <s v="aimtoinnovate"/>
    <s v="rramanan"/>
    <m/>
    <m/>
    <m/>
    <m/>
    <m/>
    <m/>
    <m/>
    <m/>
    <s v="No"/>
    <n v="39"/>
    <m/>
    <m/>
    <x v="1"/>
    <d v="2021-01-22T16:32:50.000"/>
    <s v="Join the conversation with Mr. Ramanan Ramanathan, Mission Director Atal Innovation Mission &amp;amp; Additional Secretary, @NITIAayog, Govt. of India, only at #TIESS2021 – The World’s Largest Global Summit for Education &amp;amp; Skills Sector. @rramanan _x000a__x000a_Register now https://t.co/1Yeyj0AImH https://t.co/sQdcaxnmEo"/>
    <s v="https://www.tiess.online/registration?utm_source=SM&amp;utm_medium=Ramanan&amp;utm_campaign=TIESS&amp;utm_term=011"/>
    <s v="tiess.online"/>
    <x v="2"/>
    <s v="https://pbs.twimg.com/media/EsWHGdcVcAE-c4p.jpg"/>
    <s v="https://pbs.twimg.com/media/EsWHGdcVcAE-c4p.jpg"/>
    <x v="19"/>
    <d v="2021-01-22T00:00:00.000"/>
    <s v="16:32:50"/>
    <s v="https://twitter.com/aimtoinnovate/status/1352655470876622856"/>
    <m/>
    <m/>
    <s v="1352655470876622856"/>
    <m/>
    <b v="0"/>
    <n v="0"/>
    <s v=""/>
    <b v="0"/>
    <s v="en"/>
    <m/>
    <s v=""/>
    <b v="0"/>
    <n v="3"/>
    <s v="1352635841407971330"/>
    <s v="Twitter for iPhone"/>
    <b v="0"/>
    <s v="1352635841407971330"/>
    <s v="Tweet"/>
    <n v="0"/>
    <n v="0"/>
    <m/>
    <m/>
    <m/>
    <m/>
    <m/>
    <m/>
    <m/>
    <m/>
    <n v="1"/>
    <s v="6"/>
    <s v="6"/>
    <m/>
    <m/>
    <m/>
    <m/>
    <m/>
    <m/>
    <m/>
    <m/>
    <m/>
  </r>
  <r>
    <s v="bhilai"/>
    <s v="rramanan"/>
    <m/>
    <m/>
    <m/>
    <m/>
    <m/>
    <m/>
    <m/>
    <m/>
    <s v="No"/>
    <n v="42"/>
    <m/>
    <m/>
    <x v="1"/>
    <d v="2021-01-22T17:07:46.000"/>
    <s v="Join the conversation with Mr. Ramanan Ramanathan, Mission Director Atal Innovation Mission &amp;amp; Additional Secretary, @NITIAayog, Govt. of India, only at #TIESS2021 – The World’s Largest Global Summit for Education &amp;amp; Skills Sector. @rramanan _x000a__x000a_Register now https://t.co/1Yeyj0AImH https://t.co/sQdcaxnmEo"/>
    <s v="https://www.tiess.online/registration?utm_source=SM&amp;utm_medium=Ramanan&amp;utm_campaign=TIESS&amp;utm_term=011"/>
    <s v="tiess.online"/>
    <x v="2"/>
    <s v="https://pbs.twimg.com/media/EsWHGdcVcAE-c4p.jpg"/>
    <s v="https://pbs.twimg.com/media/EsWHGdcVcAE-c4p.jpg"/>
    <x v="20"/>
    <d v="2021-01-22T00:00:00.000"/>
    <s v="17:07:46"/>
    <s v="https://twitter.com/bhilai/status/1352664264851419136"/>
    <m/>
    <m/>
    <s v="1352664264851419136"/>
    <m/>
    <b v="0"/>
    <n v="0"/>
    <s v=""/>
    <b v="0"/>
    <s v="en"/>
    <m/>
    <s v=""/>
    <b v="0"/>
    <n v="3"/>
    <s v="1352635841407971330"/>
    <s v="Twitter Web App"/>
    <b v="0"/>
    <s v="1352635841407971330"/>
    <s v="Tweet"/>
    <n v="0"/>
    <n v="0"/>
    <m/>
    <m/>
    <m/>
    <m/>
    <m/>
    <m/>
    <m/>
    <m/>
    <n v="1"/>
    <s v="6"/>
    <s v="6"/>
    <m/>
    <m/>
    <m/>
    <m/>
    <m/>
    <m/>
    <m/>
    <m/>
    <m/>
  </r>
  <r>
    <s v="imgauravsood"/>
    <s v="amitypresident"/>
    <m/>
    <m/>
    <m/>
    <m/>
    <m/>
    <m/>
    <m/>
    <m/>
    <s v="No"/>
    <n v="45"/>
    <m/>
    <m/>
    <x v="1"/>
    <d v="2021-01-23T06:41:00.000"/>
    <s v="Join the conversation with Dr. Atul Chauhan, President- Amity Education Group, Chancellor- Amity Universities, India, Only at #TIESS2021- World’s Leading Virtual Summit for Education &amp;amp; Skills Sector. _x000a_@AmityPresident _x000a_Register https://t.co/AJeECW38CR_x000a__x000a_#TIESSGoesVirtual https://t.co/uvjhIz8yCO"/>
    <s v="https://www.tiess.online/registration?utm_source=TIESS&amp;utm_medium=Amity&amp;utm_campaign=TIESS&amp;utm_term=010"/>
    <s v="tiess.online"/>
    <x v="0"/>
    <s v="https://pbs.twimg.com/media/EsUyST3U0AA3Z4O.jpg"/>
    <s v="https://pbs.twimg.com/media/EsUyST3U0AA3Z4O.jpg"/>
    <x v="21"/>
    <d v="2021-01-23T00:00:00.000"/>
    <s v="06:41:00"/>
    <s v="https://twitter.com/imgauravsood/status/1352868919334191104"/>
    <m/>
    <m/>
    <s v="1352868919334191104"/>
    <m/>
    <b v="0"/>
    <n v="0"/>
    <s v=""/>
    <b v="0"/>
    <s v="en"/>
    <m/>
    <s v=""/>
    <b v="0"/>
    <n v="7"/>
    <s v="1352542806426804227"/>
    <s v="Twitter for iPhone"/>
    <b v="0"/>
    <s v="1352542806426804227"/>
    <s v="Tweet"/>
    <n v="0"/>
    <n v="0"/>
    <m/>
    <m/>
    <m/>
    <m/>
    <m/>
    <m/>
    <m/>
    <m/>
    <n v="1"/>
    <s v="4"/>
    <s v="4"/>
    <m/>
    <m/>
    <m/>
    <m/>
    <m/>
    <m/>
    <m/>
    <m/>
    <m/>
  </r>
  <r>
    <s v="muriel21400928"/>
    <s v="olliebray"/>
    <m/>
    <m/>
    <m/>
    <m/>
    <m/>
    <m/>
    <m/>
    <m/>
    <s v="No"/>
    <n v="47"/>
    <m/>
    <m/>
    <x v="0"/>
    <d v="2021-01-23T12:57:33.000"/>
    <s v="Looking forward to presenting st #TIESS2021 next week..._x000a_Register Now - https://t.co/MOHCuzZiVN_x000a__x000a_#TIESSGoesVirtual #UnitingForEducation https://t.co/IeEQhWeW74 https://t.co/L2mwa6QiRr"/>
    <s v="https://www.tiess.online/registration?utm_source=Ollie&amp;utm_medium=SM&amp;utm_campaign=TIESS&amp;utm_term=029"/>
    <s v="tiess.online"/>
    <x v="0"/>
    <s v="https://pbs.twimg.com/media/EsZvwrMVEAAm51K.jpg"/>
    <s v="https://pbs.twimg.com/media/EsZvwrMVEAAm51K.jpg"/>
    <x v="22"/>
    <d v="2021-01-23T00:00:00.000"/>
    <s v="12:57:33"/>
    <s v="https://twitter.com/muriel21400928/status/1352963682049863680"/>
    <m/>
    <m/>
    <s v="1352963682049863680"/>
    <m/>
    <b v="0"/>
    <n v="0"/>
    <s v=""/>
    <b v="1"/>
    <s v="en"/>
    <m/>
    <s v="1352891698599223296"/>
    <b v="0"/>
    <n v="1"/>
    <s v="1352903588729794560"/>
    <s v="Twitter for Android"/>
    <b v="0"/>
    <s v="1352903588729794560"/>
    <s v="Tweet"/>
    <n v="0"/>
    <n v="0"/>
    <m/>
    <m/>
    <m/>
    <m/>
    <m/>
    <m/>
    <m/>
    <m/>
    <n v="1"/>
    <s v="13"/>
    <s v="13"/>
    <n v="0"/>
    <n v="0"/>
    <n v="0"/>
    <n v="0"/>
    <n v="0"/>
    <n v="0"/>
    <n v="12"/>
    <n v="100"/>
    <n v="12"/>
  </r>
  <r>
    <s v="drsantanugupta"/>
    <s v="amitypresident"/>
    <m/>
    <m/>
    <m/>
    <m/>
    <m/>
    <m/>
    <m/>
    <m/>
    <s v="No"/>
    <n v="48"/>
    <m/>
    <m/>
    <x v="1"/>
    <d v="2021-01-23T13:13:39.000"/>
    <s v="Join the conversation with Dr. Atul Chauhan, President- Amity Education Group, Chancellor- Amity Universities, India, Only at #TIESS2021- World’s Leading Virtual Summit for Education &amp;amp; Skills Sector. _x000a_@AmityPresident _x000a_Register https://t.co/AJeECW38CR_x000a__x000a_#TIESSGoesVirtual https://t.co/uvjhIz8yCO"/>
    <s v="https://www.tiess.online/registration?utm_source=TIESS&amp;utm_medium=Amity&amp;utm_campaign=TIESS&amp;utm_term=010"/>
    <s v="tiess.online"/>
    <x v="0"/>
    <s v="https://pbs.twimg.com/media/EsUyST3U0AA3Z4O.jpg"/>
    <s v="https://pbs.twimg.com/media/EsUyST3U0AA3Z4O.jpg"/>
    <x v="23"/>
    <d v="2021-01-23T00:00:00.000"/>
    <s v="13:13:39"/>
    <s v="https://twitter.com/drsantanugupta/status/1352967736616382464"/>
    <m/>
    <m/>
    <s v="1352967736616382464"/>
    <m/>
    <b v="0"/>
    <n v="0"/>
    <s v=""/>
    <b v="0"/>
    <s v="en"/>
    <m/>
    <s v=""/>
    <b v="0"/>
    <n v="7"/>
    <s v="1352542806426804227"/>
    <s v="Twitter for Android"/>
    <b v="0"/>
    <s v="1352542806426804227"/>
    <s v="Tweet"/>
    <n v="0"/>
    <n v="0"/>
    <m/>
    <m/>
    <m/>
    <m/>
    <m/>
    <m/>
    <m/>
    <m/>
    <n v="1"/>
    <s v="4"/>
    <s v="4"/>
    <m/>
    <m/>
    <m/>
    <m/>
    <m/>
    <m/>
    <m/>
    <m/>
    <m/>
  </r>
  <r>
    <s v="aizadkhursheed"/>
    <s v="amitypresident"/>
    <m/>
    <m/>
    <m/>
    <m/>
    <m/>
    <m/>
    <m/>
    <m/>
    <s v="No"/>
    <n v="50"/>
    <m/>
    <m/>
    <x v="1"/>
    <d v="2021-01-23T13:51:10.000"/>
    <s v="Join the conversation with Dr. Atul Chauhan, President- Amity Education Group, Chancellor- Amity Universities, India, Only at #TIESS2021- World’s Leading Virtual Summit for Education &amp;amp; Skills Sector. _x000a_@AmityPresident _x000a_Register https://t.co/AJeECW38CR_x000a__x000a_#TIESSGoesVirtual https://t.co/uvjhIz8yCO"/>
    <s v="https://www.tiess.online/registration?utm_source=TIESS&amp;utm_medium=Amity&amp;utm_campaign=TIESS&amp;utm_term=010"/>
    <s v="tiess.online"/>
    <x v="0"/>
    <s v="https://pbs.twimg.com/media/EsUyST3U0AA3Z4O.jpg"/>
    <s v="https://pbs.twimg.com/media/EsUyST3U0AA3Z4O.jpg"/>
    <x v="24"/>
    <d v="2021-01-23T00:00:00.000"/>
    <s v="13:51:10"/>
    <s v="https://twitter.com/aizadkhursheed/status/1352977174513389568"/>
    <m/>
    <m/>
    <s v="1352977174513389568"/>
    <m/>
    <b v="0"/>
    <n v="0"/>
    <s v=""/>
    <b v="0"/>
    <s v="en"/>
    <m/>
    <s v=""/>
    <b v="0"/>
    <n v="7"/>
    <s v="1352542806426804227"/>
    <s v="Twitter for Android"/>
    <b v="0"/>
    <s v="1352542806426804227"/>
    <s v="Tweet"/>
    <n v="0"/>
    <n v="0"/>
    <m/>
    <m/>
    <m/>
    <m/>
    <m/>
    <m/>
    <m/>
    <m/>
    <n v="1"/>
    <s v="4"/>
    <s v="4"/>
    <m/>
    <m/>
    <m/>
    <m/>
    <m/>
    <m/>
    <m/>
    <m/>
    <m/>
  </r>
  <r>
    <s v="mehulch06582077"/>
    <s v="agastyasparks"/>
    <m/>
    <m/>
    <m/>
    <m/>
    <m/>
    <m/>
    <m/>
    <m/>
    <s v="No"/>
    <n v="52"/>
    <m/>
    <m/>
    <x v="1"/>
    <d v="2021-01-24T02:57:27.000"/>
    <s v="Join the conversation with Mr. Ramji Raghavan, Founder &amp;amp; Chairperson, AGASTYA International Foundation, India, only at #TIESS2021 – The World’s Largest Global Summit for Education &amp;amp; Skills Sector @AgastyaSparks_x000a_Register now https://t.co/gVr52ZUD3S_x000a__x000a_#TIESSGoesVirtual https://t.co/YLSxlCiBDR"/>
    <s v="https://www.tiess.online/registration?utm_source=SM&amp;utm_medium=Raghavan&amp;utm_campaign=TIESS&amp;utm_term=023"/>
    <s v="tiess.online"/>
    <x v="0"/>
    <s v="https://pbs.twimg.com/media/EsWDr3BU4AAvApB.jpg"/>
    <s v="https://pbs.twimg.com/media/EsWDr3BU4AAvApB.jpg"/>
    <x v="25"/>
    <d v="2021-01-24T00:00:00.000"/>
    <s v="02:57:27"/>
    <s v="https://twitter.com/mehulch06582077/status/1353175050661158913"/>
    <m/>
    <m/>
    <s v="1353175050661158913"/>
    <m/>
    <b v="0"/>
    <n v="0"/>
    <s v=""/>
    <b v="0"/>
    <s v="en"/>
    <m/>
    <s v=""/>
    <b v="0"/>
    <n v="4"/>
    <s v="1352632063707336706"/>
    <s v="Twitter for Android"/>
    <b v="0"/>
    <s v="1352632063707336706"/>
    <s v="Tweet"/>
    <n v="0"/>
    <n v="0"/>
    <m/>
    <m/>
    <m/>
    <m/>
    <m/>
    <m/>
    <m/>
    <m/>
    <n v="1"/>
    <s v="1"/>
    <s v="1"/>
    <n v="0"/>
    <n v="0"/>
    <n v="0"/>
    <n v="0"/>
    <n v="0"/>
    <n v="0"/>
    <n v="32"/>
    <n v="100"/>
    <n v="32"/>
  </r>
  <r>
    <s v="mukesh49963098"/>
    <s v="agastyasparks"/>
    <m/>
    <m/>
    <m/>
    <m/>
    <m/>
    <m/>
    <m/>
    <m/>
    <s v="No"/>
    <n v="54"/>
    <m/>
    <m/>
    <x v="1"/>
    <d v="2021-01-24T04:52:05.000"/>
    <s v="Join the conversation with Mr. Ramji Raghavan, Founder &amp;amp; Chairperson, AGASTYA International Foundation, India, only at #TIESS2021 – The World’s Largest Global Summit for Education &amp;amp; Skills Sector @AgastyaSparks_x000a_Register now https://t.co/gVr52ZUD3S_x000a__x000a_#TIESSGoesVirtual https://t.co/YLSxlCiBDR"/>
    <s v="https://www.tiess.online/registration?utm_source=SM&amp;utm_medium=Raghavan&amp;utm_campaign=TIESS&amp;utm_term=023"/>
    <s v="tiess.online"/>
    <x v="0"/>
    <s v="https://pbs.twimg.com/media/EsWDr3BU4AAvApB.jpg"/>
    <s v="https://pbs.twimg.com/media/EsWDr3BU4AAvApB.jpg"/>
    <x v="26"/>
    <d v="2021-01-24T00:00:00.000"/>
    <s v="04:52:05"/>
    <s v="https://twitter.com/mukesh49963098/status/1353203897716772864"/>
    <m/>
    <m/>
    <s v="1353203897716772864"/>
    <m/>
    <b v="0"/>
    <n v="0"/>
    <s v=""/>
    <b v="0"/>
    <s v="en"/>
    <m/>
    <s v=""/>
    <b v="0"/>
    <n v="4"/>
    <s v="1352632063707336706"/>
    <s v="Twitter for Android"/>
    <b v="0"/>
    <s v="1352632063707336706"/>
    <s v="Tweet"/>
    <n v="0"/>
    <n v="0"/>
    <m/>
    <m/>
    <m/>
    <m/>
    <m/>
    <m/>
    <m/>
    <m/>
    <n v="1"/>
    <s v="1"/>
    <s v="1"/>
    <m/>
    <m/>
    <m/>
    <m/>
    <m/>
    <m/>
    <m/>
    <m/>
    <m/>
  </r>
  <r>
    <s v="sanatan96735902"/>
    <s v="rramanan"/>
    <m/>
    <m/>
    <m/>
    <m/>
    <m/>
    <m/>
    <m/>
    <m/>
    <s v="No"/>
    <n v="56"/>
    <m/>
    <m/>
    <x v="1"/>
    <d v="2021-01-24T16:24:36.000"/>
    <s v="Join the conversation with Mr. Ramanan Ramanathan, Mission Director Atal Innovation Mission &amp;amp; Additional Secretary, @NITIAayog, Govt. of India, only at #TIESS2021 – The World’s Largest Global Summit for Education &amp;amp; Skills Sector. @rramanan _x000a__x000a_Register now https://t.co/1Yeyj0AImH https://t.co/sQdcaxnmEo"/>
    <s v="https://www.tiess.online/registration?utm_source=SM&amp;utm_medium=Ramanan&amp;utm_campaign=TIESS&amp;utm_term=011"/>
    <s v="tiess.online"/>
    <x v="2"/>
    <s v="https://pbs.twimg.com/media/EsWHGdcVcAE-c4p.jpg"/>
    <s v="https://pbs.twimg.com/media/EsWHGdcVcAE-c4p.jpg"/>
    <x v="27"/>
    <d v="2021-01-24T00:00:00.000"/>
    <s v="16:24:36"/>
    <s v="https://twitter.com/sanatan96735902/status/1353378177737875459"/>
    <m/>
    <m/>
    <s v="1353378177737875459"/>
    <m/>
    <b v="0"/>
    <n v="0"/>
    <s v=""/>
    <b v="0"/>
    <s v="en"/>
    <m/>
    <s v=""/>
    <b v="0"/>
    <n v="3"/>
    <s v="1352635841407971330"/>
    <s v="Twitter for Android"/>
    <b v="0"/>
    <s v="1352635841407971330"/>
    <s v="Tweet"/>
    <n v="0"/>
    <n v="0"/>
    <m/>
    <m/>
    <m/>
    <m/>
    <m/>
    <m/>
    <m/>
    <m/>
    <n v="1"/>
    <s v="6"/>
    <s v="6"/>
    <m/>
    <m/>
    <m/>
    <m/>
    <m/>
    <m/>
    <m/>
    <m/>
    <m/>
  </r>
  <r>
    <s v="afreen50079461"/>
    <s v="takeactionedu"/>
    <m/>
    <m/>
    <m/>
    <m/>
    <m/>
    <m/>
    <m/>
    <m/>
    <s v="No"/>
    <n v="59"/>
    <m/>
    <m/>
    <x v="1"/>
    <d v="2021-01-24T16:26:59.000"/>
    <s v="#TIESS2021 – A prodigious opportunity to Join the conversation with @zelfstudie Mr. Koen Timmers, Executive Director, @TakeActionEdu TAG inc., Belgium at the World’s Leading Virtual Summit for Education &amp;amp; Skills Sector. _x000a_Register Now - https://t.co/LL6OFBN6et_x000a__x000a_#TIESSGoesVirtual https://t.co/5jeQsD3krq"/>
    <s v="https://www.tiess.online/registration?utm_source=SM&amp;utm_medium=Timmers&amp;utm_campaign=TIESS&amp;utm_term=022"/>
    <s v="tiess.online"/>
    <x v="0"/>
    <s v="https://pbs.twimg.com/media/EsLob21VQAAdPsn.jpg"/>
    <s v="https://pbs.twimg.com/media/EsLob21VQAAdPsn.jpg"/>
    <x v="28"/>
    <d v="2021-01-24T00:00:00.000"/>
    <s v="16:26:59"/>
    <s v="https://twitter.com/afreen50079461/status/1353378776885944320"/>
    <m/>
    <m/>
    <s v="1353378776885944320"/>
    <m/>
    <b v="0"/>
    <n v="0"/>
    <s v=""/>
    <b v="0"/>
    <s v="en"/>
    <m/>
    <s v=""/>
    <b v="0"/>
    <n v="3"/>
    <s v="1351898436954595333"/>
    <s v="Twitter Web App"/>
    <b v="0"/>
    <s v="1351898436954595333"/>
    <s v="Tweet"/>
    <n v="0"/>
    <n v="0"/>
    <m/>
    <m/>
    <m/>
    <m/>
    <m/>
    <m/>
    <m/>
    <m/>
    <n v="1"/>
    <s v="9"/>
    <s v="9"/>
    <m/>
    <m/>
    <m/>
    <m/>
    <m/>
    <m/>
    <m/>
    <m/>
    <m/>
  </r>
  <r>
    <s v="educatelanka"/>
    <s v="manjula_d"/>
    <m/>
    <m/>
    <m/>
    <m/>
    <m/>
    <m/>
    <m/>
    <m/>
    <s v="No"/>
    <n v="62"/>
    <m/>
    <m/>
    <x v="1"/>
    <d v="2021-01-24T18:32:40.000"/>
    <s v="At #TIESS2021 - the Global Leading Virtual Summit on Education, Join the dialogue with Mr. Manjula M. Dissanayake , Founder, Educate Lanka Foundation, _x000a_Sri Lanka, Register Now https://t.co/7C4rhadQw9_x000a_@manjula_d_x000a_#TIESSGoesVirtual #UnitingForEducation https://t.co/ulvPvBKAVI"/>
    <s v="https://www.tiess.online/registration?utm_source=Manjula&amp;utm_medium=SM&amp;utm_campaign=TIESS&amp;utm_term=035"/>
    <s v="tiess.online"/>
    <x v="1"/>
    <s v="https://pbs.twimg.com/media/EsaYJWbUUAEqSrE.jpg"/>
    <s v="https://pbs.twimg.com/media/EsaYJWbUUAEqSrE.jpg"/>
    <x v="29"/>
    <d v="2021-01-24T00:00:00.000"/>
    <s v="18:32:40"/>
    <s v="https://twitter.com/educatelanka/status/1353410403955482631"/>
    <m/>
    <m/>
    <s v="1353410403955482631"/>
    <m/>
    <b v="0"/>
    <n v="0"/>
    <s v=""/>
    <b v="0"/>
    <s v="en"/>
    <m/>
    <s v=""/>
    <b v="0"/>
    <n v="2"/>
    <s v="1352936102189912064"/>
    <s v="Twitter Web App"/>
    <b v="0"/>
    <s v="1352936102189912064"/>
    <s v="Tweet"/>
    <n v="0"/>
    <n v="0"/>
    <m/>
    <m/>
    <m/>
    <m/>
    <m/>
    <m/>
    <m/>
    <m/>
    <n v="1"/>
    <s v="1"/>
    <s v="1"/>
    <n v="1"/>
    <n v="3.5714285714285716"/>
    <n v="0"/>
    <n v="0"/>
    <n v="0"/>
    <n v="0"/>
    <n v="27"/>
    <n v="96.42857142857143"/>
    <n v="28"/>
  </r>
  <r>
    <s v="tcs_ion"/>
    <s v="tcs"/>
    <m/>
    <m/>
    <m/>
    <m/>
    <m/>
    <m/>
    <m/>
    <m/>
    <s v="No"/>
    <n v="64"/>
    <m/>
    <m/>
    <x v="2"/>
    <d v="2021-01-25T07:48:24.000"/>
    <s v="Watch out for a special session by @KrishnanCA, Business Unit Head for Higher Education - TCS iON, @TCS, on ‘How should assessments change in times of disruption?’. _x000a__x000a_Date: Wednesday, January 27, 2021 _x000a_Time: 01:15 pm IST_x000a__x000a_Register now: https://t.co/sN3OMfiMf3_x000a__x000a_#TCSiON #TIESS2021 https://t.co/0SmX55QMDV"/>
    <s v="https://www.tiess.online/registration?utm_source=SM&amp;utm_medium=Krishnan&amp;utm_campaign=TIESS&amp;utm_term=040 https://twitter.com/Indiadidac/status/1352560149135671299"/>
    <s v="tiess.online twitter.com"/>
    <x v="3"/>
    <m/>
    <s v="https://pbs.twimg.com/profile_images/912616865574219776/s0G4kIoM_normal.jpg"/>
    <x v="30"/>
    <d v="2021-01-25T00:00:00.000"/>
    <s v="07:48:24"/>
    <s v="https://twitter.com/tcs_ion/status/1353610656533028868"/>
    <m/>
    <m/>
    <s v="1353610656533028868"/>
    <m/>
    <b v="0"/>
    <n v="2"/>
    <s v=""/>
    <b v="1"/>
    <s v="en"/>
    <m/>
    <s v="1352560149135671299"/>
    <b v="0"/>
    <n v="0"/>
    <s v=""/>
    <s v="Twitter Web App"/>
    <b v="0"/>
    <s v="1353610656533028868"/>
    <s v="Tweet"/>
    <n v="0"/>
    <n v="0"/>
    <m/>
    <m/>
    <m/>
    <m/>
    <m/>
    <m/>
    <m/>
    <m/>
    <n v="1"/>
    <s v="8"/>
    <s v="8"/>
    <m/>
    <m/>
    <m/>
    <m/>
    <m/>
    <m/>
    <m/>
    <m/>
    <m/>
  </r>
  <r>
    <s v="ashokamane"/>
    <s v="tcs_ion"/>
    <m/>
    <m/>
    <m/>
    <m/>
    <m/>
    <m/>
    <m/>
    <m/>
    <s v="No"/>
    <n v="66"/>
    <m/>
    <m/>
    <x v="0"/>
    <d v="2021-01-25T08:10:47.000"/>
    <s v="We are glad to be the official 'Transformation Partner' at the world’s largest virtual conference for the education and skills sector - The International Education and Skills Summit._x000a__x000a_#TCSiON #TIESS2021 #education #skills https://t.co/DwC2Jaki18"/>
    <s v="https://twitter.com/Indiadidac/status/1353586348117028867"/>
    <s v="twitter.com"/>
    <x v="4"/>
    <m/>
    <s v="https://pbs.twimg.com/profile_images/1277453468173651968/fwzxOFm3_normal.jpg"/>
    <x v="31"/>
    <d v="2021-01-25T00:00:00.000"/>
    <s v="08:10:47"/>
    <s v="https://twitter.com/ashokamane/status/1353616290334695429"/>
    <m/>
    <m/>
    <s v="1353616290334695429"/>
    <m/>
    <b v="0"/>
    <n v="0"/>
    <s v=""/>
    <b v="1"/>
    <s v="en"/>
    <m/>
    <s v="1353586348117028867"/>
    <b v="0"/>
    <n v="1"/>
    <s v="1353590864707162118"/>
    <s v="Twitter for iPhone"/>
    <b v="0"/>
    <s v="1353590864707162118"/>
    <s v="Tweet"/>
    <n v="0"/>
    <n v="0"/>
    <m/>
    <m/>
    <m/>
    <m/>
    <m/>
    <m/>
    <m/>
    <m/>
    <n v="1"/>
    <s v="8"/>
    <s v="8"/>
    <n v="1"/>
    <n v="3.125"/>
    <n v="0"/>
    <n v="0"/>
    <n v="0"/>
    <n v="0"/>
    <n v="31"/>
    <n v="96.875"/>
    <n v="32"/>
  </r>
  <r>
    <s v="tweeteretta"/>
    <s v="indiadidac"/>
    <m/>
    <m/>
    <m/>
    <m/>
    <m/>
    <m/>
    <m/>
    <m/>
    <s v="No"/>
    <n v="67"/>
    <m/>
    <m/>
    <x v="0"/>
    <d v="2021-01-25T13:21:04.000"/>
    <s v="#TIESS2021 _x000a_Get Ready to meet the most influential global leaders in education! listen, collaborate and contribute to the Future of Education!!_x000a_30,000+ Delegates| 80+ Countries| 150+ Speakers! _x000a__x000a_Only 2 days to go! _x000a__x000a_#TIESSGoesVirtual #UnitingForEducation #StayTuned https://t.co/MHlHRts8dm"/>
    <m/>
    <m/>
    <x v="5"/>
    <s v="https://pbs.twimg.com/media/EskiR9xVEAYLaX3.jpg"/>
    <s v="https://pbs.twimg.com/media/EskiR9xVEAYLaX3.jpg"/>
    <x v="32"/>
    <d v="2021-01-25T00:00:00.000"/>
    <s v="13:21:04"/>
    <s v="https://twitter.com/tweeteretta/status/1353694374698344448"/>
    <m/>
    <m/>
    <s v="1353694374698344448"/>
    <m/>
    <b v="0"/>
    <n v="0"/>
    <s v=""/>
    <b v="0"/>
    <s v="en"/>
    <m/>
    <s v=""/>
    <b v="0"/>
    <n v="2"/>
    <s v="1353650920182013953"/>
    <s v="Twitter for Android"/>
    <b v="0"/>
    <s v="1353650920182013953"/>
    <s v="Tweet"/>
    <n v="0"/>
    <n v="0"/>
    <m/>
    <m/>
    <m/>
    <m/>
    <m/>
    <m/>
    <m/>
    <m/>
    <n v="1"/>
    <s v="1"/>
    <s v="1"/>
    <n v="2"/>
    <n v="5.555555555555555"/>
    <n v="0"/>
    <n v="0"/>
    <n v="0"/>
    <n v="0"/>
    <n v="34"/>
    <n v="94.44444444444444"/>
    <n v="36"/>
  </r>
  <r>
    <s v="debijules"/>
    <s v="takeactionedu"/>
    <m/>
    <m/>
    <m/>
    <m/>
    <m/>
    <m/>
    <m/>
    <m/>
    <s v="No"/>
    <n v="68"/>
    <m/>
    <m/>
    <x v="1"/>
    <d v="2021-01-25T17:36:31.000"/>
    <s v="#TIESS2021 – A prodigious opportunity to Join the conversation with @zelfstudie Mr. Koen Timmers, Executive Director, @TakeActionEdu TAG inc., Belgium at the World’s Leading Virtual Summit for Education &amp;amp; Skills Sector. _x000a_Register Now - https://t.co/LL6OFBN6et_x000a__x000a_#TIESSGoesVirtual https://t.co/5jeQsD3krq"/>
    <s v="https://www.tiess.online/registration?utm_source=SM&amp;utm_medium=Timmers&amp;utm_campaign=TIESS&amp;utm_term=022"/>
    <s v="tiess.online"/>
    <x v="0"/>
    <s v="https://pbs.twimg.com/media/EsLob21VQAAdPsn.jpg"/>
    <s v="https://pbs.twimg.com/media/EsLob21VQAAdPsn.jpg"/>
    <x v="33"/>
    <d v="2021-01-25T00:00:00.000"/>
    <s v="17:36:31"/>
    <s v="https://twitter.com/debijules/status/1353758661160562688"/>
    <m/>
    <m/>
    <s v="1353758661160562688"/>
    <m/>
    <b v="0"/>
    <n v="0"/>
    <s v=""/>
    <b v="0"/>
    <s v="en"/>
    <m/>
    <s v=""/>
    <b v="0"/>
    <n v="3"/>
    <s v="1351898436954595333"/>
    <s v="Twitter Web App"/>
    <b v="0"/>
    <s v="1351898436954595333"/>
    <s v="Tweet"/>
    <n v="0"/>
    <n v="0"/>
    <m/>
    <m/>
    <m/>
    <m/>
    <m/>
    <m/>
    <m/>
    <m/>
    <n v="1"/>
    <s v="9"/>
    <s v="9"/>
    <m/>
    <m/>
    <m/>
    <m/>
    <m/>
    <m/>
    <m/>
    <m/>
    <m/>
  </r>
  <r>
    <s v="didacindia"/>
    <s v="didacindia"/>
    <m/>
    <m/>
    <m/>
    <m/>
    <m/>
    <m/>
    <m/>
    <m/>
    <s v="No"/>
    <n v="71"/>
    <m/>
    <m/>
    <x v="3"/>
    <d v="2021-01-19T09:12:10.000"/>
    <s v="#TIESS2021 - The world's largest virtual conference on education and skills sector, is all set to unite the global education leaders to collaborate for thoughtful deliberations &amp;amp; discussion on the Future of Education. _x000a__x000a_Register now - https://t.co/Iyb6jZOFvX _x000a__x000a_#TIESSGoesVirtual https://t.co/mfSU6Dclwm"/>
    <s v="https://www.tiess.online/registration?utm_source=Twitter&amp;utm_medium=IDA&amp;utm_campaign=TIESS&amp;utm_term=006"/>
    <s v="tiess.online"/>
    <x v="0"/>
    <s v="https://pbs.twimg.com/ext_tw_video_thumb/1351456442998546433/pu/img/aSegp9wmdlv0gjvz.jpg"/>
    <s v="https://pbs.twimg.com/ext_tw_video_thumb/1351456442998546433/pu/img/aSegp9wmdlv0gjvz.jpg"/>
    <x v="34"/>
    <d v="2021-01-19T00:00:00.000"/>
    <s v="09:12:10"/>
    <s v="https://twitter.com/didacindia/status/1351457412163760134"/>
    <m/>
    <m/>
    <s v="1351457412163760134"/>
    <m/>
    <b v="0"/>
    <n v="7"/>
    <s v=""/>
    <b v="0"/>
    <s v="en"/>
    <m/>
    <s v=""/>
    <b v="0"/>
    <n v="4"/>
    <s v=""/>
    <s v="TweetDeck"/>
    <b v="0"/>
    <s v="1351457412163760134"/>
    <s v="Retweet"/>
    <n v="0"/>
    <n v="0"/>
    <m/>
    <m/>
    <m/>
    <m/>
    <m/>
    <m/>
    <m/>
    <m/>
    <n v="3"/>
    <s v="12"/>
    <s v="12"/>
    <n v="1"/>
    <n v="2.857142857142857"/>
    <n v="0"/>
    <n v="0"/>
    <n v="0"/>
    <n v="0"/>
    <n v="34"/>
    <n v="97.14285714285714"/>
    <n v="35"/>
  </r>
  <r>
    <s v="didacindia"/>
    <s v="didacindia"/>
    <m/>
    <m/>
    <m/>
    <m/>
    <m/>
    <m/>
    <m/>
    <m/>
    <s v="No"/>
    <n v="72"/>
    <m/>
    <m/>
    <x v="3"/>
    <d v="2021-01-25T10:28:40.000"/>
    <s v="#TIESS2021 _x000a_Get Ready to meet the most influential global leaders in education! listen, collaborate and contribute to the Future of Education!!_x000a_30,000+ Delegates| 80+ Countries| 150+ Speakers! _x000a__x000a_Only 2 days to go! _x000a__x000a_#TIESSGoesVirtual #UnitingForEducation #StayTuned https://t.co/DWeafXCuD9"/>
    <m/>
    <m/>
    <x v="5"/>
    <s v="https://pbs.twimg.com/media/EskiYkyUwAEXg0o.jpg"/>
    <s v="https://pbs.twimg.com/media/EskiYkyUwAEXg0o.jpg"/>
    <x v="35"/>
    <d v="2021-01-25T00:00:00.000"/>
    <s v="10:28:40"/>
    <s v="https://twitter.com/didacindia/status/1353650989438365704"/>
    <m/>
    <m/>
    <s v="1353650989438365704"/>
    <m/>
    <b v="0"/>
    <n v="1"/>
    <s v=""/>
    <b v="0"/>
    <s v="en"/>
    <m/>
    <s v=""/>
    <b v="0"/>
    <n v="0"/>
    <s v=""/>
    <s v="TweetDeck"/>
    <b v="0"/>
    <s v="1353650989438365704"/>
    <s v="Tweet"/>
    <n v="0"/>
    <n v="0"/>
    <m/>
    <m/>
    <m/>
    <m/>
    <m/>
    <m/>
    <m/>
    <m/>
    <n v="3"/>
    <s v="12"/>
    <s v="12"/>
    <n v="2"/>
    <n v="5.555555555555555"/>
    <n v="0"/>
    <n v="0"/>
    <n v="0"/>
    <n v="0"/>
    <n v="34"/>
    <n v="94.44444444444444"/>
    <n v="36"/>
  </r>
  <r>
    <s v="didacindia"/>
    <s v="didacindia"/>
    <m/>
    <m/>
    <m/>
    <m/>
    <m/>
    <m/>
    <m/>
    <m/>
    <s v="No"/>
    <n v="73"/>
    <m/>
    <m/>
    <x v="3"/>
    <d v="2021-01-26T08:34:02.000"/>
    <s v="#TIESS2021 _x000a_The wait is almost over. Get Ready to meet the most influential global leaders in education! listen, collaborate and contribute to the Future of Education!!_x000a_30,000+ Delegates| 80+ Countries| 150+ Speakers! _x000a__x000a_Only 1 day to go! _x000a__x000a_#TIESSGoesVirtual #UnitingForEducation https://t.co/fT5o63Mayu"/>
    <m/>
    <m/>
    <x v="1"/>
    <s v="https://pbs.twimg.com/media/EspRuklU0AMbuIh.jpg"/>
    <s v="https://pbs.twimg.com/media/EspRuklU0AMbuIh.jpg"/>
    <x v="36"/>
    <d v="2021-01-26T00:00:00.000"/>
    <s v="08:34:02"/>
    <s v="https://twitter.com/didacindia/status/1353984532081385472"/>
    <m/>
    <m/>
    <s v="1353984532081385472"/>
    <m/>
    <b v="0"/>
    <n v="0"/>
    <s v=""/>
    <b v="0"/>
    <s v="en"/>
    <m/>
    <s v=""/>
    <b v="0"/>
    <n v="0"/>
    <s v=""/>
    <s v="TweetDeck"/>
    <b v="0"/>
    <s v="1353984532081385472"/>
    <s v="Tweet"/>
    <n v="0"/>
    <n v="0"/>
    <m/>
    <m/>
    <m/>
    <m/>
    <m/>
    <m/>
    <m/>
    <m/>
    <n v="3"/>
    <s v="12"/>
    <s v="12"/>
    <n v="2"/>
    <n v="5"/>
    <n v="0"/>
    <n v="0"/>
    <n v="0"/>
    <n v="0"/>
    <n v="38"/>
    <n v="95"/>
    <n v="40"/>
  </r>
  <r>
    <s v="kthiag2000"/>
    <s v="agastyasparks"/>
    <m/>
    <m/>
    <m/>
    <m/>
    <m/>
    <m/>
    <m/>
    <m/>
    <s v="No"/>
    <n v="74"/>
    <m/>
    <m/>
    <x v="1"/>
    <d v="2021-01-26T11:54:54.000"/>
    <s v="Join the conversation with Mr. Ramji Raghavan, Founder &amp;amp; Chairperson, AGASTYA International Foundation, India, only at #TIESS2021 – The World’s Largest Global Summit for Education &amp;amp; Skills Sector @AgastyaSparks_x000a_Register now https://t.co/gVr52ZUD3S_x000a__x000a_#TIESSGoesVirtual https://t.co/YLSxlCiBDR"/>
    <s v="https://www.tiess.online/registration?utm_source=SM&amp;utm_medium=Raghavan&amp;utm_campaign=TIESS&amp;utm_term=023"/>
    <s v="tiess.online"/>
    <x v="0"/>
    <s v="https://pbs.twimg.com/media/EsWDr3BU4AAvApB.jpg"/>
    <s v="https://pbs.twimg.com/media/EsWDr3BU4AAvApB.jpg"/>
    <x v="37"/>
    <d v="2021-01-26T00:00:00.000"/>
    <s v="11:54:54"/>
    <s v="https://twitter.com/kthiag2000/status/1354035081317281792"/>
    <m/>
    <m/>
    <s v="1354035081317281792"/>
    <m/>
    <b v="0"/>
    <n v="0"/>
    <s v=""/>
    <b v="0"/>
    <s v="en"/>
    <m/>
    <s v=""/>
    <b v="0"/>
    <n v="4"/>
    <s v="1352632063707336706"/>
    <s v="Twitter Web App"/>
    <b v="0"/>
    <s v="1352632063707336706"/>
    <s v="Tweet"/>
    <n v="0"/>
    <n v="0"/>
    <m/>
    <m/>
    <m/>
    <m/>
    <m/>
    <m/>
    <m/>
    <m/>
    <n v="1"/>
    <s v="1"/>
    <s v="1"/>
    <m/>
    <m/>
    <m/>
    <m/>
    <m/>
    <m/>
    <m/>
    <m/>
    <m/>
  </r>
  <r>
    <s v="emuvunyi1"/>
    <s v="kwameakyeampong"/>
    <m/>
    <m/>
    <m/>
    <m/>
    <m/>
    <m/>
    <m/>
    <m/>
    <s v="No"/>
    <n v="76"/>
    <m/>
    <m/>
    <x v="1"/>
    <d v="2021-01-26T12:23:29.000"/>
    <s v="Become an integral part of #TIESS2021 and Join the conversation with Prof. @kwameakyeampong , Professor of International Education and Development, The Open University, UK_x000a_Register Now - https://t.co/tJlyVN8a5W_x000a__x000a_#TIESSGoesVirtual #UnitingForEducation https://t.co/Mfsk1y8rEt"/>
    <s v="https://www.tiess.online/registration?utm_source=SM&amp;utm_medium=Akyeampong&amp;utm_campaign=TIESS&amp;utm_term=031"/>
    <s v="tiess.online"/>
    <x v="1"/>
    <s v="https://pbs.twimg.com/media/EsOz7HPUwAI5v7t.jpg"/>
    <s v="https://pbs.twimg.com/media/EsOz7HPUwAI5v7t.jpg"/>
    <x v="38"/>
    <d v="2021-01-26T00:00:00.000"/>
    <s v="12:23:29"/>
    <s v="https://twitter.com/emuvunyi1/status/1354042273831542786"/>
    <m/>
    <m/>
    <s v="1354042273831542786"/>
    <m/>
    <b v="0"/>
    <n v="0"/>
    <s v=""/>
    <b v="0"/>
    <s v="en"/>
    <m/>
    <s v=""/>
    <b v="0"/>
    <n v="2"/>
    <s v="1352122167668862978"/>
    <s v="Twitter for Android"/>
    <b v="0"/>
    <s v="1352122167668862978"/>
    <s v="Tweet"/>
    <n v="0"/>
    <n v="0"/>
    <m/>
    <m/>
    <m/>
    <m/>
    <m/>
    <m/>
    <m/>
    <m/>
    <n v="1"/>
    <s v="1"/>
    <s v="1"/>
    <n v="1"/>
    <n v="3.7037037037037037"/>
    <n v="0"/>
    <n v="0"/>
    <n v="0"/>
    <n v="0"/>
    <n v="26"/>
    <n v="96.29629629629629"/>
    <n v="27"/>
  </r>
  <r>
    <s v="indiadidac"/>
    <s v="dianamwai"/>
    <m/>
    <m/>
    <m/>
    <m/>
    <m/>
    <m/>
    <m/>
    <m/>
    <s v="No"/>
    <n v="78"/>
    <m/>
    <m/>
    <x v="2"/>
    <d v="2021-01-19T11:34:13.000"/>
    <s v="Hear @DianaMwai Program Director, Educate Kenya, Kenya, talk about the Future of Education, only at #TIESS2021 – World’s Largest Virtual Summit for Education &amp;amp; Skills sector. Do not miss. _x000a__x000a_Register now https://t.co/B1YK3REIe2_x000a__x000a_#TIESSGoesVirtual #UnitingForEducation https://t.co/Bg8hLEMbr8"/>
    <s v="https://www.tiess.online/registration?utm_source=SM&amp;utm_medium=Mwai&amp;utm_campaign=TIESS&amp;utm_term=014"/>
    <s v="tiess.online"/>
    <x v="1"/>
    <s v="https://pbs.twimg.com/media/EsF3zC7UYAIGSLq.jpg"/>
    <s v="https://pbs.twimg.com/media/EsF3zC7UYAIGSLq.jpg"/>
    <x v="39"/>
    <d v="2021-01-19T00:00:00.000"/>
    <s v="11:34:13"/>
    <s v="https://twitter.com/indiadidac/status/1351493161688866816"/>
    <m/>
    <m/>
    <s v="1351493161688866816"/>
    <m/>
    <b v="0"/>
    <n v="3"/>
    <s v=""/>
    <b v="0"/>
    <s v="en"/>
    <m/>
    <s v=""/>
    <b v="0"/>
    <n v="0"/>
    <s v=""/>
    <s v="Twitter Web App"/>
    <b v="0"/>
    <s v="1351493161688866816"/>
    <s v="Tweet"/>
    <n v="0"/>
    <n v="0"/>
    <m/>
    <m/>
    <m/>
    <m/>
    <m/>
    <m/>
    <m/>
    <m/>
    <n v="1"/>
    <s v="1"/>
    <s v="1"/>
    <n v="0"/>
    <n v="0"/>
    <n v="1"/>
    <n v="3.0303030303030303"/>
    <n v="0"/>
    <n v="0"/>
    <n v="32"/>
    <n v="96.96969696969697"/>
    <n v="33"/>
  </r>
  <r>
    <s v="schleicheroecd"/>
    <s v="oecdeduskills"/>
    <m/>
    <m/>
    <m/>
    <m/>
    <m/>
    <m/>
    <m/>
    <m/>
    <s v="No"/>
    <n v="79"/>
    <m/>
    <m/>
    <x v="1"/>
    <d v="2021-01-19T13:12:34.000"/>
    <s v="#TIESS2021 We are bringing together the most eminent leaders from the global education community. Join dialogue with @SchleicherOECD , Director of Education and Skills, @OECDEduSkills, Germany_x000a__x000a_Register Now - https://t.co/8Q4QRYA1xT_x000a__x000a_#TIESSGoesVirtual #UnitingForEducation https://t.co/hNjsviArbg"/>
    <s v="https://www.tiess.online/registration?utm_source=SM&amp;utm_medium=Andreas&amp;utm_campaign=TIESS&amp;utm_term=008"/>
    <s v="tiess.online"/>
    <x v="1"/>
    <s v="https://pbs.twimg.com/media/EsF5NK-VcAAprHt.jpg"/>
    <s v="https://pbs.twimg.com/media/EsF5NK-VcAAprHt.jpg"/>
    <x v="40"/>
    <d v="2021-01-19T00:00:00.000"/>
    <s v="13:12:34"/>
    <s v="https://twitter.com/schleicheroecd/status/1351517909080805376"/>
    <m/>
    <m/>
    <s v="1351517909080805376"/>
    <m/>
    <b v="0"/>
    <n v="0"/>
    <s v=""/>
    <b v="0"/>
    <s v="en"/>
    <m/>
    <s v=""/>
    <b v="0"/>
    <n v="3"/>
    <s v="1351494643142201344"/>
    <s v="Twitter Web App"/>
    <b v="0"/>
    <s v="1351494643142201344"/>
    <s v="Tweet"/>
    <n v="0"/>
    <n v="0"/>
    <m/>
    <m/>
    <m/>
    <m/>
    <m/>
    <m/>
    <m/>
    <m/>
    <n v="1"/>
    <s v="3"/>
    <s v="3"/>
    <m/>
    <m/>
    <m/>
    <m/>
    <m/>
    <m/>
    <m/>
    <m/>
    <m/>
  </r>
  <r>
    <s v="oecdeduskills"/>
    <s v="oecd"/>
    <m/>
    <m/>
    <m/>
    <m/>
    <m/>
    <m/>
    <m/>
    <m/>
    <s v="No"/>
    <n v="80"/>
    <m/>
    <m/>
    <x v="1"/>
    <d v="2021-01-22T09:19:37.000"/>
    <s v="Join Mr. Stephan Vincent Lancrin, Deputy Head of Division and Senior Analyst, @OECD , France only at #TIESS2021 – The Global Virtual Summit for Education &amp;amp; Skills Sector_x000a__x000a_Register Now: https://t.co/nUHNHp6WYN_x000a__x000a_#TIESSGoesVirtual  #UnitingForEducation https://t.co/IDbDYdAxFQ"/>
    <s v="https://www.tiess.online/registration?utm_source=SM&amp;utm_medium=Vincent&amp;utm_campaign=TIESS&amp;utm_term=018"/>
    <s v="tiess.online"/>
    <x v="1"/>
    <s v="https://pbs.twimg.com/media/EsK26ZcVcAEapSV.jpg"/>
    <s v="https://pbs.twimg.com/media/EsK26ZcVcAEapSV.jpg"/>
    <x v="41"/>
    <d v="2021-01-22T00:00:00.000"/>
    <s v="09:19:37"/>
    <s v="https://twitter.com/oecdeduskills/status/1352546450945748994"/>
    <m/>
    <m/>
    <s v="1352546450945748994"/>
    <m/>
    <b v="0"/>
    <n v="0"/>
    <s v=""/>
    <b v="0"/>
    <s v="en"/>
    <m/>
    <s v=""/>
    <b v="0"/>
    <n v="3"/>
    <s v="1351844702404833282"/>
    <s v="Twitter Web App"/>
    <b v="0"/>
    <s v="1351844702404833282"/>
    <s v="Tweet"/>
    <n v="0"/>
    <n v="0"/>
    <m/>
    <m/>
    <m/>
    <m/>
    <m/>
    <m/>
    <m/>
    <m/>
    <n v="1"/>
    <s v="3"/>
    <s v="3"/>
    <n v="0"/>
    <n v="0"/>
    <n v="0"/>
    <n v="0"/>
    <n v="0"/>
    <n v="0"/>
    <n v="30"/>
    <n v="100"/>
    <n v="30"/>
  </r>
  <r>
    <s v="indiadidac"/>
    <s v="oecdeduskills"/>
    <m/>
    <m/>
    <m/>
    <m/>
    <m/>
    <m/>
    <m/>
    <m/>
    <s v="Yes"/>
    <n v="82"/>
    <m/>
    <m/>
    <x v="2"/>
    <d v="2021-01-19T11:40:07.000"/>
    <s v="#TIESS2021 We are bringing together the most eminent leaders from the global education community. Join dialogue with @SchleicherOECD , Director of Education and Skills, @OECDEduSkills, Germany_x000a__x000a_Register Now - https://t.co/8Q4QRYA1xT_x000a__x000a_#TIESSGoesVirtual #UnitingForEducation https://t.co/hNjsviArbg"/>
    <s v="https://www.tiess.online/registration?utm_source=SM&amp;utm_medium=Andreas&amp;utm_campaign=TIESS&amp;utm_term=008"/>
    <s v="tiess.online"/>
    <x v="1"/>
    <s v="https://pbs.twimg.com/media/EsF5NK-VcAAprHt.jpg"/>
    <s v="https://pbs.twimg.com/media/EsF5NK-VcAAprHt.jpg"/>
    <x v="42"/>
    <d v="2021-01-19T00:00:00.000"/>
    <s v="11:40:07"/>
    <s v="https://twitter.com/indiadidac/status/1351494643142201344"/>
    <m/>
    <m/>
    <s v="1351494643142201344"/>
    <m/>
    <b v="0"/>
    <n v="10"/>
    <s v=""/>
    <b v="0"/>
    <s v="en"/>
    <m/>
    <s v=""/>
    <b v="0"/>
    <n v="3"/>
    <s v=""/>
    <s v="Twitter Web App"/>
    <b v="0"/>
    <s v="1351494643142201344"/>
    <s v="Tweet"/>
    <n v="0"/>
    <n v="0"/>
    <m/>
    <m/>
    <m/>
    <m/>
    <m/>
    <m/>
    <m/>
    <m/>
    <n v="1"/>
    <s v="1"/>
    <s v="3"/>
    <m/>
    <m/>
    <m/>
    <m/>
    <m/>
    <m/>
    <m/>
    <m/>
    <m/>
  </r>
  <r>
    <s v="gavindk"/>
    <s v="oecd"/>
    <m/>
    <m/>
    <m/>
    <m/>
    <m/>
    <m/>
    <m/>
    <m/>
    <s v="No"/>
    <n v="85"/>
    <m/>
    <m/>
    <x v="1"/>
    <d v="2021-01-20T11:42:51.000"/>
    <s v="Join Mr. Stephan Vincent Lancrin, Deputy Head of Division and Senior Analyst, @OECD , France only at #TIESS2021 – The Global Virtual Summit for Education &amp;amp; Skills Sector_x000a__x000a_Register Now: https://t.co/nUHNHp6WYN_x000a__x000a_#TIESSGoesVirtual  #UnitingForEducation https://t.co/IDbDYdAxFQ"/>
    <s v="https://www.tiess.online/registration?utm_source=SM&amp;utm_medium=Vincent&amp;utm_campaign=TIESS&amp;utm_term=018"/>
    <s v="tiess.online"/>
    <x v="1"/>
    <s v="https://pbs.twimg.com/media/EsK26ZcVcAEapSV.jpg"/>
    <s v="https://pbs.twimg.com/media/EsK26ZcVcAEapSV.jpg"/>
    <x v="43"/>
    <d v="2021-01-20T00:00:00.000"/>
    <s v="11:42:51"/>
    <s v="https://twitter.com/gavindk/status/1351857720375320576"/>
    <m/>
    <m/>
    <s v="1351857720375320576"/>
    <m/>
    <b v="0"/>
    <n v="0"/>
    <s v=""/>
    <b v="0"/>
    <s v="en"/>
    <m/>
    <s v=""/>
    <b v="0"/>
    <n v="3"/>
    <s v="1351844702404833282"/>
    <s v="Twitter Web App"/>
    <b v="0"/>
    <s v="1351844702404833282"/>
    <s v="Tweet"/>
    <n v="0"/>
    <n v="0"/>
    <m/>
    <m/>
    <m/>
    <m/>
    <m/>
    <m/>
    <m/>
    <m/>
    <n v="1"/>
    <s v="3"/>
    <s v="3"/>
    <m/>
    <m/>
    <m/>
    <m/>
    <m/>
    <m/>
    <m/>
    <m/>
    <m/>
  </r>
  <r>
    <s v="indiadidac"/>
    <s v="oecd"/>
    <m/>
    <m/>
    <m/>
    <m/>
    <m/>
    <m/>
    <m/>
    <m/>
    <s v="No"/>
    <n v="86"/>
    <m/>
    <m/>
    <x v="2"/>
    <d v="2021-01-20T10:51:07.000"/>
    <s v="Join Mr. Stephan Vincent Lancrin, Deputy Head of Division and Senior Analyst, @OECD , France only at #TIESS2021 – The Global Virtual Summit for Education &amp;amp; Skills Sector_x000a__x000a_Register Now: https://t.co/nUHNHp6WYN_x000a__x000a_#TIESSGoesVirtual  #UnitingForEducation https://t.co/IDbDYdAxFQ"/>
    <s v="https://www.tiess.online/registration?utm_source=SM&amp;utm_medium=Vincent&amp;utm_campaign=TIESS&amp;utm_term=018"/>
    <s v="tiess.online"/>
    <x v="1"/>
    <s v="https://pbs.twimg.com/media/EsK26ZcVcAEapSV.jpg"/>
    <s v="https://pbs.twimg.com/media/EsK26ZcVcAEapSV.jpg"/>
    <x v="44"/>
    <d v="2021-01-20T00:00:00.000"/>
    <s v="10:51:07"/>
    <s v="https://twitter.com/indiadidac/status/1351844702404833282"/>
    <m/>
    <m/>
    <s v="1351844702404833282"/>
    <m/>
    <b v="0"/>
    <n v="5"/>
    <s v=""/>
    <b v="0"/>
    <s v="en"/>
    <m/>
    <s v=""/>
    <b v="0"/>
    <n v="3"/>
    <s v=""/>
    <s v="Twitter Web App"/>
    <b v="0"/>
    <s v="1351844702404833282"/>
    <s v="Tweet"/>
    <n v="0"/>
    <n v="0"/>
    <m/>
    <m/>
    <m/>
    <m/>
    <m/>
    <m/>
    <m/>
    <m/>
    <n v="1"/>
    <s v="1"/>
    <s v="3"/>
    <n v="0"/>
    <n v="0"/>
    <n v="0"/>
    <n v="0"/>
    <n v="0"/>
    <n v="0"/>
    <n v="30"/>
    <n v="100"/>
    <n v="30"/>
  </r>
  <r>
    <s v="indiadidac"/>
    <s v="worldomep"/>
    <m/>
    <m/>
    <m/>
    <m/>
    <m/>
    <m/>
    <m/>
    <m/>
    <s v="No"/>
    <n v="87"/>
    <m/>
    <m/>
    <x v="2"/>
    <d v="2021-01-20T10:55:12.000"/>
    <s v="Meet the Global Leaders in Education at #TIESS2021. Join the talks with Ms. Mercedes Mayol Lassalle, Global President, World Organization for Early Childhood Education, Argentina. @WorldOMEP _x000a__x000a_Register Now: https://t.co/FAGkzCO822_x000a__x000a_#TIESSGoesVirtual  #UnitingForEducation https://t.co/VcJpEwQi5C"/>
    <s v="https://www.tiess.online/registration?utm_source=SM&amp;utm_medium=Lassalle&amp;utm_campaign=TIESS&amp;utm_term=013"/>
    <s v="tiess.online"/>
    <x v="1"/>
    <s v="https://pbs.twimg.com/media/EsK4gfVVkAEq-xb.jpg"/>
    <s v="https://pbs.twimg.com/media/EsK4gfVVkAEq-xb.jpg"/>
    <x v="45"/>
    <d v="2021-01-20T00:00:00.000"/>
    <s v="10:55:12"/>
    <s v="https://twitter.com/indiadidac/status/1351845726834212873"/>
    <m/>
    <m/>
    <s v="1351845726834212873"/>
    <m/>
    <b v="0"/>
    <n v="1"/>
    <s v=""/>
    <b v="0"/>
    <s v="en"/>
    <m/>
    <s v=""/>
    <b v="0"/>
    <n v="0"/>
    <s v=""/>
    <s v="Twitter Web App"/>
    <b v="0"/>
    <s v="1351845726834212873"/>
    <s v="Tweet"/>
    <n v="0"/>
    <n v="0"/>
    <m/>
    <m/>
    <m/>
    <m/>
    <m/>
    <m/>
    <m/>
    <m/>
    <n v="1"/>
    <s v="1"/>
    <s v="1"/>
    <n v="0"/>
    <n v="0"/>
    <n v="0"/>
    <n v="0"/>
    <n v="0"/>
    <n v="0"/>
    <n v="30"/>
    <n v="100"/>
    <n v="30"/>
  </r>
  <r>
    <s v="zelfstudie"/>
    <s v="takeactionedu"/>
    <m/>
    <m/>
    <m/>
    <m/>
    <m/>
    <m/>
    <m/>
    <m/>
    <s v="No"/>
    <n v="88"/>
    <m/>
    <m/>
    <x v="1"/>
    <d v="2021-01-23T18:03:14.000"/>
    <s v="#TIESS2021 – A prodigious opportunity to Join the conversation with @zelfstudie Mr. Koen Timmers, Executive Director, @TakeActionEdu TAG inc., Belgium at the World’s Leading Virtual Summit for Education &amp;amp; Skills Sector. _x000a_Register Now - https://t.co/LL6OFBN6et_x000a__x000a_#TIESSGoesVirtual https://t.co/5jeQsD3krq"/>
    <s v="https://www.tiess.online/registration?utm_source=SM&amp;utm_medium=Timmers&amp;utm_campaign=TIESS&amp;utm_term=022"/>
    <s v="tiess.online"/>
    <x v="0"/>
    <s v="https://pbs.twimg.com/media/EsLob21VQAAdPsn.jpg"/>
    <s v="https://pbs.twimg.com/media/EsLob21VQAAdPsn.jpg"/>
    <x v="46"/>
    <d v="2021-01-23T00:00:00.000"/>
    <s v="18:03:14"/>
    <s v="https://twitter.com/zelfstudie/status/1353040611230801920"/>
    <m/>
    <m/>
    <s v="1353040611230801920"/>
    <m/>
    <b v="0"/>
    <n v="0"/>
    <s v=""/>
    <b v="0"/>
    <s v="en"/>
    <m/>
    <s v=""/>
    <b v="0"/>
    <n v="3"/>
    <s v="1351898436954595333"/>
    <s v="Twitter Web App"/>
    <b v="0"/>
    <s v="1351898436954595333"/>
    <s v="Tweet"/>
    <n v="0"/>
    <n v="0"/>
    <m/>
    <m/>
    <m/>
    <m/>
    <m/>
    <m/>
    <m/>
    <m/>
    <n v="1"/>
    <s v="9"/>
    <s v="9"/>
    <m/>
    <m/>
    <m/>
    <m/>
    <m/>
    <m/>
    <m/>
    <m/>
    <m/>
  </r>
  <r>
    <s v="indiadidac"/>
    <s v="takeactionedu"/>
    <m/>
    <m/>
    <m/>
    <m/>
    <m/>
    <m/>
    <m/>
    <m/>
    <s v="No"/>
    <n v="89"/>
    <m/>
    <m/>
    <x v="2"/>
    <d v="2021-01-20T14:24:39.000"/>
    <s v="#TIESS2021 – A prodigious opportunity to Join the conversation with @zelfstudie Mr. Koen Timmers, Executive Director, @TakeActionEdu TAG inc., Belgium at the World’s Leading Virtual Summit for Education &amp;amp; Skills Sector. _x000a_Register Now - https://t.co/LL6OFBN6et_x000a__x000a_#TIESSGoesVirtual https://t.co/5jeQsD3krq"/>
    <s v="https://www.tiess.online/registration?utm_source=SM&amp;utm_medium=Timmers&amp;utm_campaign=TIESS&amp;utm_term=022"/>
    <s v="tiess.online"/>
    <x v="0"/>
    <s v="https://pbs.twimg.com/media/EsLob21VQAAdPsn.jpg"/>
    <s v="https://pbs.twimg.com/media/EsLob21VQAAdPsn.jpg"/>
    <x v="47"/>
    <d v="2021-01-20T00:00:00.000"/>
    <s v="14:24:39"/>
    <s v="https://twitter.com/indiadidac/status/1351898436954595333"/>
    <m/>
    <m/>
    <s v="1351898436954595333"/>
    <m/>
    <b v="0"/>
    <n v="9"/>
    <s v=""/>
    <b v="0"/>
    <s v="en"/>
    <m/>
    <s v=""/>
    <b v="0"/>
    <n v="3"/>
    <s v=""/>
    <s v="Twitter Web App"/>
    <b v="0"/>
    <s v="1351898436954595333"/>
    <s v="Tweet"/>
    <n v="0"/>
    <n v="0"/>
    <m/>
    <m/>
    <m/>
    <m/>
    <m/>
    <m/>
    <m/>
    <m/>
    <n v="1"/>
    <s v="1"/>
    <s v="9"/>
    <m/>
    <m/>
    <m/>
    <m/>
    <m/>
    <m/>
    <m/>
    <m/>
    <m/>
  </r>
  <r>
    <s v="indiadidac"/>
    <s v="pratham_india"/>
    <m/>
    <m/>
    <m/>
    <m/>
    <m/>
    <m/>
    <m/>
    <m/>
    <s v="No"/>
    <n v="92"/>
    <m/>
    <m/>
    <x v="2"/>
    <d v="2021-01-21T04:42:01.000"/>
    <s v="#TIESS2021 – Discover the Future of Education with Ms. Rukmini Banerji, CEO, Pratham Education Foundation, India only at The International Education &amp;amp; Skill Summit 2021| Virtual @Pratham_India_x000a_Register Now - https://t.co/LL6OFBN6et_x000a__x000a_#TIESSGoesVirtual #UnitingForEducation https://t.co/XgtE0Q18qx"/>
    <s v="https://www.tiess.online/registration?utm_source=SM&amp;utm_medium=Timmers&amp;utm_campaign=TIESS&amp;utm_term=022"/>
    <s v="tiess.online"/>
    <x v="1"/>
    <s v="https://pbs.twimg.com/media/EsOscRDVcAAn7qj.jpg"/>
    <s v="https://pbs.twimg.com/media/EsOscRDVcAAn7qj.jpg"/>
    <x v="48"/>
    <d v="2021-01-21T00:00:00.000"/>
    <s v="04:42:01"/>
    <s v="https://twitter.com/indiadidac/status/1352114202047991809"/>
    <m/>
    <m/>
    <s v="1352114202047991809"/>
    <m/>
    <b v="0"/>
    <n v="2"/>
    <s v=""/>
    <b v="0"/>
    <s v="en"/>
    <m/>
    <s v=""/>
    <b v="0"/>
    <n v="0"/>
    <s v=""/>
    <s v="Twitter Web App"/>
    <b v="0"/>
    <s v="1352114202047991809"/>
    <s v="Tweet"/>
    <n v="0"/>
    <n v="0"/>
    <m/>
    <m/>
    <m/>
    <m/>
    <m/>
    <m/>
    <m/>
    <m/>
    <n v="1"/>
    <s v="1"/>
    <s v="1"/>
    <n v="1"/>
    <n v="3.3333333333333335"/>
    <n v="0"/>
    <n v="0"/>
    <n v="0"/>
    <n v="0"/>
    <n v="29"/>
    <n v="96.66666666666667"/>
    <n v="30"/>
  </r>
  <r>
    <s v="mkelly_explo"/>
    <s v="explolive"/>
    <m/>
    <m/>
    <m/>
    <m/>
    <m/>
    <m/>
    <m/>
    <m/>
    <s v="No"/>
    <n v="93"/>
    <m/>
    <m/>
    <x v="1"/>
    <d v="2021-01-22T12:40:22.000"/>
    <s v="At #TIESS2021 - We are uniting the leaders from the global education community. Do not miss to join dialogue with Ms. Moira Kelly_x000a_@mkelly_explo, President, @EXPLOLive   _x000a_Exploration Learning, USA.  _x000a_Register Now - https://t.co/SlnYFpEY8z_x000a__x000a_#TIESSGoesVirtual #UnitingForEducation https://t.co/XlXdrR05YJ"/>
    <s v="https://www.tiess.online/registration?utm_source=SM&amp;utm_medium=Kelly&amp;utm_campaign=TIESS&amp;utm_term=024"/>
    <s v="tiess.online"/>
    <x v="1"/>
    <s v="https://pbs.twimg.com/media/EsOuxjmVEAArrSP.jpg"/>
    <s v="https://pbs.twimg.com/media/EsOuxjmVEAArrSP.jpg"/>
    <x v="49"/>
    <d v="2021-01-22T00:00:00.000"/>
    <s v="12:40:22"/>
    <s v="https://twitter.com/mkelly_explo/status/1352596971740131330"/>
    <m/>
    <m/>
    <s v="1352596971740131330"/>
    <m/>
    <b v="0"/>
    <n v="0"/>
    <s v=""/>
    <b v="0"/>
    <s v="en"/>
    <m/>
    <s v=""/>
    <b v="0"/>
    <n v="1"/>
    <s v="1352116573113208833"/>
    <s v="Twitter Web App"/>
    <b v="0"/>
    <s v="1352116573113208833"/>
    <s v="Tweet"/>
    <n v="0"/>
    <n v="0"/>
    <m/>
    <m/>
    <m/>
    <m/>
    <m/>
    <m/>
    <m/>
    <m/>
    <n v="1"/>
    <s v="1"/>
    <s v="1"/>
    <n v="0"/>
    <n v="0"/>
    <n v="1"/>
    <n v="3.125"/>
    <n v="0"/>
    <n v="0"/>
    <n v="31"/>
    <n v="96.875"/>
    <n v="32"/>
  </r>
  <r>
    <s v="indiadidac"/>
    <s v="explolive"/>
    <m/>
    <m/>
    <m/>
    <m/>
    <m/>
    <m/>
    <m/>
    <m/>
    <s v="No"/>
    <n v="94"/>
    <m/>
    <m/>
    <x v="2"/>
    <d v="2021-01-21T04:51:26.000"/>
    <s v="At #TIESS2021 - We are uniting the leaders from the global education community. Do not miss to join dialogue with Ms. Moira Kelly_x000a_@mkelly_explo, President, @EXPLOLive   _x000a_Exploration Learning, USA.  _x000a_Register Now - https://t.co/SlnYFpEY8z_x000a__x000a_#TIESSGoesVirtual #UnitingForEducation https://t.co/XlXdrR05YJ"/>
    <s v="https://www.tiess.online/registration?utm_source=SM&amp;utm_medium=Kelly&amp;utm_campaign=TIESS&amp;utm_term=024"/>
    <s v="tiess.online"/>
    <x v="1"/>
    <s v="https://pbs.twimg.com/media/EsOuxjmVEAArrSP.jpg"/>
    <s v="https://pbs.twimg.com/media/EsOuxjmVEAArrSP.jpg"/>
    <x v="50"/>
    <d v="2021-01-21T00:00:00.000"/>
    <s v="04:51:26"/>
    <s v="https://twitter.com/indiadidac/status/1352116573113208833"/>
    <m/>
    <m/>
    <s v="1352116573113208833"/>
    <m/>
    <b v="0"/>
    <n v="3"/>
    <s v=""/>
    <b v="0"/>
    <s v="en"/>
    <m/>
    <s v=""/>
    <b v="0"/>
    <n v="1"/>
    <s v=""/>
    <s v="Twitter Web App"/>
    <b v="0"/>
    <s v="1352116573113208833"/>
    <s v="Tweet"/>
    <n v="0"/>
    <n v="0"/>
    <m/>
    <m/>
    <m/>
    <m/>
    <m/>
    <m/>
    <m/>
    <m/>
    <n v="1"/>
    <s v="1"/>
    <s v="1"/>
    <n v="0"/>
    <n v="0"/>
    <n v="1"/>
    <n v="3.125"/>
    <n v="0"/>
    <n v="0"/>
    <n v="31"/>
    <n v="96.875"/>
    <n v="32"/>
  </r>
  <r>
    <s v="kwameakyeampong"/>
    <s v="indiadidac"/>
    <m/>
    <m/>
    <m/>
    <m/>
    <m/>
    <m/>
    <m/>
    <m/>
    <s v="Yes"/>
    <n v="97"/>
    <m/>
    <m/>
    <x v="0"/>
    <d v="2021-01-26T11:44:13.000"/>
    <s v="Become an integral part of #TIESS2021 and Join the conversation with Prof. @kwameakyeampong , Professor of International Education and Development, The Open University, UK_x000a_Register Now - https://t.co/tJlyVN8a5W_x000a__x000a_#TIESSGoesVirtual #UnitingForEducation https://t.co/Mfsk1y8rEt"/>
    <s v="https://www.tiess.online/registration?utm_source=SM&amp;utm_medium=Akyeampong&amp;utm_campaign=TIESS&amp;utm_term=031"/>
    <s v="tiess.online"/>
    <x v="1"/>
    <s v="https://pbs.twimg.com/media/EsOz7HPUwAI5v7t.jpg"/>
    <s v="https://pbs.twimg.com/media/EsOz7HPUwAI5v7t.jpg"/>
    <x v="51"/>
    <d v="2021-01-26T00:00:00.000"/>
    <s v="11:44:13"/>
    <s v="https://twitter.com/kwameakyeampong/status/1354032391900323840"/>
    <m/>
    <m/>
    <s v="1354032391900323840"/>
    <m/>
    <b v="0"/>
    <n v="0"/>
    <s v=""/>
    <b v="0"/>
    <s v="en"/>
    <m/>
    <s v=""/>
    <b v="0"/>
    <n v="2"/>
    <s v="1352122167668862978"/>
    <s v="Twitter for iPhone"/>
    <b v="0"/>
    <s v="1352122167668862978"/>
    <s v="Tweet"/>
    <n v="0"/>
    <n v="0"/>
    <m/>
    <m/>
    <m/>
    <m/>
    <m/>
    <m/>
    <m/>
    <m/>
    <n v="1"/>
    <s v="1"/>
    <s v="1"/>
    <n v="1"/>
    <n v="3.7037037037037037"/>
    <n v="0"/>
    <n v="0"/>
    <n v="0"/>
    <n v="0"/>
    <n v="26"/>
    <n v="96.29629629629629"/>
    <n v="27"/>
  </r>
  <r>
    <s v="indiadidac"/>
    <s v="kwameakyeampong"/>
    <m/>
    <m/>
    <m/>
    <m/>
    <m/>
    <m/>
    <m/>
    <m/>
    <s v="Yes"/>
    <n v="98"/>
    <m/>
    <m/>
    <x v="2"/>
    <d v="2021-01-21T05:13:40.000"/>
    <s v="Become an integral part of #TIESS2021 and Join the conversation with Prof. @kwameakyeampong , Professor of International Education and Development, The Open University, UK_x000a_Register Now - https://t.co/tJlyVN8a5W_x000a__x000a_#TIESSGoesVirtual #UnitingForEducation https://t.co/Mfsk1y8rEt"/>
    <s v="https://www.tiess.online/registration?utm_source=SM&amp;utm_medium=Akyeampong&amp;utm_campaign=TIESS&amp;utm_term=031"/>
    <s v="tiess.online"/>
    <x v="1"/>
    <s v="https://pbs.twimg.com/media/EsOz7HPUwAI5v7t.jpg"/>
    <s v="https://pbs.twimg.com/media/EsOz7HPUwAI5v7t.jpg"/>
    <x v="52"/>
    <d v="2021-01-21T00:00:00.000"/>
    <s v="05:13:40"/>
    <s v="https://twitter.com/indiadidac/status/1352122167668862978"/>
    <m/>
    <m/>
    <s v="1352122167668862978"/>
    <m/>
    <b v="0"/>
    <n v="4"/>
    <s v=""/>
    <b v="0"/>
    <s v="en"/>
    <m/>
    <s v=""/>
    <b v="0"/>
    <n v="2"/>
    <s v=""/>
    <s v="Twitter Web App"/>
    <b v="0"/>
    <s v="1352122167668862978"/>
    <s v="Tweet"/>
    <n v="0"/>
    <n v="0"/>
    <m/>
    <m/>
    <m/>
    <m/>
    <m/>
    <m/>
    <m/>
    <m/>
    <n v="1"/>
    <s v="1"/>
    <s v="1"/>
    <n v="1"/>
    <n v="3.7037037037037037"/>
    <n v="0"/>
    <n v="0"/>
    <n v="0"/>
    <n v="0"/>
    <n v="26"/>
    <n v="96.29629629629629"/>
    <n v="27"/>
  </r>
  <r>
    <s v="lyftaed"/>
    <s v="serdarferit"/>
    <m/>
    <m/>
    <m/>
    <m/>
    <m/>
    <m/>
    <m/>
    <m/>
    <s v="No"/>
    <n v="99"/>
    <m/>
    <m/>
    <x v="1"/>
    <d v="2021-01-21T07:07:39.000"/>
    <s v="#TIESS2021 Join the league of change-makers by being an integral part of world’s largest conference for Education sector._x000a_Hear Mr. @SerdarFerit CEO and Founder, @LyftaEd UK only at TIESS virtual summit. _x000a__x000a_Register : https://t.co/QvmUaA3nJo_x000a__x000a_#TIESSGoesVirtual #UnitingForEducation https://t.co/hlrMRUgVwU"/>
    <s v="https://www.tiess.online/registration?utm_source=SM&amp;utm_medium=Ferrit&amp;utm_campaign=TIESS&amp;utm_term=034"/>
    <s v="tiess.online"/>
    <x v="1"/>
    <s v="https://pbs.twimg.com/media/EsO7zFKU0AIi-yu.jpg"/>
    <s v="https://pbs.twimg.com/media/EsO7zFKU0AIi-yu.jpg"/>
    <x v="53"/>
    <d v="2021-01-21T00:00:00.000"/>
    <s v="07:07:39"/>
    <s v="https://twitter.com/lyftaed/status/1352150851188625408"/>
    <m/>
    <m/>
    <s v="1352150851188625408"/>
    <m/>
    <b v="0"/>
    <n v="0"/>
    <s v=""/>
    <b v="0"/>
    <s v="en"/>
    <m/>
    <s v=""/>
    <b v="0"/>
    <n v="1"/>
    <s v="1352130841325944834"/>
    <s v="Twitter for Android"/>
    <b v="0"/>
    <s v="1352130841325944834"/>
    <s v="Tweet"/>
    <n v="0"/>
    <n v="0"/>
    <m/>
    <m/>
    <m/>
    <m/>
    <m/>
    <m/>
    <m/>
    <m/>
    <n v="1"/>
    <s v="5"/>
    <s v="5"/>
    <m/>
    <m/>
    <m/>
    <m/>
    <m/>
    <m/>
    <m/>
    <m/>
    <m/>
  </r>
  <r>
    <s v="indiadidac"/>
    <s v="lyftaed"/>
    <m/>
    <m/>
    <m/>
    <m/>
    <m/>
    <m/>
    <m/>
    <m/>
    <s v="Yes"/>
    <n v="101"/>
    <m/>
    <m/>
    <x v="2"/>
    <d v="2021-01-21T05:48:08.000"/>
    <s v="#TIESS2021 Join the league of change-makers by being an integral part of world’s largest conference for Education sector._x000a_Hear Mr. @SerdarFerit CEO and Founder, @LyftaEd UK only at TIESS virtual summit. _x000a__x000a_Register : https://t.co/QvmUaA3nJo_x000a__x000a_#TIESSGoesVirtual #UnitingForEducation https://t.co/hlrMRUgVwU"/>
    <s v="https://www.tiess.online/registration?utm_source=SM&amp;utm_medium=Ferrit&amp;utm_campaign=TIESS&amp;utm_term=034"/>
    <s v="tiess.online"/>
    <x v="1"/>
    <s v="https://pbs.twimg.com/media/EsO7zFKU0AIi-yu.jpg"/>
    <s v="https://pbs.twimg.com/media/EsO7zFKU0AIi-yu.jpg"/>
    <x v="54"/>
    <d v="2021-01-21T00:00:00.000"/>
    <s v="05:48:08"/>
    <s v="https://twitter.com/indiadidac/status/1352130841325944834"/>
    <m/>
    <m/>
    <s v="1352130841325944834"/>
    <m/>
    <b v="0"/>
    <n v="4"/>
    <s v=""/>
    <b v="0"/>
    <s v="en"/>
    <m/>
    <s v=""/>
    <b v="0"/>
    <n v="1"/>
    <s v=""/>
    <s v="Twitter Web App"/>
    <b v="0"/>
    <s v="1352130841325944834"/>
    <s v="Tweet"/>
    <n v="0"/>
    <n v="0"/>
    <m/>
    <m/>
    <m/>
    <m/>
    <m/>
    <m/>
    <m/>
    <m/>
    <n v="1"/>
    <s v="1"/>
    <s v="5"/>
    <n v="1"/>
    <n v="2.7777777777777777"/>
    <n v="0"/>
    <n v="0"/>
    <n v="0"/>
    <n v="0"/>
    <n v="35"/>
    <n v="97.22222222222223"/>
    <n v="36"/>
  </r>
  <r>
    <s v="yoswaroop"/>
    <s v="indiadidac"/>
    <m/>
    <m/>
    <m/>
    <m/>
    <m/>
    <m/>
    <m/>
    <m/>
    <s v="Yes"/>
    <n v="103"/>
    <m/>
    <m/>
    <x v="0"/>
    <d v="2021-01-21T09:11:47.000"/>
    <s v="#TIESS2021 – A phenomenal opportunity to Join the conversation with Dr. @YoSwaroop COO, NEM Life Skills, India only at TIESS2021 – World’s Largest Virtual Summit for Education &amp;amp; Skills sector._x000a_Register now https://t.co/nspH0zc054_x000a__x000a_#TIESSGoesVirtual #UnitingForEducation https://t.co/JSNdMkBqIU"/>
    <s v="https://www.tiess.online/registration?utm_source=SM&amp;utm_medium=Swaroop&amp;utm_campaign=TIESS&amp;utm_term=015"/>
    <s v="tiess.online"/>
    <x v="1"/>
    <s v="https://pbs.twimg.com/media/EsPS8swVEAEm_LK.jpg"/>
    <s v="https://pbs.twimg.com/media/EsPS8swVEAEm_LK.jpg"/>
    <x v="55"/>
    <d v="2021-01-21T00:00:00.000"/>
    <s v="09:11:47"/>
    <s v="https://twitter.com/yoswaroop/status/1352182089622249474"/>
    <m/>
    <m/>
    <s v="1352182089622249474"/>
    <m/>
    <b v="0"/>
    <n v="0"/>
    <s v=""/>
    <b v="0"/>
    <s v="en"/>
    <m/>
    <s v=""/>
    <b v="0"/>
    <n v="5"/>
    <s v="1352156293260222465"/>
    <s v="Twitter for iPhone"/>
    <b v="0"/>
    <s v="1352156293260222465"/>
    <s v="Tweet"/>
    <n v="0"/>
    <n v="0"/>
    <m/>
    <m/>
    <m/>
    <m/>
    <m/>
    <m/>
    <m/>
    <m/>
    <n v="1"/>
    <s v="1"/>
    <s v="1"/>
    <n v="1"/>
    <n v="3.0303030303030303"/>
    <n v="0"/>
    <n v="0"/>
    <n v="0"/>
    <n v="0"/>
    <n v="32"/>
    <n v="96.96969696969697"/>
    <n v="33"/>
  </r>
  <r>
    <s v="indiadidac"/>
    <s v="yoswaroop"/>
    <m/>
    <m/>
    <m/>
    <m/>
    <m/>
    <m/>
    <m/>
    <m/>
    <s v="Yes"/>
    <n v="104"/>
    <m/>
    <m/>
    <x v="2"/>
    <d v="2021-01-21T07:29:16.000"/>
    <s v="#TIESS2021 – A phenomenal opportunity to Join the conversation with Dr. @YoSwaroop COO, NEM Life Skills, India only at TIESS2021 – World’s Largest Virtual Summit for Education &amp;amp; Skills sector._x000a_Register now https://t.co/nspH0zc054_x000a__x000a_#TIESSGoesVirtual #UnitingForEducation https://t.co/JSNdMkBqIU"/>
    <s v="https://www.tiess.online/registration?utm_source=SM&amp;utm_medium=Swaroop&amp;utm_campaign=TIESS&amp;utm_term=015"/>
    <s v="tiess.online"/>
    <x v="1"/>
    <s v="https://pbs.twimg.com/media/EsPS8swVEAEm_LK.jpg"/>
    <s v="https://pbs.twimg.com/media/EsPS8swVEAEm_LK.jpg"/>
    <x v="56"/>
    <d v="2021-01-21T00:00:00.000"/>
    <s v="07:29:16"/>
    <s v="https://twitter.com/indiadidac/status/1352156293260222465"/>
    <m/>
    <m/>
    <s v="1352156293260222465"/>
    <m/>
    <b v="0"/>
    <n v="20"/>
    <s v=""/>
    <b v="0"/>
    <s v="en"/>
    <m/>
    <s v=""/>
    <b v="0"/>
    <n v="5"/>
    <s v=""/>
    <s v="Twitter Web App"/>
    <b v="0"/>
    <s v="1352156293260222465"/>
    <s v="Tweet"/>
    <n v="0"/>
    <n v="0"/>
    <m/>
    <m/>
    <m/>
    <m/>
    <m/>
    <m/>
    <m/>
    <m/>
    <n v="1"/>
    <s v="1"/>
    <s v="1"/>
    <n v="1"/>
    <n v="3.0303030303030303"/>
    <n v="0"/>
    <n v="0"/>
    <n v="0"/>
    <n v="0"/>
    <n v="32"/>
    <n v="96.96969696969697"/>
    <n v="33"/>
  </r>
  <r>
    <s v="joysyj"/>
    <s v="indiadidac"/>
    <m/>
    <m/>
    <m/>
    <m/>
    <m/>
    <m/>
    <m/>
    <m/>
    <s v="Yes"/>
    <n v="105"/>
    <m/>
    <m/>
    <x v="0"/>
    <d v="2021-01-21T14:16:09.000"/>
    <s v="Listen to thoughtful deliberations on the Future of Education with renowned International Education Leaders._x000a_Join the Dialogue with Ms. Joysy John, Edtech Advisor &amp;amp; Consultant, UK @joysyj_x000a__x000a_ Register Now: https://t.co/iiCIOw0lNR_x000a__x000a_ #TIESSGoesVirtual #UnitingForEducation #TIESS2021 https://t.co/KHaVGmoI2f"/>
    <s v="https://www.tiess.online/registration?utm_source=SM&amp;utm_medium=Joysy&amp;utm_campaign=TIESS&amp;utm_term=036"/>
    <s v="tiess.online"/>
    <x v="6"/>
    <s v="https://pbs.twimg.com/media/EsPtbHwUYEQ3rkA.jpg"/>
    <s v="https://pbs.twimg.com/media/EsPtbHwUYEQ3rkA.jpg"/>
    <x v="57"/>
    <d v="2021-01-21T00:00:00.000"/>
    <s v="14:16:09"/>
    <s v="https://twitter.com/joysyj/status/1352258686211776517"/>
    <m/>
    <m/>
    <s v="1352258686211776517"/>
    <m/>
    <b v="0"/>
    <n v="0"/>
    <s v=""/>
    <b v="0"/>
    <s v="en"/>
    <m/>
    <s v=""/>
    <b v="0"/>
    <n v="1"/>
    <s v="1352185400450715649"/>
    <s v="Twitter for iPhone"/>
    <b v="0"/>
    <s v="1352185400450715649"/>
    <s v="Tweet"/>
    <n v="0"/>
    <n v="0"/>
    <m/>
    <m/>
    <m/>
    <m/>
    <m/>
    <m/>
    <m/>
    <m/>
    <n v="1"/>
    <s v="1"/>
    <s v="1"/>
    <n v="2"/>
    <n v="6.25"/>
    <n v="0"/>
    <n v="0"/>
    <n v="0"/>
    <n v="0"/>
    <n v="30"/>
    <n v="93.75"/>
    <n v="32"/>
  </r>
  <r>
    <s v="indiadidac"/>
    <s v="joysyj"/>
    <m/>
    <m/>
    <m/>
    <m/>
    <m/>
    <m/>
    <m/>
    <m/>
    <s v="Yes"/>
    <n v="106"/>
    <m/>
    <m/>
    <x v="2"/>
    <d v="2021-01-21T09:24:56.000"/>
    <s v="Listen to thoughtful deliberations on the Future of Education with renowned International Education Leaders._x000a_Join the Dialogue with Ms. Joysy John, Edtech Advisor &amp;amp; Consultant, UK @joysyj_x000a__x000a_ Register Now: https://t.co/iiCIOw0lNR_x000a__x000a_ #TIESSGoesVirtual #UnitingForEducation #TIESS2021 https://t.co/KHaVGmoI2f"/>
    <s v="https://www.tiess.online/registration?utm_source=SM&amp;utm_medium=Joysy&amp;utm_campaign=TIESS&amp;utm_term=036"/>
    <s v="tiess.online"/>
    <x v="6"/>
    <s v="https://pbs.twimg.com/media/EsPtbHwUYEQ3rkA.jpg"/>
    <s v="https://pbs.twimg.com/media/EsPtbHwUYEQ3rkA.jpg"/>
    <x v="58"/>
    <d v="2021-01-21T00:00:00.000"/>
    <s v="09:24:56"/>
    <s v="https://twitter.com/indiadidac/status/1352185400450715649"/>
    <m/>
    <m/>
    <s v="1352185400450715649"/>
    <m/>
    <b v="0"/>
    <n v="1"/>
    <s v=""/>
    <b v="0"/>
    <s v="en"/>
    <m/>
    <s v=""/>
    <b v="0"/>
    <n v="1"/>
    <s v=""/>
    <s v="Twitter Web App"/>
    <b v="0"/>
    <s v="1352185400450715649"/>
    <s v="Tweet"/>
    <n v="0"/>
    <n v="0"/>
    <m/>
    <m/>
    <m/>
    <m/>
    <m/>
    <m/>
    <m/>
    <m/>
    <n v="1"/>
    <s v="1"/>
    <s v="1"/>
    <n v="2"/>
    <n v="6.25"/>
    <n v="0"/>
    <n v="0"/>
    <n v="0"/>
    <n v="0"/>
    <n v="30"/>
    <n v="93.75"/>
    <n v="32"/>
  </r>
  <r>
    <s v="kw_research"/>
    <s v="kw_research"/>
    <m/>
    <m/>
    <m/>
    <m/>
    <m/>
    <m/>
    <m/>
    <m/>
    <s v="No"/>
    <n v="107"/>
    <m/>
    <m/>
    <x v="3"/>
    <d v="2021-01-21T15:26:23.000"/>
    <s v="So excited to be a part of the #TIESS2021 conference next week. I’m chairing panels on evidence in education and play. Join us! https://t.co/sGbhO4ovIK"/>
    <s v="https://twitter.com/Indiadidac/status/1352210574285836289"/>
    <s v="twitter.com"/>
    <x v="2"/>
    <m/>
    <s v="https://pbs.twimg.com/profile_images/378800000505780506/380279f4542aa3128451061b83b28637_normal.jpeg"/>
    <x v="59"/>
    <d v="2021-01-21T00:00:00.000"/>
    <s v="15:26:23"/>
    <s v="https://twitter.com/kw_research/status/1352276361109528577"/>
    <m/>
    <m/>
    <s v="1352276361109528577"/>
    <m/>
    <b v="0"/>
    <n v="2"/>
    <s v=""/>
    <b v="1"/>
    <s v="en"/>
    <m/>
    <s v="1352210574285836289"/>
    <b v="0"/>
    <n v="0"/>
    <s v=""/>
    <s v="Twitter for iPhone"/>
    <b v="0"/>
    <s v="1352276361109528577"/>
    <s v="Tweet"/>
    <n v="0"/>
    <n v="0"/>
    <m/>
    <m/>
    <m/>
    <m/>
    <m/>
    <m/>
    <m/>
    <m/>
    <n v="1"/>
    <s v="1"/>
    <s v="1"/>
    <n v="1"/>
    <n v="4.166666666666667"/>
    <n v="0"/>
    <n v="0"/>
    <n v="0"/>
    <n v="0"/>
    <n v="23"/>
    <n v="95.83333333333333"/>
    <n v="24"/>
  </r>
  <r>
    <s v="indiadidac"/>
    <s v="kw_research"/>
    <m/>
    <m/>
    <m/>
    <m/>
    <m/>
    <m/>
    <m/>
    <m/>
    <s v="No"/>
    <n v="108"/>
    <m/>
    <m/>
    <x v="2"/>
    <d v="2021-01-21T11:04:58.000"/>
    <s v="Get amazing insights on advancement in education only at #TIESS2021. Join the talks with Dr. Kristen Weatherby, Education Research Expert, UK @KW_Research _x000a__x000a_Register Now: https://t.co/TybSd8eq6x_x000a__x000a_#TIESSGoesVirtual #UnitingForEducation https://t.co/fCei5HfFDQ"/>
    <s v="https://www.tiess.online/registration?utm_source=SM&amp;utm_medium=Kristen&amp;utm_campaign=TIESS&amp;utm_term=037"/>
    <s v="tiess.online"/>
    <x v="1"/>
    <s v="https://pbs.twimg.com/media/EsQER2BU0AAwhTe.jpg"/>
    <s v="https://pbs.twimg.com/media/EsQER2BU0AAwhTe.jpg"/>
    <x v="60"/>
    <d v="2021-01-21T00:00:00.000"/>
    <s v="11:04:58"/>
    <s v="https://twitter.com/indiadidac/status/1352210574285836289"/>
    <m/>
    <m/>
    <s v="1352210574285836289"/>
    <m/>
    <b v="0"/>
    <n v="1"/>
    <s v=""/>
    <b v="0"/>
    <s v="en"/>
    <m/>
    <s v=""/>
    <b v="0"/>
    <n v="0"/>
    <s v=""/>
    <s v="Twitter Web App"/>
    <b v="0"/>
    <s v="1352210574285836289"/>
    <s v="Tweet"/>
    <n v="0"/>
    <n v="0"/>
    <m/>
    <m/>
    <m/>
    <m/>
    <m/>
    <m/>
    <m/>
    <m/>
    <n v="1"/>
    <s v="1"/>
    <s v="1"/>
    <n v="1"/>
    <n v="3.8461538461538463"/>
    <n v="0"/>
    <n v="0"/>
    <n v="0"/>
    <n v="0"/>
    <n v="25"/>
    <n v="96.15384615384616"/>
    <n v="26"/>
  </r>
  <r>
    <s v="indiadidac"/>
    <s v="mbrechner"/>
    <m/>
    <m/>
    <m/>
    <m/>
    <m/>
    <m/>
    <m/>
    <m/>
    <s v="No"/>
    <n v="109"/>
    <m/>
    <m/>
    <x v="2"/>
    <d v="2021-01-22T06:48:23.000"/>
    <s v="#TIESS2021 – A phenomenal opportunity to Join the conversation with Mr. Miguel Brechner_x000a_Founder &amp;amp; Former President, Plan Ceibal, Consultant for IDB (International Development Bank)_x000a_Uruguay @mbrechner _x000a_Register now https://t.co/SxkrT2aOQT https://t.co/QmQrdaAx1c"/>
    <s v="https://www.tiess.online/registration?utm_source=Brechner&amp;utm_medium=Email&amp;utm_campaign=TIESS&amp;utm_term=012"/>
    <s v="tiess.online"/>
    <x v="2"/>
    <s v="https://pbs.twimg.com/media/EsUTNSRVcAAMLTd.jpg"/>
    <s v="https://pbs.twimg.com/media/EsUTNSRVcAAMLTd.jpg"/>
    <x v="61"/>
    <d v="2021-01-22T00:00:00.000"/>
    <s v="06:48:23"/>
    <s v="https://twitter.com/indiadidac/status/1352508393248813056"/>
    <m/>
    <m/>
    <s v="1352508393248813056"/>
    <m/>
    <b v="0"/>
    <n v="2"/>
    <s v=""/>
    <b v="0"/>
    <s v="en"/>
    <m/>
    <s v=""/>
    <b v="0"/>
    <n v="0"/>
    <s v=""/>
    <s v="Twitter Web App"/>
    <b v="0"/>
    <s v="1352508393248813056"/>
    <s v="Tweet"/>
    <n v="0"/>
    <n v="0"/>
    <m/>
    <m/>
    <m/>
    <m/>
    <m/>
    <m/>
    <m/>
    <m/>
    <n v="1"/>
    <s v="1"/>
    <s v="1"/>
    <n v="1"/>
    <n v="3.5714285714285716"/>
    <n v="0"/>
    <n v="0"/>
    <n v="0"/>
    <n v="0"/>
    <n v="27"/>
    <n v="96.42857142857143"/>
    <n v="28"/>
  </r>
  <r>
    <s v="indiadidac"/>
    <s v="sakuidealist"/>
    <m/>
    <m/>
    <m/>
    <m/>
    <m/>
    <m/>
    <m/>
    <m/>
    <s v="No"/>
    <n v="110"/>
    <m/>
    <m/>
    <x v="2"/>
    <d v="2021-01-22T07:27:54.000"/>
    <s v="#TIESS2021 – The Leading Global Virtual Summit on Education, Join the conversation with Mr. Saku Tuominen, Chair &amp;amp; Founder, HundrED , Finland @sakuidealist_x000a__x000a_Register Now https://t.co/kM1I2AXX9d_x000a_#TIESSGoesVirtual #UnitingForEducation https://t.co/YDgVwTlBOw"/>
    <s v="https://www.tiess.online/registration?utm_source=Saku&amp;utm_medium=Email&amp;utm_campaign=TIESS&amp;utm_term=014"/>
    <s v="tiess.online"/>
    <x v="1"/>
    <s v="https://pbs.twimg.com/media/EsUb-CSUYAAL7kp.jpg"/>
    <s v="https://pbs.twimg.com/media/EsUb-CSUYAAL7kp.jpg"/>
    <x v="62"/>
    <d v="2021-01-22T00:00:00.000"/>
    <s v="07:27:54"/>
    <s v="https://twitter.com/indiadidac/status/1352518334571401217"/>
    <m/>
    <m/>
    <s v="1352518334571401217"/>
    <m/>
    <b v="0"/>
    <n v="3"/>
    <s v=""/>
    <b v="0"/>
    <s v="en"/>
    <m/>
    <s v=""/>
    <b v="0"/>
    <n v="0"/>
    <s v=""/>
    <s v="Twitter Web App"/>
    <b v="0"/>
    <s v="1352518334571401217"/>
    <s v="Tweet"/>
    <n v="0"/>
    <n v="0"/>
    <m/>
    <m/>
    <m/>
    <m/>
    <m/>
    <m/>
    <m/>
    <m/>
    <n v="1"/>
    <s v="1"/>
    <s v="1"/>
    <n v="1"/>
    <n v="4"/>
    <n v="0"/>
    <n v="0"/>
    <n v="0"/>
    <n v="0"/>
    <n v="24"/>
    <n v="96"/>
    <n v="25"/>
  </r>
  <r>
    <s v="indiadidac"/>
    <s v="blomgun"/>
    <m/>
    <m/>
    <m/>
    <m/>
    <m/>
    <m/>
    <m/>
    <m/>
    <s v="No"/>
    <n v="111"/>
    <m/>
    <m/>
    <x v="2"/>
    <d v="2021-01-22T07:53:50.000"/>
    <s v="#TIESS2021 – presenting global education leaders for thought provoking discussions on the future of education. Join dialogue with Mrs. Gun Oker-Blom, Former Director, Finnish National Agency for Education, Finland_x000a_@BlomGun _x000a_Register Now https://t.co/rMzS1tUlp5_x000a__x000a_#TIESSGoesVirtual https://t.co/MJNfoVksIT"/>
    <s v="https://www.tiess.online/registration?utm_source=Blom&amp;utm_medium=Email&amp;utm_campaign=TIESS&amp;utm_term=017"/>
    <s v="tiess.online"/>
    <x v="0"/>
    <s v="https://pbs.twimg.com/media/EsUiKnhUYAAOFL3.jpg"/>
    <s v="https://pbs.twimg.com/media/EsUiKnhUYAAOFL3.jpg"/>
    <x v="63"/>
    <d v="2021-01-22T00:00:00.000"/>
    <s v="07:53:50"/>
    <s v="https://twitter.com/indiadidac/status/1352524861923422217"/>
    <m/>
    <m/>
    <s v="1352524861923422217"/>
    <m/>
    <b v="0"/>
    <n v="2"/>
    <s v=""/>
    <b v="0"/>
    <s v="en"/>
    <m/>
    <s v=""/>
    <b v="0"/>
    <n v="0"/>
    <s v=""/>
    <s v="Twitter Web App"/>
    <b v="0"/>
    <s v="1352524861923422217"/>
    <s v="Tweet"/>
    <n v="0"/>
    <n v="0"/>
    <m/>
    <m/>
    <m/>
    <m/>
    <m/>
    <m/>
    <m/>
    <m/>
    <n v="1"/>
    <s v="1"/>
    <s v="1"/>
    <n v="0"/>
    <n v="0"/>
    <n v="0"/>
    <n v="0"/>
    <n v="0"/>
    <n v="0"/>
    <n v="33"/>
    <n v="100"/>
    <n v="33"/>
  </r>
  <r>
    <s v="indiadidac"/>
    <s v="gedcouncil"/>
    <m/>
    <m/>
    <m/>
    <m/>
    <m/>
    <m/>
    <m/>
    <m/>
    <s v="No"/>
    <n v="112"/>
    <m/>
    <m/>
    <x v="2"/>
    <d v="2021-01-22T08:32:46.000"/>
    <s v="#TIESS2021 – A phenomenal opportunity to Join the conversation with Dr. Tagwa A. Musa, Executive Committee Member, Global Engineering Dean's Council (GEDC), Sudan_x000a_Register now https://t.co/9r4Bx8EMfX_x000a_@GEDCouncil https://t.co/RROCGyCbRC"/>
    <s v="https://www.tiess.online/registration?utm_source=Musa&amp;utm_medium=Email&amp;utm_campaign=TIESS&amp;utm_term=019"/>
    <s v="tiess.online"/>
    <x v="2"/>
    <s v="https://pbs.twimg.com/media/EsUrDRYUYAQ_08Z.jpg"/>
    <s v="https://pbs.twimg.com/media/EsUrDRYUYAQ_08Z.jpg"/>
    <x v="64"/>
    <d v="2021-01-22T00:00:00.000"/>
    <s v="08:32:46"/>
    <s v="https://twitter.com/indiadidac/status/1352534660060876801"/>
    <m/>
    <m/>
    <s v="1352534660060876801"/>
    <m/>
    <b v="0"/>
    <n v="3"/>
    <s v=""/>
    <b v="0"/>
    <s v="en"/>
    <m/>
    <s v=""/>
    <b v="0"/>
    <n v="0"/>
    <s v=""/>
    <s v="Twitter Web App"/>
    <b v="0"/>
    <s v="1352534660060876801"/>
    <s v="Tweet"/>
    <n v="0"/>
    <n v="0"/>
    <m/>
    <m/>
    <m/>
    <m/>
    <m/>
    <m/>
    <m/>
    <m/>
    <n v="1"/>
    <s v="1"/>
    <s v="1"/>
    <n v="1"/>
    <n v="4"/>
    <n v="0"/>
    <n v="0"/>
    <n v="0"/>
    <n v="0"/>
    <n v="24"/>
    <n v="96"/>
    <n v="25"/>
  </r>
  <r>
    <s v="indiadidac"/>
    <s v="moeducationuae"/>
    <m/>
    <m/>
    <m/>
    <m/>
    <m/>
    <m/>
    <m/>
    <m/>
    <s v="No"/>
    <n v="113"/>
    <m/>
    <m/>
    <x v="2"/>
    <d v="2021-01-22T08:50:49.000"/>
    <s v="#TIESS2021 get the opportunity to listen to Hon. Ministers &amp;amp; Education Reformists, globally._x000a_Join the talks with H.E. Mr. Hussein Ibrahim Al Hammadi, Minister of Education, Ministry of Education, Government of UAE, UAE_x000a_@MOEducationUAE _x000a__x000a_Register now https://t.co/N3Kc3zshJD https://t.co/HypEQfKLMr"/>
    <s v="https://www.tiess.online/registration?utm_source=SM&amp;utm_medium=Hammadi&amp;utm_campaign=TIESS&amp;utm_term=002"/>
    <s v="tiess.online"/>
    <x v="2"/>
    <s v="https://pbs.twimg.com/media/EsUvGU9U0AI0Zem.jpg"/>
    <s v="https://pbs.twimg.com/media/EsUvGU9U0AI0Zem.jpg"/>
    <x v="65"/>
    <d v="2021-01-22T00:00:00.000"/>
    <s v="08:50:49"/>
    <s v="https://twitter.com/indiadidac/status/1352539203251314690"/>
    <m/>
    <m/>
    <s v="1352539203251314690"/>
    <m/>
    <b v="0"/>
    <n v="2"/>
    <s v=""/>
    <b v="0"/>
    <s v="en"/>
    <m/>
    <s v=""/>
    <b v="0"/>
    <n v="0"/>
    <s v=""/>
    <s v="Twitter Web App"/>
    <b v="0"/>
    <s v="1352539203251314690"/>
    <s v="Tweet"/>
    <n v="0"/>
    <n v="0"/>
    <m/>
    <m/>
    <m/>
    <m/>
    <m/>
    <m/>
    <m/>
    <m/>
    <n v="1"/>
    <s v="1"/>
    <s v="1"/>
    <n v="0"/>
    <n v="0"/>
    <n v="0"/>
    <n v="0"/>
    <n v="0"/>
    <n v="0"/>
    <n v="37"/>
    <n v="100"/>
    <n v="37"/>
  </r>
  <r>
    <s v="indiadidac"/>
    <s v="amitypresident"/>
    <m/>
    <m/>
    <m/>
    <m/>
    <m/>
    <m/>
    <m/>
    <m/>
    <s v="No"/>
    <n v="114"/>
    <m/>
    <m/>
    <x v="2"/>
    <d v="2021-01-22T09:05:08.000"/>
    <s v="Join the conversation with Dr. Atul Chauhan, President- Amity Education Group, Chancellor- Amity Universities, India, Only at #TIESS2021- World’s Leading Virtual Summit for Education &amp;amp; Skills Sector. _x000a_@AmityPresident _x000a_Register https://t.co/AJeECW38CR_x000a__x000a_#TIESSGoesVirtual https://t.co/uvjhIz8yCO"/>
    <s v="https://www.tiess.online/registration?utm_source=TIESS&amp;utm_medium=Amity&amp;utm_campaign=TIESS&amp;utm_term=010"/>
    <s v="tiess.online"/>
    <x v="0"/>
    <s v="https://pbs.twimg.com/media/EsUyST3U0AA3Z4O.jpg"/>
    <s v="https://pbs.twimg.com/media/EsUyST3U0AA3Z4O.jpg"/>
    <x v="66"/>
    <d v="2021-01-22T00:00:00.000"/>
    <s v="09:05:08"/>
    <s v="https://twitter.com/indiadidac/status/1352542806426804227"/>
    <m/>
    <m/>
    <s v="1352542806426804227"/>
    <m/>
    <b v="0"/>
    <n v="28"/>
    <s v=""/>
    <b v="0"/>
    <s v="en"/>
    <m/>
    <s v=""/>
    <b v="0"/>
    <n v="7"/>
    <s v=""/>
    <s v="Twitter Web App"/>
    <b v="0"/>
    <s v="1352542806426804227"/>
    <s v="Tweet"/>
    <n v="0"/>
    <n v="0"/>
    <m/>
    <m/>
    <m/>
    <m/>
    <m/>
    <m/>
    <m/>
    <m/>
    <n v="1"/>
    <s v="1"/>
    <s v="4"/>
    <n v="3"/>
    <n v="9.67741935483871"/>
    <n v="0"/>
    <n v="0"/>
    <n v="0"/>
    <n v="0"/>
    <n v="28"/>
    <n v="90.3225806451613"/>
    <n v="31"/>
  </r>
  <r>
    <s v="indiadidac"/>
    <s v="moedumv"/>
    <m/>
    <m/>
    <m/>
    <m/>
    <m/>
    <m/>
    <m/>
    <m/>
    <s v="No"/>
    <n v="115"/>
    <m/>
    <m/>
    <x v="2"/>
    <d v="2021-01-22T09:47:04.000"/>
    <s v="At #TIESS2021 – The International Education &amp;amp; Skill Summit, Join the talks with H.E. Dr. Abdulla Rasheed, Minister of State for Education, Government of Republic of Maldives, Maldives @ARasheedgn @MoEdumv_x000a_Register Now https://t.co/w4J7op5MIh_x000a_#TIESSGoesVirtual #UnitingForEducation https://t.co/RoXtHWX4Lg"/>
    <s v="https://www.tiess.online/registration?utm_source=SM&amp;utm_medium=Abdulla&amp;utm_campaign=TIESS&amp;utm_term=005"/>
    <s v="tiess.online"/>
    <x v="1"/>
    <s v="https://pbs.twimg.com/media/EsU8GM3UUAE-AFJ.jpg"/>
    <s v="https://pbs.twimg.com/media/EsU8GM3UUAE-AFJ.jpg"/>
    <x v="67"/>
    <d v="2021-01-22T00:00:00.000"/>
    <s v="09:47:04"/>
    <s v="https://twitter.com/indiadidac/status/1352553356284153856"/>
    <m/>
    <m/>
    <s v="1352553356284153856"/>
    <m/>
    <b v="0"/>
    <n v="1"/>
    <s v=""/>
    <b v="0"/>
    <s v="en"/>
    <m/>
    <s v=""/>
    <b v="0"/>
    <n v="0"/>
    <s v=""/>
    <s v="Twitter Web App"/>
    <b v="0"/>
    <s v="1352553356284153856"/>
    <s v="Tweet"/>
    <n v="0"/>
    <n v="0"/>
    <m/>
    <m/>
    <m/>
    <m/>
    <m/>
    <m/>
    <m/>
    <m/>
    <n v="1"/>
    <s v="1"/>
    <s v="1"/>
    <m/>
    <m/>
    <m/>
    <m/>
    <m/>
    <m/>
    <m/>
    <m/>
    <m/>
  </r>
  <r>
    <s v="timunwin"/>
    <s v="unescoict4d"/>
    <m/>
    <m/>
    <m/>
    <m/>
    <m/>
    <m/>
    <m/>
    <m/>
    <s v="Yes"/>
    <n v="117"/>
    <m/>
    <m/>
    <x v="2"/>
    <d v="2021-01-24T20:09:13.000"/>
    <s v="Very much looking forward to contributing to #TIESS2021 #tiessgoesvirtual #UnitingForEducation @Indiadidac @UNESCOICT4D on 27th Jan https://t.co/4WKRfBhBju speaking about our new report on education for the most marginalised #emmpostcovid19 https://t.co/CX9sRG6Eyo"/>
    <s v="https://virtual.tiess.online"/>
    <s v="tiess.online"/>
    <x v="7"/>
    <s v="https://pbs.twimg.com/media/EshdofwU0AA_AW0.jpg"/>
    <s v="https://pbs.twimg.com/media/EshdofwU0AA_AW0.jpg"/>
    <x v="68"/>
    <d v="2021-01-24T00:00:00.000"/>
    <s v="20:09:13"/>
    <s v="https://twitter.com/timunwin/status/1353434704154943489"/>
    <m/>
    <m/>
    <s v="1353434704154943489"/>
    <m/>
    <b v="0"/>
    <n v="7"/>
    <s v=""/>
    <b v="0"/>
    <s v="en"/>
    <m/>
    <s v=""/>
    <b v="0"/>
    <n v="1"/>
    <s v=""/>
    <s v="Twitter Web App"/>
    <b v="0"/>
    <s v="1353434704154943489"/>
    <s v="Tweet"/>
    <n v="0"/>
    <n v="0"/>
    <m/>
    <m/>
    <m/>
    <m/>
    <m/>
    <m/>
    <m/>
    <m/>
    <n v="1"/>
    <s v="3"/>
    <s v="3"/>
    <n v="0"/>
    <n v="0"/>
    <n v="0"/>
    <n v="0"/>
    <n v="0"/>
    <n v="0"/>
    <n v="27"/>
    <n v="100"/>
    <n v="27"/>
  </r>
  <r>
    <s v="gavindk"/>
    <s v="unescoict4d"/>
    <m/>
    <m/>
    <m/>
    <m/>
    <m/>
    <m/>
    <m/>
    <m/>
    <s v="No"/>
    <n v="118"/>
    <m/>
    <m/>
    <x v="1"/>
    <d v="2021-01-22T11:41:34.000"/>
    <s v="At #TIESS2021 – The International Education &amp;amp; Skill Summit, Join the talks with Prof. @TimUnwin @UNESCO Chair in ICT4D, UNESCO, UK @UNESCOICT4D_x000a_Register Now https://t.co/s3cRYirbBD_x000a__x000a_#TIESSGoesVirtual #UnitingForEducation https://t.co/jnoGxyevW9"/>
    <s v="https://www.tiess.online/registration?utm_source=SM&amp;utm_medium=Tim&amp;utm_campaign=TIESS&amp;utm_term=010"/>
    <s v="tiess.online"/>
    <x v="1"/>
    <s v="https://pbs.twimg.com/media/EsVHjnWVcAIPA3y.jpg"/>
    <s v="https://pbs.twimg.com/media/EsVHjnWVcAIPA3y.jpg"/>
    <x v="69"/>
    <d v="2021-01-22T00:00:00.000"/>
    <s v="11:41:34"/>
    <s v="https://twitter.com/gavindk/status/1352582174596358147"/>
    <m/>
    <m/>
    <s v="1352582174596358147"/>
    <m/>
    <b v="0"/>
    <n v="0"/>
    <s v=""/>
    <b v="0"/>
    <s v="en"/>
    <m/>
    <s v=""/>
    <b v="0"/>
    <n v="1"/>
    <s v="1352566027909881859"/>
    <s v="Twitter Web App"/>
    <b v="0"/>
    <s v="1352566027909881859"/>
    <s v="Tweet"/>
    <n v="0"/>
    <n v="0"/>
    <m/>
    <m/>
    <m/>
    <m/>
    <m/>
    <m/>
    <m/>
    <m/>
    <n v="1"/>
    <s v="3"/>
    <s v="3"/>
    <m/>
    <m/>
    <m/>
    <m/>
    <m/>
    <m/>
    <m/>
    <m/>
    <m/>
  </r>
  <r>
    <s v="unescoict4d"/>
    <s v="indiadidac"/>
    <m/>
    <m/>
    <m/>
    <m/>
    <m/>
    <m/>
    <m/>
    <m/>
    <s v="Yes"/>
    <n v="119"/>
    <m/>
    <m/>
    <x v="1"/>
    <d v="2021-01-25T13:06:33.000"/>
    <s v="Very much looking forward to contributing to #TIESS2021 #tiessgoesvirtual #UnitingForEducation @Indiadidac @UNESCOICT4D on 27th Jan https://t.co/4WKRfBhBju speaking about our new report on education for the most marginalised #emmpostcovid19 https://t.co/CX9sRG6Eyo"/>
    <s v="https://virtual.tiess.online"/>
    <s v="tiess.online"/>
    <x v="7"/>
    <s v="https://pbs.twimg.com/media/EshdofwU0AA_AW0.jpg"/>
    <s v="https://pbs.twimg.com/media/EshdofwU0AA_AW0.jpg"/>
    <x v="70"/>
    <d v="2021-01-25T00:00:00.000"/>
    <s v="13:06:33"/>
    <s v="https://twitter.com/unescoict4d/status/1353690725431599104"/>
    <m/>
    <m/>
    <s v="1353690725431599104"/>
    <m/>
    <b v="0"/>
    <n v="0"/>
    <s v=""/>
    <b v="0"/>
    <s v="en"/>
    <m/>
    <s v=""/>
    <b v="0"/>
    <n v="1"/>
    <s v="1353434704154943489"/>
    <s v="Twitter Web App"/>
    <b v="0"/>
    <s v="1353434704154943489"/>
    <s v="Tweet"/>
    <n v="0"/>
    <n v="0"/>
    <m/>
    <m/>
    <m/>
    <m/>
    <m/>
    <m/>
    <m/>
    <m/>
    <n v="1"/>
    <s v="3"/>
    <s v="1"/>
    <m/>
    <m/>
    <m/>
    <m/>
    <m/>
    <m/>
    <m/>
    <m/>
    <m/>
  </r>
  <r>
    <s v="indiadidac"/>
    <s v="unescoict4d"/>
    <m/>
    <m/>
    <m/>
    <m/>
    <m/>
    <m/>
    <m/>
    <m/>
    <s v="Yes"/>
    <n v="121"/>
    <m/>
    <m/>
    <x v="2"/>
    <d v="2021-01-22T10:37:25.000"/>
    <s v="At #TIESS2021 – The International Education &amp;amp; Skill Summit, Join the talks with Prof. @TimUnwin @UNESCO Chair in ICT4D, UNESCO, UK @UNESCOICT4D_x000a_Register Now https://t.co/s3cRYirbBD_x000a__x000a_#TIESSGoesVirtual #UnitingForEducation https://t.co/jnoGxyevW9"/>
    <s v="https://www.tiess.online/registration?utm_source=SM&amp;utm_medium=Tim&amp;utm_campaign=TIESS&amp;utm_term=010"/>
    <s v="tiess.online"/>
    <x v="1"/>
    <s v="https://pbs.twimg.com/media/EsVHjnWVcAIPA3y.jpg"/>
    <s v="https://pbs.twimg.com/media/EsVHjnWVcAIPA3y.jpg"/>
    <x v="71"/>
    <d v="2021-01-22T00:00:00.000"/>
    <s v="10:37:25"/>
    <s v="https://twitter.com/indiadidac/status/1352566027909881859"/>
    <m/>
    <m/>
    <s v="1352566027909881859"/>
    <m/>
    <b v="0"/>
    <n v="3"/>
    <s v=""/>
    <b v="0"/>
    <s v="en"/>
    <m/>
    <s v=""/>
    <b v="0"/>
    <n v="1"/>
    <s v=""/>
    <s v="Twitter Web App"/>
    <b v="0"/>
    <s v="1352566027909881859"/>
    <s v="Tweet"/>
    <n v="0"/>
    <n v="0"/>
    <m/>
    <m/>
    <m/>
    <m/>
    <m/>
    <m/>
    <m/>
    <m/>
    <n v="1"/>
    <s v="1"/>
    <s v="3"/>
    <m/>
    <m/>
    <m/>
    <m/>
    <m/>
    <m/>
    <m/>
    <m/>
    <m/>
  </r>
  <r>
    <s v="timunwin"/>
    <s v="indiadidac"/>
    <m/>
    <m/>
    <m/>
    <m/>
    <m/>
    <m/>
    <m/>
    <m/>
    <s v="Yes"/>
    <n v="124"/>
    <m/>
    <m/>
    <x v="0"/>
    <d v="2021-01-24T20:05:32.000"/>
    <s v="#TIESS2021 The countdown begins to the biggest ever virtual conference for the education and skills sector. _x000a_Get Ready to meet the most influential global leaders in education! _x000a_30,000+ Delegates| 80+ Countries| 150+ Speakers_x000a_#tiessgoesvirtual #UnitingForEducation https://t.co/iJdZH0cpXD"/>
    <m/>
    <m/>
    <x v="1"/>
    <s v="https://pbs.twimg.com/media/EsgPDwCUcAYZq66.jpg"/>
    <s v="https://pbs.twimg.com/media/EsgPDwCUcAYZq66.jpg"/>
    <x v="72"/>
    <d v="2021-01-24T00:00:00.000"/>
    <s v="20:05:32"/>
    <s v="https://twitter.com/timunwin/status/1353433777599557633"/>
    <m/>
    <m/>
    <s v="1353433777599557633"/>
    <m/>
    <b v="0"/>
    <n v="0"/>
    <s v=""/>
    <b v="0"/>
    <s v="en"/>
    <m/>
    <s v=""/>
    <b v="0"/>
    <n v="2"/>
    <s v="1353348293070266369"/>
    <s v="Twitter Web App"/>
    <b v="0"/>
    <s v="1353348293070266369"/>
    <s v="Tweet"/>
    <n v="0"/>
    <n v="0"/>
    <m/>
    <m/>
    <m/>
    <m/>
    <m/>
    <m/>
    <m/>
    <m/>
    <n v="1"/>
    <s v="3"/>
    <s v="1"/>
    <n v="2"/>
    <n v="5.555555555555555"/>
    <n v="0"/>
    <n v="0"/>
    <n v="0"/>
    <n v="0"/>
    <n v="34"/>
    <n v="94.44444444444444"/>
    <n v="36"/>
  </r>
  <r>
    <s v="indiadidac"/>
    <s v="upgovt"/>
    <m/>
    <m/>
    <m/>
    <m/>
    <m/>
    <m/>
    <m/>
    <m/>
    <s v="No"/>
    <n v="128"/>
    <m/>
    <m/>
    <x v="2"/>
    <d v="2021-01-22T11:14:03.000"/>
    <s v="At #TIESS2021 – Join the conversation on advancements in education with Ms. Radha Chauhan, Additional Chief Secretary, Technical Education, Vocational Education &amp;amp; Skill development, Government of Uttar Pradesh, India @UPGovt _x000a__x000a_Register https://t.co/WbzNAOlsZb _x000a__x000a_#TIESSGoesVirtual https://t.co/zx1AcPgdIX"/>
    <s v="https://www.tiess.online/registration?utm_source=RadhaChauhan&amp;utm_medium=Email&amp;utm_campaign=TIESS&amp;utm_term=021"/>
    <s v="tiess.online"/>
    <x v="0"/>
    <s v="https://pbs.twimg.com/media/EsVP5ghUYAAdQD1.jpg"/>
    <s v="https://pbs.twimg.com/media/EsVP5ghUYAAdQD1.jpg"/>
    <x v="73"/>
    <d v="2021-01-22T00:00:00.000"/>
    <s v="11:14:03"/>
    <s v="https://twitter.com/indiadidac/status/1352575249158529028"/>
    <m/>
    <m/>
    <s v="1352575249158529028"/>
    <m/>
    <b v="0"/>
    <n v="1"/>
    <s v=""/>
    <b v="0"/>
    <s v="en"/>
    <m/>
    <s v=""/>
    <b v="0"/>
    <n v="0"/>
    <s v=""/>
    <s v="Twitter Web App"/>
    <b v="0"/>
    <s v="1352575249158529028"/>
    <s v="Tweet"/>
    <n v="0"/>
    <n v="0"/>
    <m/>
    <m/>
    <m/>
    <m/>
    <m/>
    <m/>
    <m/>
    <m/>
    <n v="1"/>
    <s v="1"/>
    <s v="1"/>
    <n v="1"/>
    <n v="3.225806451612903"/>
    <n v="0"/>
    <n v="0"/>
    <n v="0"/>
    <n v="0"/>
    <n v="30"/>
    <n v="96.7741935483871"/>
    <n v="31"/>
  </r>
  <r>
    <s v="indiadidac"/>
    <s v="diana_elazar"/>
    <m/>
    <m/>
    <m/>
    <m/>
    <m/>
    <m/>
    <m/>
    <m/>
    <s v="No"/>
    <n v="129"/>
    <m/>
    <m/>
    <x v="2"/>
    <d v="2021-01-22T11:56:57.000"/>
    <s v="At #TIESS2021 Join the talks with Global Education Leaders. Participate to listen to Ms. Diana El-Azar, Senior Director - Strategic Communications, Minerva, Switzerland_x000a_@diana_elazar_x000a_Register Now https://t.co/5NLgM2mZWv_x000a__x000a_#TIESSGoesVirtual #UnitingForEducation https://t.co/yLIvHDp8IM"/>
    <s v="https://www.tiess.online/registration?utm_source=Diana%20El-Azar&amp;utm_medium=Email&amp;utm_campaign=TIESS&amp;utm_term=022"/>
    <s v="tiess.online"/>
    <x v="1"/>
    <s v="https://pbs.twimg.com/media/EsVZygxU4AM-dyR.jpg"/>
    <s v="https://pbs.twimg.com/media/EsVZygxU4AM-dyR.jpg"/>
    <x v="74"/>
    <d v="2021-01-22T00:00:00.000"/>
    <s v="11:56:57"/>
    <s v="https://twitter.com/indiadidac/status/1352586044688879618"/>
    <m/>
    <m/>
    <s v="1352586044688879618"/>
    <m/>
    <b v="0"/>
    <n v="1"/>
    <s v=""/>
    <b v="0"/>
    <s v="en"/>
    <m/>
    <s v=""/>
    <b v="0"/>
    <n v="0"/>
    <s v=""/>
    <s v="Twitter Web App"/>
    <b v="0"/>
    <s v="1352586044688879618"/>
    <s v="Tweet"/>
    <n v="0"/>
    <n v="0"/>
    <m/>
    <m/>
    <m/>
    <m/>
    <m/>
    <m/>
    <m/>
    <m/>
    <n v="1"/>
    <s v="1"/>
    <s v="1"/>
    <n v="0"/>
    <n v="0"/>
    <n v="0"/>
    <n v="0"/>
    <n v="0"/>
    <n v="0"/>
    <n v="28"/>
    <n v="100"/>
    <n v="28"/>
  </r>
  <r>
    <s v="indiadidac"/>
    <s v="christenseninst"/>
    <m/>
    <m/>
    <m/>
    <m/>
    <m/>
    <m/>
    <m/>
    <m/>
    <s v="No"/>
    <n v="130"/>
    <m/>
    <m/>
    <x v="2"/>
    <d v="2021-01-22T12:26:08.000"/>
    <s v="At #TIESS2021 – The International Education &amp;amp; Skill Summit, Join the dialogue on advancements in Education with Ms. Chelsea Waite, Research Fellow, Clayton Christensen Institute, USA @chelseawaite @ChristensenInst _x000a_Register Now https://t.co/hnOsPJXPg6_x000a__x000a_#TIESSGoesVirtual https://t.co/ZSbYe0nUrw"/>
    <s v="https://www.tiess.online/registration?utm_source=SM&amp;utm_medium=Chelsea&amp;utm_campaign=TIESS&amp;utm_term=019"/>
    <s v="tiess.online"/>
    <x v="0"/>
    <s v="https://pbs.twimg.com/media/EsVgdp3UwAMIf6D.jpg"/>
    <s v="https://pbs.twimg.com/media/EsVgdp3UwAMIf6D.jpg"/>
    <x v="75"/>
    <d v="2021-01-22T00:00:00.000"/>
    <s v="12:26:08"/>
    <s v="https://twitter.com/indiadidac/status/1352593389095628806"/>
    <m/>
    <m/>
    <s v="1352593389095628806"/>
    <m/>
    <b v="0"/>
    <n v="2"/>
    <s v=""/>
    <b v="0"/>
    <s v="en"/>
    <m/>
    <s v=""/>
    <b v="0"/>
    <n v="0"/>
    <s v=""/>
    <s v="Twitter Web App"/>
    <b v="0"/>
    <s v="1352593389095628806"/>
    <s v="Tweet"/>
    <n v="0"/>
    <n v="0"/>
    <m/>
    <m/>
    <m/>
    <m/>
    <m/>
    <m/>
    <m/>
    <m/>
    <n v="1"/>
    <s v="1"/>
    <s v="1"/>
    <m/>
    <m/>
    <m/>
    <m/>
    <m/>
    <m/>
    <m/>
    <m/>
    <m/>
  </r>
  <r>
    <s v="indiadidac"/>
    <s v="irislapinski"/>
    <m/>
    <m/>
    <m/>
    <m/>
    <m/>
    <m/>
    <m/>
    <m/>
    <s v="No"/>
    <n v="132"/>
    <m/>
    <m/>
    <x v="2"/>
    <d v="2021-01-22T13:11:17.000"/>
    <s v="At #TIESS2021 Join the dialogue on Technology in Education with Ms. Iris Lapinski, Founder-Apps for Good, Freelance Consultant on Technology &amp;amp; Education, Germany_x000a_Register Now https://t.co/66SZmjnJnH @irislapinski_x000a__x000a_#TIESSGoesVirtual #UnitingForEducation https://t.co/BPQ6GmSRKm"/>
    <s v="https://www.tiess.online/registration?utm_source=SM&amp;utm_medium=Lapinski&amp;utm_campaign=TIESS&amp;utm_term=033"/>
    <s v="tiess.online"/>
    <x v="1"/>
    <s v="https://pbs.twimg.com/media/EsVmIQUUYAMQHEt.jpg"/>
    <s v="https://pbs.twimg.com/media/EsVmIQUUYAMQHEt.jpg"/>
    <x v="76"/>
    <d v="2021-01-22T00:00:00.000"/>
    <s v="13:11:17"/>
    <s v="https://twitter.com/indiadidac/status/1352604749959368708"/>
    <m/>
    <m/>
    <s v="1352604749959368708"/>
    <m/>
    <b v="0"/>
    <n v="0"/>
    <s v=""/>
    <b v="0"/>
    <s v="en"/>
    <m/>
    <s v=""/>
    <b v="0"/>
    <n v="0"/>
    <s v=""/>
    <s v="Twitter Web App"/>
    <b v="0"/>
    <s v="1352604749959368708"/>
    <s v="Tweet"/>
    <n v="0"/>
    <n v="0"/>
    <m/>
    <m/>
    <m/>
    <m/>
    <m/>
    <m/>
    <m/>
    <m/>
    <n v="1"/>
    <s v="1"/>
    <s v="1"/>
    <n v="1"/>
    <n v="3.4482758620689653"/>
    <n v="0"/>
    <n v="0"/>
    <n v="0"/>
    <n v="0"/>
    <n v="28"/>
    <n v="96.55172413793103"/>
    <n v="29"/>
  </r>
  <r>
    <s v="indiadidac"/>
    <s v="gus_education"/>
    <m/>
    <m/>
    <m/>
    <m/>
    <m/>
    <m/>
    <m/>
    <m/>
    <s v="No"/>
    <n v="133"/>
    <m/>
    <m/>
    <x v="2"/>
    <d v="2021-01-21T05:26:29.000"/>
    <s v="At #TIESS2021 you have the opportunity to listen to the most distinguished leaders in Education. Join the talks with @Gus_Education , President &amp;amp; Chief Revenue Officer, Stealth Mode, USA. _x000a_Register Now - https://t.co/xiYphgZKYb _x000a__x000a_#TIESSGoesVirtual #UnitingForEducation https://t.co/JDQjP8pS0n"/>
    <s v="https://www.tiess.online/registration?utm_source=SM&amp;utm_medium=Schmedlen&amp;utm_campaign=TIESS&amp;utm_term=032"/>
    <s v="tiess.online"/>
    <x v="1"/>
    <s v="https://pbs.twimg.com/media/EsO23IoUcAA6owe.jpg"/>
    <s v="https://pbs.twimg.com/media/EsO23IoUcAA6owe.jpg"/>
    <x v="77"/>
    <d v="2021-01-21T00:00:00.000"/>
    <s v="05:26:29"/>
    <s v="https://twitter.com/indiadidac/status/1352125390752366594"/>
    <m/>
    <m/>
    <s v="1352125390752366594"/>
    <m/>
    <b v="0"/>
    <n v="2"/>
    <s v=""/>
    <b v="0"/>
    <s v="en"/>
    <m/>
    <s v=""/>
    <b v="0"/>
    <n v="0"/>
    <s v=""/>
    <s v="Twitter Web App"/>
    <b v="0"/>
    <s v="1352125390752366594"/>
    <s v="Tweet"/>
    <n v="0"/>
    <n v="0"/>
    <m/>
    <m/>
    <m/>
    <m/>
    <m/>
    <m/>
    <m/>
    <m/>
    <n v="2"/>
    <s v="1"/>
    <s v="1"/>
    <n v="1"/>
    <n v="3.125"/>
    <n v="0"/>
    <n v="0"/>
    <n v="0"/>
    <n v="0"/>
    <n v="31"/>
    <n v="96.875"/>
    <n v="32"/>
  </r>
  <r>
    <s v="indiadidac"/>
    <s v="gus_education"/>
    <m/>
    <m/>
    <m/>
    <m/>
    <m/>
    <m/>
    <m/>
    <m/>
    <s v="No"/>
    <n v="134"/>
    <m/>
    <m/>
    <x v="2"/>
    <d v="2021-01-22T13:12:30.000"/>
    <s v="At #TIESS2021 you have the opportunity to listen to the most distinguished leaders in Education. Join the talks with Dr. Gus Schmedlen, President &amp;amp; Chief Revenue Officer, Stealth Mode, USA. @Gus_Education _x000a__x000a_Register Now - https://t.co/xiYphgZKYb _x000a__x000a_#TIESSGoesVirtual https://t.co/xTK0FEb7tA"/>
    <s v="https://www.tiess.online/registration?utm_source=SM&amp;utm_medium=Schmedlen&amp;utm_campaign=TIESS&amp;utm_term=032"/>
    <s v="tiess.online"/>
    <x v="0"/>
    <s v="https://pbs.twimg.com/media/EsVq8xtUYAAXOTE.jpg"/>
    <s v="https://pbs.twimg.com/media/EsVq8xtUYAAXOTE.jpg"/>
    <x v="78"/>
    <d v="2021-01-22T00:00:00.000"/>
    <s v="13:12:30"/>
    <s v="https://twitter.com/indiadidac/status/1352605055203983369"/>
    <m/>
    <m/>
    <s v="1352605055203983369"/>
    <m/>
    <b v="0"/>
    <n v="0"/>
    <s v=""/>
    <b v="0"/>
    <s v="en"/>
    <m/>
    <s v=""/>
    <b v="0"/>
    <n v="0"/>
    <s v=""/>
    <s v="Twitter Web App"/>
    <b v="0"/>
    <s v="1352605055203983369"/>
    <s v="Tweet"/>
    <n v="0"/>
    <n v="0"/>
    <m/>
    <m/>
    <m/>
    <m/>
    <m/>
    <m/>
    <m/>
    <m/>
    <n v="2"/>
    <s v="1"/>
    <s v="1"/>
    <n v="1"/>
    <n v="2.9411764705882355"/>
    <n v="0"/>
    <n v="0"/>
    <n v="0"/>
    <n v="0"/>
    <n v="33"/>
    <n v="97.05882352941177"/>
    <n v="34"/>
  </r>
  <r>
    <s v="indiadidac"/>
    <s v="michellewade99"/>
    <m/>
    <m/>
    <m/>
    <m/>
    <m/>
    <m/>
    <m/>
    <m/>
    <s v="No"/>
    <n v="135"/>
    <m/>
    <m/>
    <x v="2"/>
    <d v="2021-01-22T13:30:10.000"/>
    <s v="At #TIESS2021 Join the talks with Global Education Leaders. Listen to Ms. Michelle Wade, Commissioner to South Asia, State Government of Victoria, Australia @michellewade99_x000a_Register Now https://t.co/XIfZKQFm8w_x000a__x000a_#TIESSGoesVirtual #UnitingForEducation https://t.co/cYiWAKqhV2"/>
    <s v="https://www.tiess.online/registration?utm_source=SM&amp;utm_medium=Michelle&amp;utm_campaign=TIESS&amp;utm_term=006"/>
    <s v="tiess.online"/>
    <x v="1"/>
    <s v="https://pbs.twimg.com/media/EsVvHmMUUAA9uWA.jpg"/>
    <s v="https://pbs.twimg.com/media/EsVvHmMUUAA9uWA.jpg"/>
    <x v="79"/>
    <d v="2021-01-22T00:00:00.000"/>
    <s v="13:30:10"/>
    <s v="https://twitter.com/indiadidac/status/1352609502156087298"/>
    <m/>
    <m/>
    <s v="1352609502156087298"/>
    <m/>
    <b v="0"/>
    <n v="0"/>
    <s v=""/>
    <b v="0"/>
    <s v="en"/>
    <m/>
    <s v=""/>
    <b v="0"/>
    <n v="0"/>
    <s v=""/>
    <s v="Twitter Web App"/>
    <b v="0"/>
    <s v="1352609502156087298"/>
    <s v="Tweet"/>
    <n v="0"/>
    <n v="0"/>
    <m/>
    <m/>
    <m/>
    <m/>
    <m/>
    <m/>
    <m/>
    <m/>
    <n v="1"/>
    <s v="1"/>
    <s v="1"/>
    <n v="0"/>
    <n v="0"/>
    <n v="0"/>
    <n v="0"/>
    <n v="0"/>
    <n v="0"/>
    <n v="28"/>
    <n v="100"/>
    <n v="28"/>
  </r>
  <r>
    <s v="indiadidac"/>
    <s v="thoughtbox_ed"/>
    <m/>
    <m/>
    <m/>
    <m/>
    <m/>
    <m/>
    <m/>
    <m/>
    <s v="No"/>
    <n v="136"/>
    <m/>
    <m/>
    <x v="2"/>
    <d v="2021-01-22T14:06:03.000"/>
    <s v="#TIESS2021 – Presenting global education leaders for thought provoking discussions on the future of education. Join the dialogue with Ms. Rachel Musson, Founding Director, Thought Box Education, UK_x000a_Register Now https://t.co/zBd1305jEl_x000a_@thoughtbox_ed _x000a__x000a_#TIESSGoesVirtual https://t.co/ZnoJxhjC92"/>
    <s v="https://www.tiess.online/registration?utm_source=SM&amp;utm_medium=Musson&amp;utm_campaign=TIESS&amp;utm_term=027"/>
    <s v="tiess.online"/>
    <x v="0"/>
    <s v="https://pbs.twimg.com/media/EsV3U7XVcAIRdp7.jpg"/>
    <s v="https://pbs.twimg.com/media/EsV3U7XVcAIRdp7.jpg"/>
    <x v="80"/>
    <d v="2021-01-22T00:00:00.000"/>
    <s v="14:06:03"/>
    <s v="https://twitter.com/indiadidac/status/1352618533872525312"/>
    <m/>
    <m/>
    <s v="1352618533872525312"/>
    <m/>
    <b v="0"/>
    <n v="1"/>
    <s v=""/>
    <b v="0"/>
    <s v="en"/>
    <m/>
    <s v=""/>
    <b v="0"/>
    <n v="0"/>
    <s v=""/>
    <s v="Twitter Web App"/>
    <b v="0"/>
    <s v="1352618533872525312"/>
    <s v="Tweet"/>
    <n v="0"/>
    <n v="0"/>
    <m/>
    <m/>
    <m/>
    <m/>
    <m/>
    <m/>
    <m/>
    <m/>
    <n v="1"/>
    <s v="1"/>
    <s v="1"/>
    <n v="0"/>
    <n v="0"/>
    <n v="0"/>
    <n v="0"/>
    <n v="0"/>
    <n v="0"/>
    <n v="31"/>
    <n v="100"/>
    <n v="31"/>
  </r>
  <r>
    <s v="indiadidac"/>
    <s v="drrussq"/>
    <m/>
    <m/>
    <m/>
    <m/>
    <m/>
    <m/>
    <m/>
    <m/>
    <s v="No"/>
    <n v="137"/>
    <m/>
    <m/>
    <x v="2"/>
    <d v="2021-01-22T14:25:03.000"/>
    <s v="At #TIESS2021 –Join the dialogue with Dr. Russell J. Quaglia, Executive Director, Quaglia Institute for School Voice &amp;amp; Aspirations, USA and Explore the advancements in education. @DrRussQ_x000a_Register Now https://t.co/GMO3MlZWoJ_x000a__x000a_#TIESSGoesVirtual #UnitingForEducation https://t.co/0ebC9YtVem"/>
    <s v="https://www.tiess.online/registration?utm_source=Russell&amp;utm_medium=Email&amp;utm_campaign=TIESS&amp;utm_term=026"/>
    <s v="tiess.online"/>
    <x v="1"/>
    <s v="https://pbs.twimg.com/media/EsV7qWRVcAIpJFS.jpg"/>
    <s v="https://pbs.twimg.com/media/EsV7qWRVcAIpJFS.jpg"/>
    <x v="81"/>
    <d v="2021-01-22T00:00:00.000"/>
    <s v="14:25:03"/>
    <s v="https://twitter.com/indiadidac/status/1352623314431143940"/>
    <m/>
    <m/>
    <s v="1352623314431143940"/>
    <m/>
    <b v="0"/>
    <n v="0"/>
    <s v=""/>
    <b v="0"/>
    <s v="en"/>
    <m/>
    <s v=""/>
    <b v="0"/>
    <n v="0"/>
    <s v=""/>
    <s v="Twitter Web App"/>
    <b v="0"/>
    <s v="1352623314431143940"/>
    <s v="Tweet"/>
    <n v="0"/>
    <n v="0"/>
    <m/>
    <m/>
    <m/>
    <m/>
    <m/>
    <m/>
    <m/>
    <m/>
    <n v="1"/>
    <s v="1"/>
    <s v="1"/>
    <n v="1"/>
    <n v="3.225806451612903"/>
    <n v="0"/>
    <n v="0"/>
    <n v="0"/>
    <n v="0"/>
    <n v="30"/>
    <n v="96.7741935483871"/>
    <n v="31"/>
  </r>
  <r>
    <s v="agastyasparks"/>
    <s v="indiadidac"/>
    <m/>
    <m/>
    <m/>
    <m/>
    <m/>
    <m/>
    <m/>
    <m/>
    <s v="Yes"/>
    <n v="138"/>
    <m/>
    <m/>
    <x v="0"/>
    <d v="2021-01-23T10:07:08.000"/>
    <s v="Join the conversation with Mr. Ramji Raghavan, Founder &amp;amp; Chairperson, AGASTYA International Foundation, India, only at #TIESS2021 – The World’s Largest Global Summit for Education &amp;amp; Skills Sector @AgastyaSparks_x000a_Register now https://t.co/gVr52ZUD3S_x000a__x000a_#TIESSGoesVirtual https://t.co/YLSxlCiBDR"/>
    <s v="https://www.tiess.online/registration?utm_source=SM&amp;utm_medium=Raghavan&amp;utm_campaign=TIESS&amp;utm_term=023"/>
    <s v="tiess.online"/>
    <x v="0"/>
    <s v="https://pbs.twimg.com/media/EsWDr3BU4AAvApB.jpg"/>
    <s v="https://pbs.twimg.com/media/EsWDr3BU4AAvApB.jpg"/>
    <x v="82"/>
    <d v="2021-01-23T00:00:00.000"/>
    <s v="10:07:08"/>
    <s v="https://twitter.com/agastyasparks/status/1352920797350793217"/>
    <m/>
    <m/>
    <s v="1352920797350793217"/>
    <m/>
    <b v="0"/>
    <n v="0"/>
    <s v=""/>
    <b v="0"/>
    <s v="en"/>
    <m/>
    <s v=""/>
    <b v="0"/>
    <n v="4"/>
    <s v="1352632063707336706"/>
    <s v="Twitter Web App"/>
    <b v="0"/>
    <s v="1352632063707336706"/>
    <s v="Tweet"/>
    <n v="0"/>
    <n v="0"/>
    <m/>
    <m/>
    <m/>
    <m/>
    <m/>
    <m/>
    <m/>
    <m/>
    <n v="1"/>
    <s v="1"/>
    <s v="1"/>
    <n v="0"/>
    <n v="0"/>
    <n v="0"/>
    <n v="0"/>
    <n v="0"/>
    <n v="0"/>
    <n v="32"/>
    <n v="100"/>
    <n v="32"/>
  </r>
  <r>
    <s v="indiadidac"/>
    <s v="agastyasparks"/>
    <m/>
    <m/>
    <m/>
    <m/>
    <m/>
    <m/>
    <m/>
    <m/>
    <s v="Yes"/>
    <n v="139"/>
    <m/>
    <m/>
    <x v="2"/>
    <d v="2021-01-22T14:59:49.000"/>
    <s v="Join the conversation with Mr. Ramji Raghavan, Founder &amp;amp; Chairperson, AGASTYA International Foundation, India, only at #TIESS2021 – The World’s Largest Global Summit for Education &amp;amp; Skills Sector @AgastyaSparks_x000a_Register now https://t.co/gVr52ZUD3S_x000a__x000a_#TIESSGoesVirtual https://t.co/YLSxlCiBDR"/>
    <s v="https://www.tiess.online/registration?utm_source=SM&amp;utm_medium=Raghavan&amp;utm_campaign=TIESS&amp;utm_term=023"/>
    <s v="tiess.online"/>
    <x v="0"/>
    <s v="https://pbs.twimg.com/media/EsWDr3BU4AAvApB.jpg"/>
    <s v="https://pbs.twimg.com/media/EsWDr3BU4AAvApB.jpg"/>
    <x v="83"/>
    <d v="2021-01-22T00:00:00.000"/>
    <s v="14:59:49"/>
    <s v="https://twitter.com/indiadidac/status/1352632063707336706"/>
    <m/>
    <m/>
    <s v="1352632063707336706"/>
    <m/>
    <b v="0"/>
    <n v="6"/>
    <s v=""/>
    <b v="0"/>
    <s v="en"/>
    <m/>
    <s v=""/>
    <b v="0"/>
    <n v="4"/>
    <s v=""/>
    <s v="Twitter Web App"/>
    <b v="0"/>
    <s v="1352632063707336706"/>
    <s v="Tweet"/>
    <n v="0"/>
    <n v="0"/>
    <m/>
    <m/>
    <m/>
    <m/>
    <m/>
    <m/>
    <m/>
    <m/>
    <n v="1"/>
    <s v="1"/>
    <s v="1"/>
    <n v="0"/>
    <n v="0"/>
    <n v="0"/>
    <n v="0"/>
    <n v="0"/>
    <n v="0"/>
    <n v="32"/>
    <n v="100"/>
    <n v="32"/>
  </r>
  <r>
    <s v="indiadidac"/>
    <s v="rramanan"/>
    <m/>
    <m/>
    <m/>
    <m/>
    <m/>
    <m/>
    <m/>
    <m/>
    <s v="No"/>
    <n v="140"/>
    <m/>
    <m/>
    <x v="2"/>
    <d v="2021-01-22T15:14:50.000"/>
    <s v="Join the conversation with Mr. Ramanan Ramanathan, Mission Director Atal Innovation Mission &amp;amp; Additional Secretary, @NITIAayog, Govt. of India, only at #TIESS2021 – The World’s Largest Global Summit for Education &amp;amp; Skills Sector. @rramanan _x000a__x000a_Register now https://t.co/1Yeyj0AImH https://t.co/sQdcaxnmEo"/>
    <s v="https://www.tiess.online/registration?utm_source=SM&amp;utm_medium=Ramanan&amp;utm_campaign=TIESS&amp;utm_term=011"/>
    <s v="tiess.online"/>
    <x v="2"/>
    <s v="https://pbs.twimg.com/media/EsWHGdcVcAE-c4p.jpg"/>
    <s v="https://pbs.twimg.com/media/EsWHGdcVcAE-c4p.jpg"/>
    <x v="84"/>
    <d v="2021-01-22T00:00:00.000"/>
    <s v="15:14:50"/>
    <s v="https://twitter.com/indiadidac/status/1352635841407971330"/>
    <m/>
    <m/>
    <s v="1352635841407971330"/>
    <m/>
    <b v="0"/>
    <n v="13"/>
    <s v=""/>
    <b v="0"/>
    <s v="en"/>
    <m/>
    <s v=""/>
    <b v="0"/>
    <n v="3"/>
    <s v=""/>
    <s v="Twitter Web App"/>
    <b v="0"/>
    <s v="1352635841407971330"/>
    <s v="Tweet"/>
    <n v="0"/>
    <n v="0"/>
    <m/>
    <m/>
    <m/>
    <m/>
    <m/>
    <m/>
    <m/>
    <m/>
    <n v="1"/>
    <s v="1"/>
    <s v="6"/>
    <m/>
    <m/>
    <m/>
    <m/>
    <m/>
    <m/>
    <m/>
    <m/>
    <m/>
  </r>
  <r>
    <s v="connect_aditya"/>
    <s v="uopeople"/>
    <m/>
    <m/>
    <m/>
    <m/>
    <m/>
    <m/>
    <m/>
    <m/>
    <s v="No"/>
    <n v="142"/>
    <m/>
    <m/>
    <x v="1"/>
    <d v="2021-01-20T05:56:05.000"/>
    <s v="#TIESS2021 – A great opportunity to Join the conversation with @ShaiReshef , Founder, University of the People, USA only at The International Education &amp;amp; Skill Summit. @UoPeople _x000a_Register Now - https://t.co/IR6Q2OKDOt_x000a__x000a_#TIESSGoesVirtual  #UnitingForEducation https://t.co/ohbFqaOo4f"/>
    <s v="https://www.tiess.online/registration?utm_source=SM&amp;utm_medium=Rashef&amp;utm_campaign=TIESS&amp;utm_term=020"/>
    <s v="tiess.online"/>
    <x v="1"/>
    <s v="https://pbs.twimg.com/media/EsF6A6rU0AAESdA.jpg"/>
    <s v="https://pbs.twimg.com/media/EsF6A6rU0AAESdA.jpg"/>
    <x v="85"/>
    <d v="2021-01-20T00:00:00.000"/>
    <s v="05:56:05"/>
    <s v="https://twitter.com/connect_aditya/status/1351770452776030208"/>
    <m/>
    <m/>
    <s v="1351770452776030208"/>
    <m/>
    <b v="0"/>
    <n v="0"/>
    <s v=""/>
    <b v="0"/>
    <s v="en"/>
    <m/>
    <s v=""/>
    <b v="0"/>
    <n v="2"/>
    <s v="1351496140764504065"/>
    <s v="Twitter Web App"/>
    <b v="0"/>
    <s v="1351496140764504065"/>
    <s v="Tweet"/>
    <n v="0"/>
    <n v="0"/>
    <m/>
    <m/>
    <m/>
    <m/>
    <m/>
    <m/>
    <m/>
    <m/>
    <n v="1"/>
    <s v="2"/>
    <s v="2"/>
    <m/>
    <m/>
    <m/>
    <m/>
    <m/>
    <m/>
    <m/>
    <m/>
    <m/>
  </r>
  <r>
    <s v="connect_aditya"/>
    <s v="indiadidac"/>
    <m/>
    <m/>
    <m/>
    <m/>
    <m/>
    <m/>
    <m/>
    <m/>
    <s v="Yes"/>
    <n v="145"/>
    <m/>
    <m/>
    <x v="0"/>
    <d v="2021-01-20T05:57:55.000"/>
    <s v="#TIESS2021 - The world's largest virtual conference on education and skills sector, is all set to unite the global education leaders to collaborate for thoughtful deliberations &amp;amp; discussion on the Future of Education. _x000a__x000a_Register now - https://t.co/dmY6H0s4ZC _x000a__x000a_#TIESSGoesVirtual https://t.co/goVAOAnvt6"/>
    <s v="https://www.tiess.online/registration?utm_source=Twitter&amp;utm_medium=IDA&amp;utm_campaign=TIESS&amp;utm_term=006"/>
    <s v="tiess.online"/>
    <x v="0"/>
    <s v="https://pbs.twimg.com/ext_tw_video_thumb/1351455582709051392/pu/img/HHqo-Y-cvh93oOF6.jpg"/>
    <s v="https://pbs.twimg.com/ext_tw_video_thumb/1351455582709051392/pu/img/HHqo-Y-cvh93oOF6.jpg"/>
    <x v="86"/>
    <d v="2021-01-20T00:00:00.000"/>
    <s v="05:57:55"/>
    <s v="https://twitter.com/connect_aditya/status/1351770916988940291"/>
    <m/>
    <m/>
    <s v="1351770916988940291"/>
    <m/>
    <b v="0"/>
    <n v="0"/>
    <s v=""/>
    <b v="0"/>
    <s v="en"/>
    <m/>
    <s v=""/>
    <b v="0"/>
    <n v="1"/>
    <s v="1351456379308036104"/>
    <s v="Twitter Web App"/>
    <b v="0"/>
    <s v="1351456379308036104"/>
    <s v="Tweet"/>
    <n v="0"/>
    <n v="0"/>
    <m/>
    <m/>
    <m/>
    <m/>
    <m/>
    <m/>
    <m/>
    <m/>
    <n v="2"/>
    <s v="2"/>
    <s v="1"/>
    <n v="1"/>
    <n v="2.857142857142857"/>
    <n v="0"/>
    <n v="0"/>
    <n v="0"/>
    <n v="0"/>
    <n v="34"/>
    <n v="97.14285714285714"/>
    <n v="35"/>
  </r>
  <r>
    <s v="indiadidac"/>
    <s v="connect_aditya"/>
    <m/>
    <m/>
    <m/>
    <m/>
    <m/>
    <m/>
    <m/>
    <m/>
    <s v="Yes"/>
    <n v="146"/>
    <m/>
    <m/>
    <x v="2"/>
    <d v="2021-01-23T07:34:45.000"/>
    <s v="At #TIESS2021 meet _x000a_Rt. Hon. Damian Hinds MP, Member of Parliament for _x000a_East Hampshire and Former Secretary of State for Education, Government of United Kingdom, UK _x000a_@DamianHinds @educationgovuk _x000a_@besatweet @CJPWright @connect_aditya _x000a__x000a_Register Now https://t.co/AVYJGG7ZkQ https://t.co/5jZAckPCl8"/>
    <s v="https://www.tiess.online/registration?utm_source=Damian&amp;utm_medium=SM&amp;utm_campaign=TIESS&amp;utm_term=027"/>
    <s v="tiess.online"/>
    <x v="2"/>
    <s v="https://pbs.twimg.com/media/EsZnGkYU0AEbfOs.jpg"/>
    <s v="https://pbs.twimg.com/media/EsZnGkYU0AEbfOs.jpg"/>
    <x v="87"/>
    <d v="2021-01-23T00:00:00.000"/>
    <s v="07:34:45"/>
    <s v="https://twitter.com/indiadidac/status/1352882449177481216"/>
    <m/>
    <m/>
    <s v="1352882449177481216"/>
    <m/>
    <b v="0"/>
    <n v="0"/>
    <s v=""/>
    <b v="0"/>
    <s v="en"/>
    <m/>
    <s v=""/>
    <b v="0"/>
    <n v="0"/>
    <s v=""/>
    <s v="Twitter Web App"/>
    <b v="0"/>
    <s v="1352882449177481216"/>
    <s v="Tweet"/>
    <n v="0"/>
    <n v="0"/>
    <m/>
    <m/>
    <m/>
    <m/>
    <m/>
    <m/>
    <m/>
    <m/>
    <n v="1"/>
    <s v="1"/>
    <s v="2"/>
    <m/>
    <m/>
    <m/>
    <m/>
    <m/>
    <m/>
    <m/>
    <m/>
    <m/>
  </r>
  <r>
    <s v="indiadidac"/>
    <s v="cjpwright"/>
    <m/>
    <m/>
    <m/>
    <m/>
    <m/>
    <m/>
    <m/>
    <m/>
    <s v="No"/>
    <n v="147"/>
    <m/>
    <m/>
    <x v="2"/>
    <d v="2021-01-22T13:43:26.000"/>
    <s v="Meet the Global Education Leaders at #TIESS2021. Join the dialogue with @CJPWright Director General, @besatweet , UK, on the Future of Education. _x000a__x000a_Register Now https://t.co/q71OXVNFwb_x000a__x000a_#TIESSGoesVirtual #UnitingForEducation https://t.co/cDUbdQ2lMb"/>
    <s v="https://www.tiess.online/registration?utm_source=Caroline&amp;utm_medium=Email&amp;utm_campaign=TIESS&amp;utm_term=024"/>
    <s v="tiess.online"/>
    <x v="1"/>
    <s v="https://pbs.twimg.com/media/EsVyKgKUcAARhL-.jpg"/>
    <s v="https://pbs.twimg.com/media/EsVyKgKUcAARhL-.jpg"/>
    <x v="88"/>
    <d v="2021-01-22T00:00:00.000"/>
    <s v="13:43:26"/>
    <s v="https://twitter.com/indiadidac/status/1352612840104882176"/>
    <m/>
    <m/>
    <s v="1352612840104882176"/>
    <m/>
    <b v="0"/>
    <n v="1"/>
    <s v=""/>
    <b v="0"/>
    <s v="en"/>
    <m/>
    <s v=""/>
    <b v="0"/>
    <n v="0"/>
    <s v=""/>
    <s v="Twitter Web App"/>
    <b v="0"/>
    <s v="1352612840104882176"/>
    <s v="Tweet"/>
    <n v="0"/>
    <n v="0"/>
    <m/>
    <m/>
    <m/>
    <m/>
    <m/>
    <m/>
    <m/>
    <m/>
    <n v="2"/>
    <s v="1"/>
    <s v="1"/>
    <m/>
    <m/>
    <m/>
    <m/>
    <m/>
    <m/>
    <m/>
    <m/>
    <m/>
  </r>
  <r>
    <s v="indiadidac"/>
    <s v="sharath36"/>
    <m/>
    <m/>
    <m/>
    <m/>
    <m/>
    <m/>
    <m/>
    <m/>
    <s v="No"/>
    <n v="151"/>
    <m/>
    <m/>
    <x v="2"/>
    <d v="2021-01-23T07:49:01.000"/>
    <s v="At #TIESS2021 –the Global Education Leadership Summit, Join the talks with Mr. Sharath Jeevan, Executive Chairman, Intrinsic Labs, UK @sharath36_x000a_Register Now https://t.co/n3PwiPTOfu_x000a__x000a_#TIESSGoesVirtual #UnitingForEducation https://t.co/IY6aQsfZaH"/>
    <s v="https://www.tiess.online/registration?utm_source=Sharath&amp;utm_medium=SM&amp;utm_campaign=TIESS&amp;utm_term=028"/>
    <s v="tiess.online"/>
    <x v="1"/>
    <s v="https://pbs.twimg.com/media/EsZqlgFUwAAoXPF.jpg"/>
    <s v="https://pbs.twimg.com/media/EsZqlgFUwAAoXPF.jpg"/>
    <x v="89"/>
    <d v="2021-01-23T00:00:00.000"/>
    <s v="07:49:01"/>
    <s v="https://twitter.com/indiadidac/status/1352886036251037697"/>
    <m/>
    <m/>
    <s v="1352886036251037697"/>
    <m/>
    <b v="0"/>
    <n v="0"/>
    <s v=""/>
    <b v="0"/>
    <s v="en"/>
    <m/>
    <s v=""/>
    <b v="0"/>
    <n v="0"/>
    <s v=""/>
    <s v="Twitter Web App"/>
    <b v="0"/>
    <s v="1352886036251037697"/>
    <s v="Tweet"/>
    <n v="0"/>
    <n v="0"/>
    <m/>
    <m/>
    <m/>
    <m/>
    <m/>
    <m/>
    <m/>
    <m/>
    <n v="1"/>
    <s v="1"/>
    <s v="1"/>
    <n v="0"/>
    <n v="0"/>
    <n v="0"/>
    <n v="0"/>
    <n v="0"/>
    <n v="0"/>
    <n v="24"/>
    <n v="100"/>
    <n v="24"/>
  </r>
  <r>
    <s v="grausger"/>
    <s v="indiadidac"/>
    <m/>
    <m/>
    <m/>
    <m/>
    <m/>
    <m/>
    <m/>
    <m/>
    <s v="Yes"/>
    <n v="152"/>
    <m/>
    <m/>
    <x v="0"/>
    <d v="2021-01-23T09:47:45.000"/>
    <s v="#TIESS2021 Listen to thoughtful deliberations on the Future of Education with renowned International Education Leaders. Join the Dialogue with Prof. Dr. Ger Graus OBE, Global Director of Education, Kidzania, UK_x000a_Register Now https://t.co/2F0k4h6oZd_x000a__x000a_#TIESSGoesVirtual @GrausGer https://t.co/607VriKft1"/>
    <s v="https://www.tiess.online/registration?utm_source=SM&amp;utm_medium=Graus&amp;utm_campaign=TIESS&amp;utm_term=017"/>
    <s v="tiess.online"/>
    <x v="0"/>
    <s v="https://pbs.twimg.com/media/EsZsGrhVEAAvnKD.jpg"/>
    <s v="https://pbs.twimg.com/media/EsZsGrhVEAAvnKD.jpg"/>
    <x v="90"/>
    <d v="2021-01-23T00:00:00.000"/>
    <s v="09:47:45"/>
    <s v="https://twitter.com/grausger/status/1352915919509610497"/>
    <m/>
    <m/>
    <s v="1352915919509610497"/>
    <m/>
    <b v="0"/>
    <n v="0"/>
    <s v=""/>
    <b v="0"/>
    <s v="en"/>
    <m/>
    <s v=""/>
    <b v="0"/>
    <n v="1"/>
    <s v="1352887633848881153"/>
    <s v="Twitter for iPhone"/>
    <b v="0"/>
    <s v="1352887633848881153"/>
    <s v="Tweet"/>
    <n v="0"/>
    <n v="0"/>
    <m/>
    <m/>
    <m/>
    <m/>
    <m/>
    <m/>
    <m/>
    <m/>
    <n v="1"/>
    <s v="1"/>
    <s v="1"/>
    <n v="2"/>
    <n v="5.882352941176471"/>
    <n v="0"/>
    <n v="0"/>
    <n v="0"/>
    <n v="0"/>
    <n v="32"/>
    <n v="94.11764705882354"/>
    <n v="34"/>
  </r>
  <r>
    <s v="indiadidac"/>
    <s v="grausger"/>
    <m/>
    <m/>
    <m/>
    <m/>
    <m/>
    <m/>
    <m/>
    <m/>
    <s v="Yes"/>
    <n v="153"/>
    <m/>
    <m/>
    <x v="2"/>
    <d v="2021-01-23T07:55:22.000"/>
    <s v="#TIESS2021 Listen to thoughtful deliberations on the Future of Education with renowned International Education Leaders. Join the Dialogue with Prof. Dr. Ger Graus OBE, Global Director of Education, Kidzania, UK_x000a_Register Now https://t.co/2F0k4h6oZd_x000a__x000a_#TIESSGoesVirtual @GrausGer https://t.co/607VriKft1"/>
    <s v="https://www.tiess.online/registration?utm_source=SM&amp;utm_medium=Graus&amp;utm_campaign=TIESS&amp;utm_term=017"/>
    <s v="tiess.online"/>
    <x v="0"/>
    <s v="https://pbs.twimg.com/media/EsZsGrhVEAAvnKD.jpg"/>
    <s v="https://pbs.twimg.com/media/EsZsGrhVEAAvnKD.jpg"/>
    <x v="91"/>
    <d v="2021-01-23T00:00:00.000"/>
    <s v="07:55:22"/>
    <s v="https://twitter.com/indiadidac/status/1352887633848881153"/>
    <m/>
    <m/>
    <s v="1352887633848881153"/>
    <m/>
    <b v="0"/>
    <n v="2"/>
    <s v=""/>
    <b v="0"/>
    <s v="en"/>
    <m/>
    <s v=""/>
    <b v="0"/>
    <n v="1"/>
    <s v=""/>
    <s v="Twitter Web App"/>
    <b v="0"/>
    <s v="1352887633848881153"/>
    <s v="Tweet"/>
    <n v="0"/>
    <n v="0"/>
    <m/>
    <m/>
    <m/>
    <m/>
    <m/>
    <m/>
    <m/>
    <m/>
    <n v="1"/>
    <s v="1"/>
    <s v="1"/>
    <n v="2"/>
    <n v="5.882352941176471"/>
    <n v="0"/>
    <n v="0"/>
    <n v="0"/>
    <n v="0"/>
    <n v="32"/>
    <n v="94.11764705882354"/>
    <n v="34"/>
  </r>
  <r>
    <s v="olliebray"/>
    <s v="olliebray"/>
    <m/>
    <m/>
    <m/>
    <m/>
    <m/>
    <m/>
    <m/>
    <m/>
    <s v="No"/>
    <n v="154"/>
    <m/>
    <m/>
    <x v="3"/>
    <d v="2021-01-23T08:58:45.000"/>
    <s v="Looking forward to presenting st #TIESS2021 next week..._x000a_Register Now - https://t.co/MOHCuzZiVN_x000a__x000a_#TIESSGoesVirtual #UnitingForEducation https://t.co/IeEQhWeW74 https://t.co/L2mwa6QiRr"/>
    <s v="https://www.tiess.online/registration?utm_source=Ollie&amp;utm_medium=SM&amp;utm_campaign=TIESS&amp;utm_term=029 https://twitter.com/Indiadidac/status/1352891698599223296"/>
    <s v="tiess.online twitter.com"/>
    <x v="1"/>
    <s v="https://pbs.twimg.com/media/EsZvwrMVEAAm51K.jpg"/>
    <s v="https://pbs.twimg.com/media/EsZvwrMVEAAm51K.jpg"/>
    <x v="92"/>
    <d v="2021-01-23T00:00:00.000"/>
    <s v="08:58:45"/>
    <s v="https://twitter.com/olliebray/status/1352903588729794560"/>
    <m/>
    <m/>
    <s v="1352903588729794560"/>
    <m/>
    <b v="0"/>
    <n v="9"/>
    <s v=""/>
    <b v="1"/>
    <s v="en"/>
    <m/>
    <s v="1352891698599223296"/>
    <b v="0"/>
    <n v="1"/>
    <s v=""/>
    <s v="Twitter for Android"/>
    <b v="0"/>
    <s v="1352903588729794560"/>
    <s v="Tweet"/>
    <n v="0"/>
    <n v="0"/>
    <s v="-7.66085699743185,54.6336309570711 _x000a_-0.740025000483186,54.6336309570711 _x000a_-0.740025000483186,60.8452769694519 _x000a_-7.66085699743185,60.8452769694519"/>
    <s v="United Kingdom"/>
    <s v="GB"/>
    <s v="Scotland, United Kingdom"/>
    <s v="0af014accd6f6e99"/>
    <s v="Scotland"/>
    <s v="admin"/>
    <s v="https://api.twitter.com/1.1/geo/id/0af014accd6f6e99.json"/>
    <n v="1"/>
    <s v="13"/>
    <s v="13"/>
    <n v="0"/>
    <n v="0"/>
    <n v="0"/>
    <n v="0"/>
    <n v="0"/>
    <n v="0"/>
    <n v="12"/>
    <n v="100"/>
    <n v="12"/>
  </r>
  <r>
    <s v="indiadidac"/>
    <s v="olliebray"/>
    <m/>
    <m/>
    <m/>
    <m/>
    <m/>
    <m/>
    <m/>
    <m/>
    <s v="No"/>
    <n v="155"/>
    <m/>
    <m/>
    <x v="2"/>
    <d v="2021-01-23T08:11:31.000"/>
    <s v="#TIESS2021 – A phenomenal opportunity to Join the conversation with Mr. Ollie Bray , Global Director, Connecting Play and Education, The Lego Foundation, Denmark @olliebray _x000a_Only at #TIESS2021 _x000a_Register Now - https://t.co/jm5HUbmCfN_x000a__x000a_#TIESSGoesVirtual #UnitingForEducation https://t.co/MAslgTUUoz"/>
    <s v="https://www.tiess.online/registration?utm_source=Ollie&amp;utm_medium=SM&amp;utm_campaign=TIESS&amp;utm_term=029"/>
    <s v="tiess.online"/>
    <x v="8"/>
    <s v="https://pbs.twimg.com/media/EsZvwrMVEAAm51K.jpg"/>
    <s v="https://pbs.twimg.com/media/EsZvwrMVEAAm51K.jpg"/>
    <x v="93"/>
    <d v="2021-01-23T00:00:00.000"/>
    <s v="08:11:31"/>
    <s v="https://twitter.com/indiadidac/status/1352891698599223296"/>
    <m/>
    <m/>
    <s v="1352891698599223296"/>
    <m/>
    <b v="0"/>
    <n v="2"/>
    <s v=""/>
    <b v="0"/>
    <s v="en"/>
    <m/>
    <s v=""/>
    <b v="0"/>
    <n v="0"/>
    <s v=""/>
    <s v="Twitter Web App"/>
    <b v="0"/>
    <s v="1352891698599223296"/>
    <s v="Tweet"/>
    <n v="0"/>
    <n v="0"/>
    <m/>
    <m/>
    <m/>
    <m/>
    <m/>
    <m/>
    <m/>
    <m/>
    <n v="1"/>
    <s v="1"/>
    <s v="13"/>
    <n v="1"/>
    <n v="3.3333333333333335"/>
    <n v="0"/>
    <n v="0"/>
    <n v="0"/>
    <n v="0"/>
    <n v="29"/>
    <n v="96.66666666666667"/>
    <n v="30"/>
  </r>
  <r>
    <s v="indiadidac"/>
    <s v="cit_ccise"/>
    <m/>
    <m/>
    <m/>
    <m/>
    <m/>
    <m/>
    <m/>
    <m/>
    <s v="No"/>
    <n v="156"/>
    <m/>
    <m/>
    <x v="2"/>
    <d v="2021-01-23T08:23:17.000"/>
    <s v="#TIESS2021 –Join the talks with Dr. Michael S. Karlin_x000a_Associate Director of the Center for Compassion, Integrity and Secular Ethics and Assistant Professor of Psychology, Life University, USA @CIT_CCISE_x000a__x000a_Register Now https://t.co/HH6ddeV0C2_x000a_#TIESSGoesVirtual #UnitingForEducation https://t.co/o0HfX8IBrC"/>
    <s v="https://www.tiess.online/registration?utm_source=Michael&amp;utm_medium=SM&amp;utm_campaign=TIESS&amp;utm_term=030"/>
    <s v="tiess.online"/>
    <x v="1"/>
    <s v="https://pbs.twimg.com/media/EsZycyyUwAEOe-g.jpg"/>
    <s v="https://pbs.twimg.com/media/EsZycyyUwAEOe-g.jpg"/>
    <x v="94"/>
    <d v="2021-01-23T00:00:00.000"/>
    <s v="08:23:17"/>
    <s v="https://twitter.com/indiadidac/status/1352894659857530880"/>
    <m/>
    <m/>
    <s v="1352894659857530880"/>
    <m/>
    <b v="0"/>
    <n v="1"/>
    <s v=""/>
    <b v="0"/>
    <s v="en"/>
    <m/>
    <s v=""/>
    <b v="0"/>
    <n v="0"/>
    <s v=""/>
    <s v="Twitter Web App"/>
    <b v="0"/>
    <s v="1352894659857530880"/>
    <s v="Tweet"/>
    <n v="0"/>
    <n v="0"/>
    <m/>
    <m/>
    <m/>
    <m/>
    <m/>
    <m/>
    <m/>
    <m/>
    <n v="1"/>
    <s v="1"/>
    <s v="1"/>
    <n v="1"/>
    <n v="3.0303030303030303"/>
    <n v="0"/>
    <n v="0"/>
    <n v="0"/>
    <n v="0"/>
    <n v="32"/>
    <n v="96.96969696969697"/>
    <n v="33"/>
  </r>
  <r>
    <s v="manjula_d"/>
    <s v="indiadidac"/>
    <m/>
    <m/>
    <m/>
    <m/>
    <m/>
    <m/>
    <m/>
    <m/>
    <s v="Yes"/>
    <n v="157"/>
    <m/>
    <m/>
    <x v="0"/>
    <d v="2021-01-23T15:36:59.000"/>
    <s v="At #TIESS2021 - the Global Leading Virtual Summit on Education, Join the dialogue with Mr. Manjula M. Dissanayake , Founder, Educate Lanka Foundation, _x000a_Sri Lanka, Register Now https://t.co/7C4rhadQw9_x000a_@manjula_d_x000a_#TIESSGoesVirtual #UnitingForEducation https://t.co/ulvPvBKAVI"/>
    <s v="https://www.tiess.online/registration?utm_source=Manjula&amp;utm_medium=SM&amp;utm_campaign=TIESS&amp;utm_term=035"/>
    <s v="tiess.online"/>
    <x v="1"/>
    <s v="https://pbs.twimg.com/media/EsaYJWbUUAEqSrE.jpg"/>
    <s v="https://pbs.twimg.com/media/EsaYJWbUUAEqSrE.jpg"/>
    <x v="95"/>
    <d v="2021-01-23T00:00:00.000"/>
    <s v="15:36:59"/>
    <s v="https://twitter.com/manjula_d/status/1353003804623577088"/>
    <m/>
    <m/>
    <s v="1353003804623577088"/>
    <m/>
    <b v="0"/>
    <n v="0"/>
    <s v=""/>
    <b v="0"/>
    <s v="en"/>
    <m/>
    <s v=""/>
    <b v="0"/>
    <n v="2"/>
    <s v="1352936102189912064"/>
    <s v="Twitter for iPhone"/>
    <b v="0"/>
    <s v="1352936102189912064"/>
    <s v="Tweet"/>
    <n v="0"/>
    <n v="0"/>
    <m/>
    <m/>
    <m/>
    <m/>
    <m/>
    <m/>
    <m/>
    <m/>
    <n v="1"/>
    <s v="1"/>
    <s v="1"/>
    <n v="1"/>
    <n v="3.5714285714285716"/>
    <n v="0"/>
    <n v="0"/>
    <n v="0"/>
    <n v="0"/>
    <n v="27"/>
    <n v="96.42857142857143"/>
    <n v="28"/>
  </r>
  <r>
    <s v="indiadidac"/>
    <s v="manjula_d"/>
    <m/>
    <m/>
    <m/>
    <m/>
    <m/>
    <m/>
    <m/>
    <m/>
    <s v="Yes"/>
    <n v="158"/>
    <m/>
    <m/>
    <x v="2"/>
    <d v="2021-01-23T11:07:57.000"/>
    <s v="At #TIESS2021 - the Global Leading Virtual Summit on Education, Join the dialogue with Mr. Manjula M. Dissanayake , Founder, Educate Lanka Foundation, _x000a_Sri Lanka, Register Now https://t.co/7C4rhadQw9_x000a_@manjula_d_x000a_#TIESSGoesVirtual #UnitingForEducation https://t.co/ulvPvBKAVI"/>
    <s v="https://www.tiess.online/registration?utm_source=Manjula&amp;utm_medium=SM&amp;utm_campaign=TIESS&amp;utm_term=035"/>
    <s v="tiess.online"/>
    <x v="1"/>
    <s v="https://pbs.twimg.com/media/EsaYJWbUUAEqSrE.jpg"/>
    <s v="https://pbs.twimg.com/media/EsaYJWbUUAEqSrE.jpg"/>
    <x v="96"/>
    <d v="2021-01-23T00:00:00.000"/>
    <s v="11:07:57"/>
    <s v="https://twitter.com/indiadidac/status/1352936102189912064"/>
    <m/>
    <m/>
    <s v="1352936102189912064"/>
    <m/>
    <b v="0"/>
    <n v="6"/>
    <s v=""/>
    <b v="0"/>
    <s v="en"/>
    <m/>
    <s v=""/>
    <b v="0"/>
    <n v="2"/>
    <s v=""/>
    <s v="Twitter Web App"/>
    <b v="0"/>
    <s v="1352936102189912064"/>
    <s v="Tweet"/>
    <n v="0"/>
    <n v="0"/>
    <m/>
    <m/>
    <m/>
    <m/>
    <m/>
    <m/>
    <m/>
    <m/>
    <n v="1"/>
    <s v="1"/>
    <s v="1"/>
    <n v="1"/>
    <n v="3.5714285714285716"/>
    <n v="0"/>
    <n v="0"/>
    <n v="0"/>
    <n v="0"/>
    <n v="27"/>
    <n v="96.42857142857143"/>
    <n v="28"/>
  </r>
  <r>
    <s v="indiadidac"/>
    <s v="anju_sharma_ind"/>
    <m/>
    <m/>
    <m/>
    <m/>
    <m/>
    <m/>
    <m/>
    <m/>
    <s v="No"/>
    <n v="159"/>
    <m/>
    <m/>
    <x v="2"/>
    <d v="2021-01-25T13:44:20.000"/>
    <s v="Become an integral part of #TIESS2021 by joining the conversation with Ms. Anju Sharma, IAS_x000a_Principal Secretary, Higher &amp;amp; Technical Education_x000a_Government of Gujarat, India @anju_sharma_ind_x000a_Register now https://t.co/LDQuVbbVtM_x000a__x000a_#TIESSGoesVirtual #UnitingForEducation https://t.co/2XIWfjIIq0"/>
    <s v="https://www.tiess.online/registration?utm_source=Anju&amp;utm_medium=Sharma&amp;utm_campaign=TIESS&amp;utm_term=044"/>
    <s v="tiess.online"/>
    <x v="1"/>
    <s v="https://pbs.twimg.com/media/EslO-K0UYAAfRXZ.jpg"/>
    <s v="https://pbs.twimg.com/media/EslO-K0UYAAfRXZ.jpg"/>
    <x v="97"/>
    <d v="2021-01-25T00:00:00.000"/>
    <s v="13:44:20"/>
    <s v="https://twitter.com/indiadidac/status/1353700232026968065"/>
    <m/>
    <m/>
    <s v="1353700232026968065"/>
    <m/>
    <b v="0"/>
    <n v="4"/>
    <s v=""/>
    <b v="0"/>
    <s v="en"/>
    <m/>
    <s v=""/>
    <b v="0"/>
    <n v="0"/>
    <s v=""/>
    <s v="Twitter Web App"/>
    <b v="0"/>
    <s v="1353700232026968065"/>
    <s v="Tweet"/>
    <n v="0"/>
    <n v="0"/>
    <m/>
    <m/>
    <m/>
    <m/>
    <m/>
    <m/>
    <m/>
    <m/>
    <n v="1"/>
    <s v="1"/>
    <s v="1"/>
    <n v="1"/>
    <n v="3.3333333333333335"/>
    <n v="0"/>
    <n v="0"/>
    <n v="0"/>
    <n v="0"/>
    <n v="29"/>
    <n v="96.66666666666667"/>
    <n v="30"/>
  </r>
  <r>
    <s v="indiadidac"/>
    <s v="msisodia"/>
    <m/>
    <m/>
    <m/>
    <m/>
    <m/>
    <m/>
    <m/>
    <m/>
    <s v="No"/>
    <n v="160"/>
    <m/>
    <m/>
    <x v="2"/>
    <d v="2021-01-26T11:16:36.000"/>
    <s v="At #TIESS2021 Listen to Hon. Ministers, Education Reformists &amp;amp; Renowned Education Stakeholders globally. _x000a_Join the conversation with Mr. Manish Sisodia , _x000a_Deputy Chief Minister and Minister of Education, Government of Delhi, India @msisodia _x000a_Register now https://t.co/bWn9kGUqBO https://t.co/eAq8cQxzN7"/>
    <s v="https://www.tiess.online/registration?utm_source=sisodia&amp;utm_medium=SM&amp;utm_campaign=TIESS&amp;utm_term=049"/>
    <s v="tiess.online"/>
    <x v="2"/>
    <s v="https://pbs.twimg.com/media/Esp2zmVU4AMJL3y.jpg"/>
    <s v="https://pbs.twimg.com/media/Esp2zmVU4AMJL3y.jpg"/>
    <x v="98"/>
    <d v="2021-01-26T00:00:00.000"/>
    <s v="11:16:36"/>
    <s v="https://twitter.com/indiadidac/status/1354025440386576385"/>
    <m/>
    <m/>
    <s v="1354025440386576385"/>
    <m/>
    <b v="0"/>
    <n v="3"/>
    <s v=""/>
    <b v="0"/>
    <s v="en"/>
    <m/>
    <s v=""/>
    <b v="0"/>
    <n v="0"/>
    <s v=""/>
    <s v="Twitter Web App"/>
    <b v="0"/>
    <s v="1354025440386576385"/>
    <s v="Tweet"/>
    <n v="0"/>
    <n v="0"/>
    <m/>
    <m/>
    <m/>
    <m/>
    <m/>
    <m/>
    <m/>
    <m/>
    <n v="1"/>
    <s v="1"/>
    <s v="1"/>
    <n v="1"/>
    <n v="2.9411764705882355"/>
    <n v="0"/>
    <n v="0"/>
    <n v="0"/>
    <n v="0"/>
    <n v="33"/>
    <n v="97.05882352941177"/>
    <n v="34"/>
  </r>
  <r>
    <s v="gavindk"/>
    <s v="indiadidac"/>
    <m/>
    <m/>
    <m/>
    <m/>
    <m/>
    <m/>
    <m/>
    <m/>
    <s v="Yes"/>
    <n v="163"/>
    <m/>
    <m/>
    <x v="0"/>
    <d v="2021-01-24T19:03:55.000"/>
    <s v="#TIESS2021 The countdown begins to the biggest ever virtual conference for the education and skills sector. _x000a_Get Ready to meet the most influential global leaders in education! _x000a_30,000+ Delegates| 80+ Countries| 150+ Speakers_x000a_#tiessgoesvirtual #UnitingForEducation https://t.co/iJdZH0cpXD"/>
    <m/>
    <m/>
    <x v="1"/>
    <s v="https://pbs.twimg.com/media/EsgPDwCUcAYZq66.jpg"/>
    <s v="https://pbs.twimg.com/media/EsgPDwCUcAYZq66.jpg"/>
    <x v="99"/>
    <d v="2021-01-24T00:00:00.000"/>
    <s v="19:03:55"/>
    <s v="https://twitter.com/gavindk/status/1353418268443357184"/>
    <m/>
    <m/>
    <s v="1353418268443357184"/>
    <m/>
    <b v="0"/>
    <n v="0"/>
    <s v=""/>
    <b v="0"/>
    <s v="en"/>
    <m/>
    <s v=""/>
    <b v="0"/>
    <n v="2"/>
    <s v="1353348293070266369"/>
    <s v="Twitter Web App"/>
    <b v="0"/>
    <s v="1353348293070266369"/>
    <s v="Tweet"/>
    <n v="0"/>
    <n v="0"/>
    <m/>
    <m/>
    <m/>
    <m/>
    <m/>
    <m/>
    <m/>
    <m/>
    <n v="4"/>
    <s v="3"/>
    <s v="1"/>
    <n v="2"/>
    <n v="5.555555555555555"/>
    <n v="0"/>
    <n v="0"/>
    <n v="0"/>
    <n v="0"/>
    <n v="34"/>
    <n v="94.44444444444444"/>
    <n v="36"/>
  </r>
  <r>
    <s v="gavindk"/>
    <s v="indiadidac"/>
    <m/>
    <m/>
    <m/>
    <m/>
    <m/>
    <m/>
    <m/>
    <m/>
    <s v="Yes"/>
    <n v="164"/>
    <m/>
    <m/>
    <x v="0"/>
    <d v="2021-01-25T13:05:09.000"/>
    <s v="#TIESS2021 _x000a_Get Ready to meet the most influential global leaders in education! listen, collaborate and contribute to the Future of Education!!_x000a_30,000+ Delegates| 80+ Countries| 150+ Speakers! _x000a__x000a_Only 2 days to go! _x000a__x000a_#TIESSGoesVirtual #UnitingForEducation #StayTuned https://t.co/MHlHRts8dm"/>
    <m/>
    <m/>
    <x v="5"/>
    <s v="https://pbs.twimg.com/media/EskiR9xVEAYLaX3.jpg"/>
    <s v="https://pbs.twimg.com/media/EskiR9xVEAYLaX3.jpg"/>
    <x v="100"/>
    <d v="2021-01-25T00:00:00.000"/>
    <s v="13:05:09"/>
    <s v="https://twitter.com/gavindk/status/1353690369167392768"/>
    <m/>
    <m/>
    <s v="1353690369167392768"/>
    <m/>
    <b v="0"/>
    <n v="0"/>
    <s v=""/>
    <b v="0"/>
    <s v="en"/>
    <m/>
    <s v=""/>
    <b v="0"/>
    <n v="2"/>
    <s v="1353650920182013953"/>
    <s v="Twitter Web App"/>
    <b v="0"/>
    <s v="1353650920182013953"/>
    <s v="Tweet"/>
    <n v="0"/>
    <n v="0"/>
    <m/>
    <m/>
    <m/>
    <m/>
    <m/>
    <m/>
    <m/>
    <m/>
    <n v="4"/>
    <s v="3"/>
    <s v="1"/>
    <n v="2"/>
    <n v="5.555555555555555"/>
    <n v="0"/>
    <n v="0"/>
    <n v="0"/>
    <n v="0"/>
    <n v="34"/>
    <n v="94.44444444444444"/>
    <n v="36"/>
  </r>
  <r>
    <s v="indiadidac"/>
    <s v="gavindk"/>
    <m/>
    <m/>
    <m/>
    <m/>
    <m/>
    <m/>
    <m/>
    <m/>
    <s v="Yes"/>
    <n v="165"/>
    <m/>
    <m/>
    <x v="2"/>
    <d v="2021-01-26T12:31:58.000"/>
    <s v="#TIESS2021 Listen to renowned International Education Leaders. Join the conversation with Mr. Gavin Dykes, Programme Director, Education World Forum &amp;amp; the Asian Summit on Education &amp;amp; Skills, UK @gavindk _x000a_Register https://t.co/PPpipqbIo5_x000a__x000a_#TIESSGoesVirtual #UnitingForEducation https://t.co/wQMb3tPX5o"/>
    <s v="https://www.tiess.online/registration?utm_source=Gavin&amp;utm_medium=SM&amp;utm_campaign=TIESS&amp;utm_term=050"/>
    <s v="tiess.online"/>
    <x v="1"/>
    <s v="https://pbs.twimg.com/media/EsqH8RzVkAAyyEM.jpg"/>
    <s v="https://pbs.twimg.com/media/EsqH8RzVkAAyyEM.jpg"/>
    <x v="101"/>
    <d v="2021-01-26T00:00:00.000"/>
    <s v="12:31:58"/>
    <s v="https://twitter.com/indiadidac/status/1354044406815363072"/>
    <m/>
    <m/>
    <s v="1354044406815363072"/>
    <m/>
    <b v="0"/>
    <n v="2"/>
    <s v=""/>
    <b v="0"/>
    <s v="en"/>
    <m/>
    <s v=""/>
    <b v="0"/>
    <n v="0"/>
    <s v=""/>
    <s v="Twitter Web App"/>
    <b v="0"/>
    <s v="1354044406815363072"/>
    <s v="Tweet"/>
    <n v="0"/>
    <n v="0"/>
    <m/>
    <m/>
    <m/>
    <m/>
    <m/>
    <m/>
    <m/>
    <m/>
    <n v="1"/>
    <s v="1"/>
    <s v="3"/>
    <n v="1"/>
    <n v="3.125"/>
    <n v="0"/>
    <n v="0"/>
    <n v="0"/>
    <n v="0"/>
    <n v="31"/>
    <n v="96.875"/>
    <n v="32"/>
  </r>
  <r>
    <s v="indiadidac"/>
    <s v="india"/>
    <m/>
    <m/>
    <m/>
    <m/>
    <m/>
    <m/>
    <m/>
    <m/>
    <s v="No"/>
    <n v="166"/>
    <m/>
    <m/>
    <x v="2"/>
    <d v="2021-01-26T13:06:27.000"/>
    <s v="#TIESS2021 Starts tomorrow! _x000a_Register Now - https://t.co/fKG4TiSMxq_x000a_The International Education &amp;amp; Skill Summit – 12th Edition https://t.co/P5mbTDflnQ via @India Education,Education News India,Education News  | India Education Diary"/>
    <s v="https://www.tiess.online/registration?utm_source=PR&amp;utm_medium=SM&amp;utm_campaign=TIESS&amp;utm_term=050 https://indiaeducationdiary.in/the-international-education-skill-summit-12th-edition/"/>
    <s v="tiess.online indiaeducationdiary.in"/>
    <x v="2"/>
    <m/>
    <s v="https://pbs.twimg.com/profile_images/740098508875833344/6nLHLTxJ_normal.jpg"/>
    <x v="102"/>
    <d v="2021-01-26T00:00:00.000"/>
    <s v="13:06:27"/>
    <s v="https://twitter.com/indiadidac/status/1354053086218608642"/>
    <m/>
    <m/>
    <s v="1354053086218608642"/>
    <m/>
    <b v="0"/>
    <n v="1"/>
    <s v=""/>
    <b v="0"/>
    <s v="en"/>
    <m/>
    <s v=""/>
    <b v="0"/>
    <n v="0"/>
    <s v=""/>
    <s v="Twitter Web App"/>
    <b v="0"/>
    <s v="1354053086218608642"/>
    <s v="Tweet"/>
    <n v="0"/>
    <n v="0"/>
    <m/>
    <m/>
    <m/>
    <m/>
    <m/>
    <m/>
    <m/>
    <m/>
    <n v="1"/>
    <s v="1"/>
    <s v="1"/>
    <n v="1"/>
    <n v="4.166666666666667"/>
    <n v="0"/>
    <n v="0"/>
    <n v="0"/>
    <n v="0"/>
    <n v="23"/>
    <n v="95.83333333333333"/>
    <n v="24"/>
  </r>
  <r>
    <s v="indiadidac"/>
    <s v="yaoydo"/>
    <m/>
    <m/>
    <m/>
    <m/>
    <m/>
    <m/>
    <m/>
    <m/>
    <s v="Yes"/>
    <n v="167"/>
    <m/>
    <m/>
    <x v="2"/>
    <d v="2021-01-26T13:12:00.000"/>
    <s v="Become an integral part of #TIESS2021 and Join the conversation with Mr. Yao Ydo Director, UNESCO International Bureau of Education, Switzerland_x000a_Register now https://t.co/DkjnQ7iwZa_x000a_#TIESSGoesVirtual #UnitingForEducation_x000a_@IBE_UNESCO @YaoYdo _x000a_#TIESSGoesVirtual #UnitingForEducation https://t.co/9DdYy3Ts7L"/>
    <s v="https://www.tiess.online/registration?utm_source=SM&amp;utm_medium=Yao&amp;utm_campaign=TIESS&amp;utm_term=009"/>
    <s v="tiess.online"/>
    <x v="9"/>
    <s v="https://pbs.twimg.com/media/EsqRKBBUUAAc67-.jpg"/>
    <s v="https://pbs.twimg.com/media/EsqRKBBUUAAc67-.jpg"/>
    <x v="103"/>
    <d v="2021-01-26T00:00:00.000"/>
    <s v="13:12:00"/>
    <s v="https://twitter.com/indiadidac/status/1354054483286716417"/>
    <m/>
    <m/>
    <s v="1354054483286716417"/>
    <m/>
    <b v="0"/>
    <n v="8"/>
    <s v=""/>
    <b v="0"/>
    <s v="en"/>
    <m/>
    <s v=""/>
    <b v="0"/>
    <n v="3"/>
    <s v=""/>
    <s v="Twitter Web App"/>
    <b v="0"/>
    <s v="1354054483286716417"/>
    <s v="Tweet"/>
    <n v="0"/>
    <n v="0"/>
    <m/>
    <m/>
    <m/>
    <m/>
    <m/>
    <m/>
    <m/>
    <m/>
    <n v="1"/>
    <s v="1"/>
    <s v="10"/>
    <m/>
    <m/>
    <m/>
    <m/>
    <m/>
    <m/>
    <m/>
    <m/>
    <m/>
  </r>
  <r>
    <s v="ibe_unesco"/>
    <s v="yaoydo"/>
    <m/>
    <m/>
    <m/>
    <m/>
    <m/>
    <m/>
    <m/>
    <m/>
    <s v="Yes"/>
    <n v="168"/>
    <m/>
    <m/>
    <x v="1"/>
    <d v="2021-01-26T13:45:04.000"/>
    <s v="Become an integral part of #TIESS2021 and Join the conversation with Mr. Yao Ydo Director, UNESCO International Bureau of Education, Switzerland_x000a_Register now https://t.co/DkjnQ7iwZa_x000a_#TIESSGoesVirtual #UnitingForEducation_x000a_@IBE_UNESCO @YaoYdo _x000a_#TIESSGoesVirtual #UnitingForEducation https://t.co/9DdYy3Ts7L"/>
    <s v="https://www.tiess.online/registration?utm_source=SM&amp;utm_medium=Yao&amp;utm_campaign=TIESS&amp;utm_term=009"/>
    <s v="tiess.online"/>
    <x v="9"/>
    <s v="https://pbs.twimg.com/media/EsqRKBBUUAAc67-.jpg"/>
    <s v="https://pbs.twimg.com/media/EsqRKBBUUAAc67-.jpg"/>
    <x v="104"/>
    <d v="2021-01-26T00:00:00.000"/>
    <s v="13:45:04"/>
    <s v="https://twitter.com/ibe_unesco/status/1354062802986672128"/>
    <m/>
    <m/>
    <s v="1354062802986672128"/>
    <m/>
    <b v="0"/>
    <n v="0"/>
    <s v=""/>
    <b v="0"/>
    <s v="en"/>
    <m/>
    <s v=""/>
    <b v="0"/>
    <n v="3"/>
    <s v="1354054483286716417"/>
    <s v="Twitter Web App"/>
    <b v="0"/>
    <s v="1354054483286716417"/>
    <s v="Tweet"/>
    <n v="0"/>
    <n v="0"/>
    <m/>
    <m/>
    <m/>
    <m/>
    <m/>
    <m/>
    <m/>
    <m/>
    <n v="1"/>
    <s v="10"/>
    <s v="10"/>
    <m/>
    <m/>
    <m/>
    <m/>
    <m/>
    <m/>
    <m/>
    <m/>
    <m/>
  </r>
  <r>
    <s v="yaoydo"/>
    <s v="ibe_unesco"/>
    <m/>
    <m/>
    <m/>
    <m/>
    <m/>
    <m/>
    <m/>
    <m/>
    <s v="Yes"/>
    <n v="169"/>
    <m/>
    <m/>
    <x v="1"/>
    <d v="2021-01-26T13:45:29.000"/>
    <s v="Become an integral part of #TIESS2021 and Join the conversation with Mr. Yao Ydo Director, UNESCO International Bureau of Education, Switzerland_x000a_Register now https://t.co/DkjnQ7iwZa_x000a_#TIESSGoesVirtual #UnitingForEducation_x000a_@IBE_UNESCO @YaoYdo _x000a_#TIESSGoesVirtual #UnitingForEducation https://t.co/9DdYy3Ts7L"/>
    <s v="https://www.tiess.online/registration?utm_source=SM&amp;utm_medium=Yao&amp;utm_campaign=TIESS&amp;utm_term=009"/>
    <s v="tiess.online"/>
    <x v="9"/>
    <s v="https://pbs.twimg.com/media/EsqRKBBUUAAc67-.jpg"/>
    <s v="https://pbs.twimg.com/media/EsqRKBBUUAAc67-.jpg"/>
    <x v="105"/>
    <d v="2021-01-26T00:00:00.000"/>
    <s v="13:45:29"/>
    <s v="https://twitter.com/yaoydo/status/1354062909417123841"/>
    <m/>
    <m/>
    <s v="1354062909417123841"/>
    <m/>
    <b v="0"/>
    <n v="0"/>
    <s v=""/>
    <b v="0"/>
    <s v="en"/>
    <m/>
    <s v=""/>
    <b v="0"/>
    <n v="3"/>
    <s v="1354054483286716417"/>
    <s v="Twitter Web App"/>
    <b v="0"/>
    <s v="1354054483286716417"/>
    <s v="Tweet"/>
    <n v="0"/>
    <n v="0"/>
    <m/>
    <m/>
    <m/>
    <m/>
    <m/>
    <m/>
    <m/>
    <m/>
    <n v="1"/>
    <s v="10"/>
    <s v="10"/>
    <n v="1"/>
    <n v="3.4482758620689653"/>
    <n v="0"/>
    <n v="0"/>
    <n v="0"/>
    <n v="0"/>
    <n v="28"/>
    <n v="96.55172413793103"/>
    <n v="29"/>
  </r>
  <r>
    <s v="ciet_ncert"/>
    <s v="yaoydo"/>
    <m/>
    <m/>
    <m/>
    <m/>
    <m/>
    <m/>
    <m/>
    <m/>
    <s v="No"/>
    <n v="171"/>
    <m/>
    <m/>
    <x v="1"/>
    <d v="2021-01-26T14:48:18.000"/>
    <s v="Become an integral part of #TIESS2021 and Join the conversation with Mr. Yao Ydo Director, UNESCO International Bureau of Education, Switzerland_x000a_Register now https://t.co/DkjnQ7iwZa_x000a_#TIESSGoesVirtual #UnitingForEducation_x000a_@IBE_UNESCO @YaoYdo _x000a_#TIESSGoesVirtual #UnitingForEducation https://t.co/9DdYy3Ts7L"/>
    <s v="https://www.tiess.online/registration?utm_source=SM&amp;utm_medium=Yao&amp;utm_campaign=TIESS&amp;utm_term=009"/>
    <s v="tiess.online"/>
    <x v="9"/>
    <s v="https://pbs.twimg.com/media/EsqRKBBUUAAc67-.jpg"/>
    <s v="https://pbs.twimg.com/media/EsqRKBBUUAAc67-.jpg"/>
    <x v="106"/>
    <d v="2021-01-26T00:00:00.000"/>
    <s v="14:48:18"/>
    <s v="https://twitter.com/ciet_ncert/status/1354078719250460673"/>
    <m/>
    <m/>
    <s v="1354078719250460673"/>
    <m/>
    <b v="0"/>
    <n v="0"/>
    <s v=""/>
    <b v="0"/>
    <s v="en"/>
    <m/>
    <s v=""/>
    <b v="0"/>
    <n v="3"/>
    <s v="1354054483286716417"/>
    <s v="Twitter for Android"/>
    <b v="0"/>
    <s v="1354054483286716417"/>
    <s v="Tweet"/>
    <n v="0"/>
    <n v="0"/>
    <m/>
    <m/>
    <m/>
    <m/>
    <m/>
    <m/>
    <m/>
    <m/>
    <n v="1"/>
    <s v="10"/>
    <s v="10"/>
    <m/>
    <m/>
    <m/>
    <m/>
    <m/>
    <m/>
    <m/>
    <m/>
    <m/>
  </r>
  <r>
    <s v="indiadidac"/>
    <s v="besatweet"/>
    <m/>
    <m/>
    <m/>
    <m/>
    <m/>
    <m/>
    <m/>
    <m/>
    <s v="No"/>
    <n v="178"/>
    <m/>
    <m/>
    <x v="2"/>
    <d v="2021-01-25T06:11:48.000"/>
    <s v="#TIESS2021 A big shout to all Partnering Org,_x000a_Intl. Associations and Supporting Entities_x000a_@Global_Vic @AWS_Gov @AWS_Edu @awscloud _x000a_@coursera @TCS_iON @iborganization @D2L @NatureNurturecd @TheEWF @besatweet Cell Cove Innovation_x000a_Register: https://t.co/2CnCMab1UY _x000a_#TIESSGoesVirtual https://t.co/M4HS4JxxGn"/>
    <s v="https://www.tiess.online/registration?utm_source=Partners&amp;utm_medium=All&amp;utm_campaign=TIESS&amp;utm_term=039"/>
    <s v="tiess.online"/>
    <x v="0"/>
    <s v="https://pbs.twimg.com/media/EsjncMMVkAEjEeJ.jpg"/>
    <s v="https://pbs.twimg.com/media/EsjncMMVkAEjEeJ.jpg"/>
    <x v="107"/>
    <d v="2021-01-25T00:00:00.000"/>
    <s v="06:11:48"/>
    <s v="https://twitter.com/indiadidac/status/1353586348117028867"/>
    <m/>
    <m/>
    <s v="1353586348117028867"/>
    <m/>
    <b v="0"/>
    <n v="4"/>
    <s v=""/>
    <b v="0"/>
    <s v="en"/>
    <m/>
    <s v=""/>
    <b v="0"/>
    <n v="1"/>
    <s v=""/>
    <s v="Twitter Web App"/>
    <b v="0"/>
    <s v="1353586348117028867"/>
    <s v="Tweet"/>
    <n v="0"/>
    <n v="0"/>
    <m/>
    <m/>
    <m/>
    <m/>
    <m/>
    <m/>
    <m/>
    <m/>
    <n v="3"/>
    <s v="1"/>
    <s v="2"/>
    <m/>
    <m/>
    <m/>
    <m/>
    <m/>
    <m/>
    <m/>
    <m/>
    <m/>
  </r>
  <r>
    <s v="shaireshef"/>
    <s v="besatweet"/>
    <m/>
    <m/>
    <m/>
    <m/>
    <m/>
    <m/>
    <m/>
    <m/>
    <s v="No"/>
    <n v="179"/>
    <m/>
    <m/>
    <x v="1"/>
    <d v="2021-01-26T09:07:42.000"/>
    <s v="#TIESS2021 A big shout to all Partnering Org,_x000a_Intl. Associations and Supporting Entities_x000a_@Global_Vic @AWS_Gov @AWS_Edu @awscloud _x000a_@coursera @TCS_iON @iborganization @D2L @NatureNurturecd @TheEWF @besatweet Cell Cove Innovation_x000a_Register: https://t.co/2CnCMab1UY _x000a_#TIESSGoesVirtual https://t.co/M4HS4JxxGn"/>
    <s v="https://www.tiess.online/registration?utm_source=Partners&amp;utm_medium=All&amp;utm_campaign=TIESS&amp;utm_term=039"/>
    <s v="tiess.online"/>
    <x v="0"/>
    <s v="https://pbs.twimg.com/media/EsjncMMVkAEjEeJ.jpg"/>
    <s v="https://pbs.twimg.com/media/EsjncMMVkAEjEeJ.jpg"/>
    <x v="108"/>
    <d v="2021-01-26T00:00:00.000"/>
    <s v="09:07:42"/>
    <s v="https://twitter.com/shaireshef/status/1353993003128545281"/>
    <m/>
    <m/>
    <s v="1353993003128545281"/>
    <m/>
    <b v="0"/>
    <n v="0"/>
    <s v=""/>
    <b v="0"/>
    <s v="en"/>
    <m/>
    <s v=""/>
    <b v="0"/>
    <n v="1"/>
    <s v="1353586348117028867"/>
    <s v="Twitter Web App"/>
    <b v="0"/>
    <s v="1353586348117028867"/>
    <s v="Tweet"/>
    <n v="0"/>
    <n v="0"/>
    <m/>
    <m/>
    <m/>
    <m/>
    <m/>
    <m/>
    <m/>
    <m/>
    <n v="1"/>
    <s v="2"/>
    <s v="2"/>
    <m/>
    <m/>
    <m/>
    <m/>
    <m/>
    <m/>
    <m/>
    <m/>
    <m/>
  </r>
  <r>
    <s v="indiadidac"/>
    <s v="iborganization"/>
    <m/>
    <m/>
    <m/>
    <m/>
    <m/>
    <m/>
    <m/>
    <m/>
    <s v="No"/>
    <n v="184"/>
    <m/>
    <m/>
    <x v="2"/>
    <d v="2021-01-22T14:44:24.000"/>
    <s v="A phenomenal opportunity to Join the conversation with Ms. Sally Holloway, Deputy Director General, @iborganization, UK, only at #TIESS2021_x000a__x000a_Register now https://t.co/h4rnIADvkD_x000a__x000a_#TIESSGoesVirtual #UnitingForEducation https://t.co/qrXga3bgh0"/>
    <s v="https://www.tiess.online/registration?utm_source=SM&amp;utm_medium=Holloway&amp;utm_campaign=TIESS&amp;utm_term=043"/>
    <s v="tiess.online"/>
    <x v="1"/>
    <s v="https://pbs.twimg.com/media/EsWAGTRU4AEz-dp.jpg"/>
    <s v="https://pbs.twimg.com/media/EsWAGTRU4AEz-dp.jpg"/>
    <x v="109"/>
    <d v="2021-01-22T00:00:00.000"/>
    <s v="14:44:24"/>
    <s v="https://twitter.com/indiadidac/status/1352628185117061123"/>
    <m/>
    <m/>
    <s v="1352628185117061123"/>
    <m/>
    <b v="0"/>
    <n v="0"/>
    <s v=""/>
    <b v="0"/>
    <s v="en"/>
    <m/>
    <s v=""/>
    <b v="0"/>
    <n v="0"/>
    <s v=""/>
    <s v="Twitter Web App"/>
    <b v="0"/>
    <s v="1352628185117061123"/>
    <s v="Tweet"/>
    <n v="0"/>
    <n v="0"/>
    <m/>
    <m/>
    <m/>
    <m/>
    <m/>
    <m/>
    <m/>
    <m/>
    <n v="2"/>
    <s v="1"/>
    <s v="2"/>
    <n v="1"/>
    <n v="4.3478260869565215"/>
    <n v="0"/>
    <n v="0"/>
    <n v="0"/>
    <n v="0"/>
    <n v="22"/>
    <n v="95.65217391304348"/>
    <n v="23"/>
  </r>
  <r>
    <s v="tcs_ion"/>
    <s v="tcs_ion"/>
    <m/>
    <m/>
    <m/>
    <m/>
    <m/>
    <m/>
    <m/>
    <m/>
    <s v="No"/>
    <n v="187"/>
    <m/>
    <m/>
    <x v="3"/>
    <d v="2021-01-25T06:29:45.000"/>
    <s v="We are glad to be the official 'Transformation Partner' at the world’s largest virtual conference for the education and skills sector - The International Education and Skills Summit._x000a__x000a_#TCSiON #TIESS2021 #education #skills https://t.co/DwC2Jaki18"/>
    <s v="https://twitter.com/Indiadidac/status/1353586348117028867"/>
    <s v="twitter.com"/>
    <x v="4"/>
    <m/>
    <s v="https://pbs.twimg.com/profile_images/912616865574219776/s0G4kIoM_normal.jpg"/>
    <x v="110"/>
    <d v="2021-01-25T00:00:00.000"/>
    <s v="06:29:45"/>
    <s v="https://twitter.com/tcs_ion/status/1353590864707162118"/>
    <m/>
    <m/>
    <s v="1353590864707162118"/>
    <m/>
    <b v="0"/>
    <n v="3"/>
    <s v=""/>
    <b v="1"/>
    <s v="en"/>
    <m/>
    <s v="1353586348117028867"/>
    <b v="0"/>
    <n v="1"/>
    <s v=""/>
    <s v="Twitter Web App"/>
    <b v="0"/>
    <s v="1353590864707162118"/>
    <s v="Tweet"/>
    <n v="0"/>
    <n v="0"/>
    <m/>
    <m/>
    <m/>
    <m/>
    <m/>
    <m/>
    <m/>
    <m/>
    <n v="1"/>
    <s v="8"/>
    <s v="8"/>
    <n v="1"/>
    <n v="3.125"/>
    <n v="0"/>
    <n v="0"/>
    <n v="0"/>
    <n v="0"/>
    <n v="31"/>
    <n v="96.875"/>
    <n v="32"/>
  </r>
  <r>
    <s v="indiadidac"/>
    <s v="tcs_ion"/>
    <m/>
    <m/>
    <m/>
    <m/>
    <m/>
    <m/>
    <m/>
    <m/>
    <s v="No"/>
    <n v="188"/>
    <m/>
    <m/>
    <x v="2"/>
    <d v="2021-01-22T10:14:03.000"/>
    <s v="At #TIESS2021 you have the opportunity to listen to the most distinguished leaders in Education. Join the talks with Mr. Krishnan C.A., Business Unit Head-Higher Education, @TCS_iON, Tata Consultancy Services Ltd., India_x000a_Register Now - https://t.co/nUcaDsUPpV_x000a_#TIESSGoesVirtual https://t.co/boQ57Kg0FN"/>
    <s v="https://www.tiess.online/registration?utm_source=SM&amp;utm_medium=Krishnan&amp;utm_campaign=TIESS&amp;utm_term=040"/>
    <s v="tiess.online"/>
    <x v="0"/>
    <s v="https://pbs.twimg.com/media/EsVCOMAVEAIUjPy.jpg"/>
    <s v="https://pbs.twimg.com/media/EsVCOMAVEAIUjPy.jpg"/>
    <x v="111"/>
    <d v="2021-01-22T00:00:00.000"/>
    <s v="10:14:03"/>
    <s v="https://twitter.com/indiadidac/status/1352560149135671299"/>
    <m/>
    <m/>
    <s v="1352560149135671299"/>
    <m/>
    <b v="0"/>
    <n v="1"/>
    <s v=""/>
    <b v="0"/>
    <s v="en"/>
    <m/>
    <s v=""/>
    <b v="0"/>
    <n v="0"/>
    <s v=""/>
    <s v="Twitter Web App"/>
    <b v="0"/>
    <s v="1352560149135671299"/>
    <s v="Tweet"/>
    <n v="0"/>
    <n v="0"/>
    <m/>
    <m/>
    <m/>
    <m/>
    <m/>
    <m/>
    <m/>
    <m/>
    <n v="2"/>
    <s v="1"/>
    <s v="8"/>
    <n v="1"/>
    <n v="2.7027027027027026"/>
    <n v="0"/>
    <n v="0"/>
    <n v="0"/>
    <n v="0"/>
    <n v="36"/>
    <n v="97.29729729729729"/>
    <n v="37"/>
  </r>
  <r>
    <s v="indiadidac"/>
    <s v="coursera"/>
    <m/>
    <m/>
    <m/>
    <m/>
    <m/>
    <m/>
    <m/>
    <m/>
    <s v="No"/>
    <n v="192"/>
    <m/>
    <m/>
    <x v="2"/>
    <d v="2021-01-25T09:25:10.000"/>
    <s v="#TIESS2021 A remarkable opportunity to listen to renowned International Education Leaders. Join the talks Mr. Jeff Maggioncalda, Chief Executive Officer, @Coursera USA_x000a__x000a_Register Now https://t.co/V85BI8j4Y8_x000a__x000a_#TIESSGoesVirtual #UnitingForEducation https://t.co/7eCqcOPd3C"/>
    <s v="https://www.tiess.online/registration?utm_source=Jeff&amp;utm_medium=Coursera&amp;utm_campaign=TIESS&amp;utm_term=039"/>
    <s v="tiess.online"/>
    <x v="1"/>
    <s v="https://pbs.twimg.com/media/EskT0CJVcAAnIcG.jpg"/>
    <s v="https://pbs.twimg.com/media/EskT0CJVcAAnIcG.jpg"/>
    <x v="112"/>
    <d v="2021-01-25T00:00:00.000"/>
    <s v="09:25:10"/>
    <s v="https://twitter.com/indiadidac/status/1353635009425338370"/>
    <m/>
    <m/>
    <s v="1353635009425338370"/>
    <m/>
    <b v="0"/>
    <n v="0"/>
    <s v=""/>
    <b v="0"/>
    <s v="en"/>
    <m/>
    <s v=""/>
    <b v="0"/>
    <n v="0"/>
    <s v=""/>
    <s v="Twitter Web App"/>
    <b v="0"/>
    <s v="1353635009425338370"/>
    <s v="Tweet"/>
    <n v="0"/>
    <n v="0"/>
    <m/>
    <m/>
    <m/>
    <m/>
    <m/>
    <m/>
    <m/>
    <m/>
    <n v="3"/>
    <s v="1"/>
    <s v="2"/>
    <n v="2"/>
    <n v="7.6923076923076925"/>
    <n v="0"/>
    <n v="0"/>
    <n v="0"/>
    <n v="0"/>
    <n v="24"/>
    <n v="92.3076923076923"/>
    <n v="26"/>
  </r>
  <r>
    <s v="indiadidac"/>
    <s v="coursera"/>
    <m/>
    <m/>
    <m/>
    <m/>
    <m/>
    <m/>
    <m/>
    <m/>
    <s v="No"/>
    <n v="193"/>
    <m/>
    <m/>
    <x v="2"/>
    <d v="2021-01-25T09:27:34.000"/>
    <s v="At #TIESS2021 – The International Education &amp;amp; Skill Summit, Join the conversation with Mr. Raghav Gupta_x000a_Managing Director - India &amp;amp; APAC, @Coursera, India_x000a_Register Now https://t.co/eMWJgIDg95_x000a__x000a_#TIESSGoesVirtual #UnitingForEducation https://t.co/NSxsR2wL4X"/>
    <s v="https://www.tiess.online/registration?utm_source=Raghav&amp;utm_medium=Coursera&amp;utm_campaign=TIESS&amp;utm_term=040"/>
    <s v="tiess.online"/>
    <x v="1"/>
    <s v="https://pbs.twimg.com/media/EskUX2gUUAADw5v.jpg"/>
    <s v="https://pbs.twimg.com/media/EskUX2gUUAADw5v.jpg"/>
    <x v="113"/>
    <d v="2021-01-25T00:00:00.000"/>
    <s v="09:27:34"/>
    <s v="https://twitter.com/indiadidac/status/1353635615615541248"/>
    <m/>
    <m/>
    <s v="1353635615615541248"/>
    <m/>
    <b v="0"/>
    <n v="0"/>
    <s v=""/>
    <b v="0"/>
    <s v="en"/>
    <m/>
    <s v=""/>
    <b v="0"/>
    <n v="0"/>
    <s v=""/>
    <s v="Twitter Web App"/>
    <b v="0"/>
    <s v="1353635615615541248"/>
    <s v="Tweet"/>
    <n v="0"/>
    <n v="0"/>
    <m/>
    <m/>
    <m/>
    <m/>
    <m/>
    <m/>
    <m/>
    <m/>
    <n v="3"/>
    <s v="1"/>
    <s v="2"/>
    <n v="1"/>
    <n v="3.8461538461538463"/>
    <n v="0"/>
    <n v="0"/>
    <n v="0"/>
    <n v="0"/>
    <n v="25"/>
    <n v="96.15384615384616"/>
    <n v="26"/>
  </r>
  <r>
    <s v="indiadidac"/>
    <s v="awscloud"/>
    <m/>
    <m/>
    <m/>
    <m/>
    <m/>
    <m/>
    <m/>
    <m/>
    <s v="No"/>
    <n v="195"/>
    <m/>
    <m/>
    <x v="2"/>
    <d v="2021-01-21T06:02:22.000"/>
    <s v="#TIESS2021 Listen to Mr. Jude Sheeran, Lead - International Cloud Innovation Programmes &amp;amp; International Education Strategy, @awscloud UK only at TIESS2021 World’s Largest Virtual Summit for Education_x000a_Register now https://t.co/DUSINWwdnK_x000a__x000a_#TIESSGoesVirtual #UnitingForEducation https://t.co/0lyEhFrNrR"/>
    <s v="https://www.tiess.online/registration?utm_source=SM&amp;utm_medium=Sheeran&amp;utm_campaign=TIESS&amp;utm_term=038"/>
    <s v="tiess.online"/>
    <x v="1"/>
    <s v="https://pbs.twimg.com/media/EsO_BRzU0AEEbdb.jpg"/>
    <s v="https://pbs.twimg.com/media/EsO_BRzU0AEEbdb.jpg"/>
    <x v="114"/>
    <d v="2021-01-21T00:00:00.000"/>
    <s v="06:02:22"/>
    <s v="https://twitter.com/indiadidac/status/1352134421097324545"/>
    <m/>
    <m/>
    <s v="1352134421097324545"/>
    <m/>
    <b v="0"/>
    <n v="4"/>
    <s v=""/>
    <b v="0"/>
    <s v="en"/>
    <m/>
    <s v=""/>
    <b v="0"/>
    <n v="2"/>
    <s v=""/>
    <s v="Twitter Web App"/>
    <b v="0"/>
    <s v="1352134421097324545"/>
    <s v="Tweet"/>
    <n v="0"/>
    <n v="0"/>
    <m/>
    <m/>
    <m/>
    <m/>
    <m/>
    <m/>
    <m/>
    <m/>
    <n v="3"/>
    <s v="1"/>
    <s v="11"/>
    <n v="2"/>
    <n v="6.451612903225806"/>
    <n v="1"/>
    <n v="3.225806451612903"/>
    <n v="0"/>
    <n v="0"/>
    <n v="28"/>
    <n v="90.3225806451613"/>
    <n v="31"/>
  </r>
  <r>
    <s v="indiadidac"/>
    <s v="awscloud"/>
    <m/>
    <m/>
    <m/>
    <m/>
    <m/>
    <m/>
    <m/>
    <m/>
    <s v="No"/>
    <n v="197"/>
    <m/>
    <m/>
    <x v="2"/>
    <d v="2021-01-26T06:42:31.000"/>
    <s v="At #TIESS2021 – The International Education &amp;amp; Skill Summit, Join the conversation with Mr. Lokesh Mehra, _x000a_Head AWS Academy, India &amp;amp; South Asia, WWPS_x000a_Amazon Internet Services Pvt. Ltd (AWS)_x000a_Register Now https://t.co/vzOPYsTPgl_x000a_@awscloud _x000a_#TIESSGoesVirtual #UnitingForEducation https://t.co/wSMQBLKaO1"/>
    <s v="https://www.tiess.online/registration?utm_source=Lokesh&amp;utm_medium=AWS&amp;utm_campaign=TIESS&amp;utm_term=045"/>
    <s v="tiess.online"/>
    <x v="1"/>
    <s v="https://pbs.twimg.com/media/Eso4HfdVkAQoj93.jpg"/>
    <s v="https://pbs.twimg.com/media/Eso4HfdVkAQoj93.jpg"/>
    <x v="115"/>
    <d v="2021-01-26T00:00:00.000"/>
    <s v="06:42:31"/>
    <s v="https://twitter.com/indiadidac/status/1353956465287995392"/>
    <m/>
    <m/>
    <s v="1353956465287995392"/>
    <m/>
    <b v="0"/>
    <n v="2"/>
    <s v=""/>
    <b v="0"/>
    <s v="en"/>
    <m/>
    <s v=""/>
    <b v="0"/>
    <n v="0"/>
    <s v=""/>
    <s v="Twitter Web App"/>
    <b v="0"/>
    <s v="1353956465287995392"/>
    <s v="Tweet"/>
    <n v="0"/>
    <n v="0"/>
    <m/>
    <m/>
    <m/>
    <m/>
    <m/>
    <m/>
    <m/>
    <m/>
    <n v="3"/>
    <s v="1"/>
    <s v="11"/>
    <n v="1"/>
    <n v="2.9411764705882355"/>
    <n v="0"/>
    <n v="0"/>
    <n v="0"/>
    <n v="0"/>
    <n v="33"/>
    <n v="97.05882352941177"/>
    <n v="34"/>
  </r>
  <r>
    <s v="stazanuel"/>
    <s v="shaireshef"/>
    <m/>
    <m/>
    <m/>
    <m/>
    <m/>
    <m/>
    <m/>
    <m/>
    <s v="No"/>
    <n v="205"/>
    <m/>
    <m/>
    <x v="1"/>
    <d v="2021-01-26T16:04:34.000"/>
    <s v="Join #UoPeople Founder &amp;amp; President @ShaiReshef this Thursday, January 28th at #TIESS2021, for a conversation about the future of higher education. Register now: https://t.co/1pRgBo6HKO #TIESSGoesVirtual #UnitingForEducation #TuitionFree #HigherEducation https://t.co/EoPE1GUvqC"/>
    <s v="https://bit.ly/3oTtvE6"/>
    <s v="bit.ly"/>
    <x v="10"/>
    <s v="https://pbs.twimg.com/media/Esq4fzDXcAAqKOj.jpg"/>
    <s v="https://pbs.twimg.com/media/Esq4fzDXcAAqKOj.jpg"/>
    <x v="116"/>
    <d v="2021-01-26T00:00:00.000"/>
    <s v="16:04:34"/>
    <s v="https://twitter.com/stazanuel/status/1354097912154890246"/>
    <m/>
    <m/>
    <s v="1354097912154890246"/>
    <m/>
    <b v="0"/>
    <n v="0"/>
    <s v=""/>
    <b v="0"/>
    <s v="en"/>
    <m/>
    <s v=""/>
    <b v="0"/>
    <n v="2"/>
    <s v="1354097498713939968"/>
    <s v="Twitter for Android"/>
    <b v="0"/>
    <s v="1354097498713939968"/>
    <s v="Tweet"/>
    <n v="0"/>
    <n v="0"/>
    <m/>
    <m/>
    <m/>
    <m/>
    <m/>
    <m/>
    <m/>
    <m/>
    <n v="1"/>
    <s v="2"/>
    <s v="2"/>
    <m/>
    <m/>
    <m/>
    <m/>
    <m/>
    <m/>
    <m/>
    <m/>
    <m/>
  </r>
  <r>
    <s v="indiadidac"/>
    <s v="uopeople"/>
    <m/>
    <m/>
    <m/>
    <m/>
    <m/>
    <m/>
    <m/>
    <m/>
    <s v="Yes"/>
    <n v="207"/>
    <m/>
    <m/>
    <x v="2"/>
    <d v="2021-01-19T11:46:04.000"/>
    <s v="#TIESS2021 – A great opportunity to Join the conversation with @ShaiReshef , Founder, University of the People, USA only at The International Education &amp;amp; Skill Summit. @UoPeople _x000a_Register Now - https://t.co/IR6Q2OKDOt_x000a__x000a_#TIESSGoesVirtual  #UnitingForEducation https://t.co/ohbFqaOo4f"/>
    <s v="https://www.tiess.online/registration?utm_source=SM&amp;utm_medium=Rashef&amp;utm_campaign=TIESS&amp;utm_term=020"/>
    <s v="tiess.online"/>
    <x v="1"/>
    <s v="https://pbs.twimg.com/media/EsF6A6rU0AAESdA.jpg"/>
    <s v="https://pbs.twimg.com/media/EsF6A6rU0AAESdA.jpg"/>
    <x v="117"/>
    <d v="2021-01-19T00:00:00.000"/>
    <s v="11:46:04"/>
    <s v="https://twitter.com/indiadidac/status/1351496140764504065"/>
    <m/>
    <m/>
    <s v="1351496140764504065"/>
    <m/>
    <b v="0"/>
    <n v="7"/>
    <s v=""/>
    <b v="0"/>
    <s v="en"/>
    <m/>
    <s v=""/>
    <b v="0"/>
    <n v="2"/>
    <s v=""/>
    <s v="Twitter Web App"/>
    <b v="0"/>
    <s v="1351496140764504065"/>
    <s v="Tweet"/>
    <n v="0"/>
    <n v="0"/>
    <m/>
    <m/>
    <m/>
    <m/>
    <m/>
    <m/>
    <m/>
    <m/>
    <n v="1"/>
    <s v="1"/>
    <s v="2"/>
    <m/>
    <m/>
    <m/>
    <m/>
    <m/>
    <m/>
    <m/>
    <m/>
    <m/>
  </r>
  <r>
    <s v="uopeople"/>
    <s v="shaireshef"/>
    <m/>
    <m/>
    <m/>
    <m/>
    <m/>
    <m/>
    <m/>
    <m/>
    <s v="No"/>
    <n v="208"/>
    <m/>
    <m/>
    <x v="1"/>
    <d v="2021-01-19T12:32:25.000"/>
    <s v="#TIESS2021 – A great opportunity to Join the conversation with @ShaiReshef , Founder, University of the People, USA only at The International Education &amp;amp; Skill Summit. @UoPeople _x000a_Register Now - https://t.co/IR6Q2OKDOt_x000a__x000a_#TIESSGoesVirtual  #UnitingForEducation https://t.co/ohbFqaOo4f"/>
    <s v="https://www.tiess.online/registration?utm_source=SM&amp;utm_medium=Rashef&amp;utm_campaign=TIESS&amp;utm_term=020"/>
    <s v="tiess.online"/>
    <x v="1"/>
    <s v="https://pbs.twimg.com/media/EsF6A6rU0AAESdA.jpg"/>
    <s v="https://pbs.twimg.com/media/EsF6A6rU0AAESdA.jpg"/>
    <x v="118"/>
    <d v="2021-01-19T00:00:00.000"/>
    <s v="12:32:25"/>
    <s v="https://twitter.com/uopeople/status/1351507806915096578"/>
    <m/>
    <m/>
    <s v="1351507806915096578"/>
    <m/>
    <b v="0"/>
    <n v="0"/>
    <s v=""/>
    <b v="0"/>
    <s v="en"/>
    <m/>
    <s v=""/>
    <b v="0"/>
    <n v="2"/>
    <s v="1351496140764504065"/>
    <s v="Twitter Web App"/>
    <b v="0"/>
    <s v="1351496140764504065"/>
    <s v="Tweet"/>
    <n v="0"/>
    <n v="0"/>
    <m/>
    <m/>
    <m/>
    <m/>
    <m/>
    <m/>
    <m/>
    <m/>
    <n v="1"/>
    <s v="2"/>
    <s v="2"/>
    <n v="2"/>
    <n v="6.896551724137931"/>
    <n v="0"/>
    <n v="0"/>
    <n v="0"/>
    <n v="0"/>
    <n v="27"/>
    <n v="93.10344827586206"/>
    <n v="29"/>
  </r>
  <r>
    <s v="uopeople"/>
    <s v="shaireshef"/>
    <m/>
    <m/>
    <m/>
    <m/>
    <m/>
    <m/>
    <m/>
    <m/>
    <s v="No"/>
    <n v="210"/>
    <m/>
    <m/>
    <x v="2"/>
    <d v="2021-01-26T16:02:56.000"/>
    <s v="Join #UoPeople Founder &amp;amp; President @ShaiReshef this Thursday, January 28th at #TIESS2021, for a conversation about the future of higher education. Register now: https://t.co/1pRgBo6HKO #TIESSGoesVirtual #UnitingForEducation #TuitionFree #HigherEducation https://t.co/EoPE1GUvqC"/>
    <s v="https://bit.ly/3oTtvE6"/>
    <s v="bit.ly"/>
    <x v="10"/>
    <s v="https://pbs.twimg.com/media/Esq4fzDXcAAqKOj.jpg"/>
    <s v="https://pbs.twimg.com/media/Esq4fzDXcAAqKOj.jpg"/>
    <x v="119"/>
    <d v="2021-01-26T00:00:00.000"/>
    <s v="16:02:56"/>
    <s v="https://twitter.com/uopeople/status/1354097498713939968"/>
    <m/>
    <m/>
    <s v="1354097498713939968"/>
    <m/>
    <b v="0"/>
    <n v="8"/>
    <s v=""/>
    <b v="0"/>
    <s v="en"/>
    <m/>
    <s v=""/>
    <b v="0"/>
    <n v="2"/>
    <s v=""/>
    <s v="Falcon Social Media Management "/>
    <b v="0"/>
    <s v="1354097498713939968"/>
    <s v="Tweet"/>
    <n v="0"/>
    <n v="0"/>
    <m/>
    <m/>
    <m/>
    <m/>
    <m/>
    <m/>
    <m/>
    <m/>
    <n v="1"/>
    <s v="2"/>
    <s v="2"/>
    <n v="0"/>
    <n v="0"/>
    <n v="0"/>
    <n v="0"/>
    <n v="0"/>
    <n v="0"/>
    <n v="27"/>
    <n v="100"/>
    <n v="27"/>
  </r>
  <r>
    <s v="yinkaadeosun"/>
    <s v="uopeople"/>
    <m/>
    <m/>
    <m/>
    <m/>
    <m/>
    <m/>
    <m/>
    <m/>
    <s v="No"/>
    <n v="211"/>
    <m/>
    <m/>
    <x v="0"/>
    <d v="2021-01-26T16:17:48.000"/>
    <s v="Join #UoPeople Founder &amp;amp; President @ShaiReshef this Thursday, January 28th at #TIESS2021, for a conversation about the future of higher education. Register now: https://t.co/1pRgBo6HKO #TIESSGoesVirtual #UnitingForEducation #TuitionFree #HigherEducation https://t.co/EoPE1GUvqC"/>
    <s v="https://bit.ly/3oTtvE6"/>
    <s v="bit.ly"/>
    <x v="10"/>
    <s v="https://pbs.twimg.com/media/Esq4fzDXcAAqKOj.jpg"/>
    <s v="https://pbs.twimg.com/media/Esq4fzDXcAAqKOj.jpg"/>
    <x v="120"/>
    <d v="2021-01-26T00:00:00.000"/>
    <s v="16:17:48"/>
    <s v="https://twitter.com/yinkaadeosun/status/1354101241673084930"/>
    <m/>
    <m/>
    <s v="1354101241673084930"/>
    <m/>
    <b v="0"/>
    <n v="0"/>
    <s v=""/>
    <b v="0"/>
    <s v="en"/>
    <m/>
    <s v=""/>
    <b v="0"/>
    <n v="2"/>
    <s v="1354097498713939968"/>
    <s v="Twitter for Android"/>
    <b v="0"/>
    <s v="1354097498713939968"/>
    <s v="Tweet"/>
    <n v="0"/>
    <n v="0"/>
    <m/>
    <m/>
    <m/>
    <m/>
    <m/>
    <m/>
    <m/>
    <m/>
    <n v="1"/>
    <s v="2"/>
    <s v="2"/>
    <m/>
    <m/>
    <m/>
    <m/>
    <m/>
    <m/>
    <m/>
    <m/>
    <m/>
  </r>
  <r>
    <s v="davidbartram_"/>
    <s v="susandouglas70"/>
    <m/>
    <m/>
    <m/>
    <m/>
    <m/>
    <m/>
    <m/>
    <m/>
    <s v="No"/>
    <n v="213"/>
    <m/>
    <m/>
    <x v="0"/>
    <d v="2021-01-26T21:13:31.000"/>
    <s v="I'm hosting a couple of panels at this exciting event running later this week - one on empathy and the second on the balance between competition and collaboration! Do join me if you are able #TIESS2021 https://t.co/HhEaIrhBft"/>
    <m/>
    <m/>
    <x v="2"/>
    <s v="https://pbs.twimg.com/media/Esr9_d8XAAYPmIq.jpg"/>
    <s v="https://pbs.twimg.com/media/Esr9_d8XAAYPmIq.jpg"/>
    <x v="121"/>
    <d v="2021-01-26T00:00:00.000"/>
    <s v="21:13:31"/>
    <s v="https://twitter.com/davidbartram_/status/1354175658981777413"/>
    <m/>
    <m/>
    <s v="1354175658981777413"/>
    <m/>
    <b v="0"/>
    <n v="0"/>
    <s v=""/>
    <b v="0"/>
    <s v="en"/>
    <m/>
    <s v=""/>
    <b v="0"/>
    <n v="3"/>
    <s v="1354174831877623809"/>
    <s v="Twitter for iPhone"/>
    <b v="0"/>
    <s v="1354174831877623809"/>
    <s v="Tweet"/>
    <n v="0"/>
    <n v="0"/>
    <m/>
    <m/>
    <m/>
    <m/>
    <m/>
    <m/>
    <m/>
    <m/>
    <n v="1"/>
    <s v="7"/>
    <s v="7"/>
    <n v="2"/>
    <n v="5.714285714285714"/>
    <n v="0"/>
    <n v="0"/>
    <n v="0"/>
    <n v="0"/>
    <n v="33"/>
    <n v="94.28571428571429"/>
    <n v="35"/>
  </r>
  <r>
    <s v="creativehigg"/>
    <s v="susandouglas70"/>
    <m/>
    <m/>
    <m/>
    <m/>
    <m/>
    <m/>
    <m/>
    <m/>
    <s v="No"/>
    <n v="214"/>
    <m/>
    <m/>
    <x v="0"/>
    <d v="2021-01-26T21:15:28.000"/>
    <s v="I'm hosting a couple of panels at this exciting event running later this week - one on empathy and the second on the balance between competition and collaboration! Do join me if you are able #TIESS2021 https://t.co/HhEaIrhBft"/>
    <m/>
    <m/>
    <x v="2"/>
    <s v="https://pbs.twimg.com/media/Esr9_d8XAAYPmIq.jpg"/>
    <s v="https://pbs.twimg.com/media/Esr9_d8XAAYPmIq.jpg"/>
    <x v="122"/>
    <d v="2021-01-26T00:00:00.000"/>
    <s v="21:15:28"/>
    <s v="https://twitter.com/creativehigg/status/1354176149665021956"/>
    <m/>
    <m/>
    <s v="1354176149665021956"/>
    <m/>
    <b v="0"/>
    <n v="0"/>
    <s v=""/>
    <b v="0"/>
    <s v="en"/>
    <m/>
    <s v=""/>
    <b v="0"/>
    <n v="3"/>
    <s v="1354174831877623809"/>
    <s v="Twitter for Android"/>
    <b v="0"/>
    <s v="1354174831877623809"/>
    <s v="Tweet"/>
    <n v="0"/>
    <n v="0"/>
    <m/>
    <m/>
    <m/>
    <m/>
    <m/>
    <m/>
    <m/>
    <m/>
    <n v="1"/>
    <s v="7"/>
    <s v="7"/>
    <n v="2"/>
    <n v="5.714285714285714"/>
    <n v="0"/>
    <n v="0"/>
    <n v="0"/>
    <n v="0"/>
    <n v="33"/>
    <n v="94.28571428571429"/>
    <n v="35"/>
  </r>
  <r>
    <s v="susandouglas70"/>
    <s v="susandouglas70"/>
    <m/>
    <m/>
    <m/>
    <m/>
    <m/>
    <m/>
    <m/>
    <m/>
    <s v="No"/>
    <n v="215"/>
    <m/>
    <m/>
    <x v="3"/>
    <d v="2021-01-26T21:10:13.000"/>
    <s v="I'm hosting a couple of panels at this exciting event running later this week - one on empathy and the second on the balance between competition and collaboration! Do join me if you are able #TIESS2021 https://t.co/HhEaIrhBft"/>
    <m/>
    <m/>
    <x v="2"/>
    <s v="https://pbs.twimg.com/media/Esr9_d8XAAYPmIq.jpg"/>
    <s v="https://pbs.twimg.com/media/Esr9_d8XAAYPmIq.jpg"/>
    <x v="123"/>
    <d v="2021-01-26T00:00:00.000"/>
    <s v="21:10:13"/>
    <s v="https://twitter.com/susandouglas70/status/1354174831877623809"/>
    <m/>
    <m/>
    <s v="1354174831877623809"/>
    <m/>
    <b v="0"/>
    <n v="8"/>
    <s v=""/>
    <b v="0"/>
    <s v="en"/>
    <m/>
    <s v=""/>
    <b v="0"/>
    <n v="3"/>
    <s v=""/>
    <s v="Twitter Web App"/>
    <b v="0"/>
    <s v="1354174831877623809"/>
    <s v="Tweet"/>
    <n v="0"/>
    <n v="0"/>
    <m/>
    <m/>
    <m/>
    <m/>
    <m/>
    <m/>
    <m/>
    <m/>
    <n v="1"/>
    <s v="7"/>
    <s v="7"/>
    <n v="2"/>
    <n v="5.714285714285714"/>
    <n v="0"/>
    <n v="0"/>
    <n v="0"/>
    <n v="0"/>
    <n v="33"/>
    <n v="94.28571428571429"/>
    <n v="35"/>
  </r>
  <r>
    <s v="olgatoulk"/>
    <s v="susandouglas70"/>
    <m/>
    <m/>
    <m/>
    <m/>
    <m/>
    <m/>
    <m/>
    <m/>
    <s v="No"/>
    <n v="216"/>
    <m/>
    <m/>
    <x v="0"/>
    <d v="2021-01-26T22:41:16.000"/>
    <s v="I'm hosting a couple of panels at this exciting event running later this week - one on empathy and the second on the balance between competition and collaboration! Do join me if you are able #TIESS2021 https://t.co/HhEaIrhBft"/>
    <m/>
    <m/>
    <x v="2"/>
    <s v="https://pbs.twimg.com/media/Esr9_d8XAAYPmIq.jpg"/>
    <s v="https://pbs.twimg.com/media/Esr9_d8XAAYPmIq.jpg"/>
    <x v="124"/>
    <d v="2021-01-26T00:00:00.000"/>
    <s v="22:41:16"/>
    <s v="https://twitter.com/olgatoulk/status/1354197742827012098"/>
    <m/>
    <m/>
    <s v="1354197742827012098"/>
    <m/>
    <b v="0"/>
    <n v="0"/>
    <s v=""/>
    <b v="0"/>
    <s v="en"/>
    <m/>
    <s v=""/>
    <b v="0"/>
    <n v="3"/>
    <s v="1354174831877623809"/>
    <s v="Twitter for Android"/>
    <b v="0"/>
    <s v="1354174831877623809"/>
    <s v="Tweet"/>
    <n v="0"/>
    <n v="0"/>
    <m/>
    <m/>
    <m/>
    <m/>
    <m/>
    <m/>
    <m/>
    <m/>
    <n v="1"/>
    <s v="7"/>
    <s v="7"/>
    <n v="2"/>
    <n v="5.714285714285714"/>
    <n v="0"/>
    <n v="0"/>
    <n v="0"/>
    <n v="0"/>
    <n v="33"/>
    <n v="94.28571428571429"/>
    <n v="35"/>
  </r>
  <r>
    <s v="indiadidac"/>
    <s v="indiadidac"/>
    <m/>
    <m/>
    <m/>
    <m/>
    <m/>
    <m/>
    <m/>
    <m/>
    <s v="No"/>
    <n v="217"/>
    <m/>
    <m/>
    <x v="3"/>
    <d v="2021-01-19T09:08:04.000"/>
    <s v="#TIESS2021 - The world's largest virtual conference on education and skills sector, is all set to unite the global education leaders to collaborate for thoughtful deliberations &amp;amp; discussion on the Future of Education. _x000a__x000a_Register now - https://t.co/dmY6H0s4ZC _x000a__x000a_#TIESSGoesVirtual https://t.co/goVAOAnvt6"/>
    <s v="https://www.tiess.online/registration?utm_source=Twitter&amp;utm_medium=IDA&amp;utm_campaign=TIESS&amp;utm_term=006"/>
    <s v="tiess.online"/>
    <x v="0"/>
    <s v="https://pbs.twimg.com/ext_tw_video_thumb/1351455582709051392/pu/img/HHqo-Y-cvh93oOF6.jpg"/>
    <s v="https://pbs.twimg.com/ext_tw_video_thumb/1351455582709051392/pu/img/HHqo-Y-cvh93oOF6.jpg"/>
    <x v="125"/>
    <d v="2021-01-19T00:00:00.000"/>
    <s v="09:08:04"/>
    <s v="https://twitter.com/indiadidac/status/1351456379308036104"/>
    <m/>
    <m/>
    <s v="1351456379308036104"/>
    <m/>
    <b v="0"/>
    <n v="5"/>
    <s v=""/>
    <b v="0"/>
    <s v="en"/>
    <m/>
    <s v=""/>
    <b v="0"/>
    <n v="1"/>
    <s v=""/>
    <s v="TweetDeck"/>
    <b v="0"/>
    <s v="1351456379308036104"/>
    <s v="Retweet"/>
    <n v="0"/>
    <n v="0"/>
    <m/>
    <m/>
    <m/>
    <m/>
    <m/>
    <m/>
    <m/>
    <m/>
    <n v="20"/>
    <s v="1"/>
    <s v="1"/>
    <n v="1"/>
    <n v="2.857142857142857"/>
    <n v="0"/>
    <n v="0"/>
    <n v="0"/>
    <n v="0"/>
    <n v="34"/>
    <n v="97.14285714285714"/>
    <n v="35"/>
  </r>
  <r>
    <s v="indiadidac"/>
    <s v="indiadidac"/>
    <m/>
    <m/>
    <m/>
    <m/>
    <m/>
    <m/>
    <m/>
    <m/>
    <s v="No"/>
    <n v="218"/>
    <m/>
    <m/>
    <x v="3"/>
    <d v="2021-01-19T11:43:21.000"/>
    <s v="#TIESS2021 _x000a_Join the conversation with H.E. Mr. Almazbek Beishenaliev_x000a_Minister of Education and Science, Government of Kyrgyzstan, Kyrgyzstan_x000a_Register now https://t.co/gBuJoPR2rY_x000a__x000a_#TIESSGoesVirtual #UnitingForEducation https://t.co/upcQqidf64"/>
    <s v="https://www.tiess.online/registration?utm_source=SM&amp;utm_medium=Almazbek&amp;utm_campaign=TIESS&amp;utm_term=004"/>
    <s v="tiess.online"/>
    <x v="1"/>
    <s v="https://pbs.twimg.com/media/EsF5W_1VEAQaMhX.jpg"/>
    <s v="https://pbs.twimg.com/media/EsF5W_1VEAQaMhX.jpg"/>
    <x v="126"/>
    <d v="2021-01-19T00:00:00.000"/>
    <s v="11:43:21"/>
    <s v="https://twitter.com/indiadidac/status/1351495458422591491"/>
    <m/>
    <m/>
    <s v="1351495458422591491"/>
    <m/>
    <b v="0"/>
    <n v="4"/>
    <s v=""/>
    <b v="0"/>
    <s v="en"/>
    <m/>
    <s v=""/>
    <b v="0"/>
    <n v="0"/>
    <s v=""/>
    <s v="Twitter Web App"/>
    <b v="0"/>
    <s v="1351495458422591491"/>
    <s v="Tweet"/>
    <n v="0"/>
    <n v="0"/>
    <m/>
    <m/>
    <m/>
    <m/>
    <m/>
    <m/>
    <m/>
    <m/>
    <n v="20"/>
    <s v="1"/>
    <s v="1"/>
    <n v="0"/>
    <n v="0"/>
    <n v="0"/>
    <n v="0"/>
    <n v="0"/>
    <n v="0"/>
    <n v="23"/>
    <n v="100"/>
    <n v="23"/>
  </r>
  <r>
    <s v="indiadidac"/>
    <s v="indiadidac"/>
    <m/>
    <m/>
    <m/>
    <m/>
    <m/>
    <m/>
    <m/>
    <m/>
    <s v="No"/>
    <n v="220"/>
    <m/>
    <m/>
    <x v="3"/>
    <d v="2021-01-22T05:52:16.000"/>
    <s v="Get amazing insights on advancement in education only at #TIESS2021. Join the talks with Ms. Diana Makau, Principal Research Officer, Kenya National Examinations Council, Kenya, Register Now: https://t.co/NZhiXJgvFw_x000a__x000a_#TIESSGoesVirtual #UnitingForEducation https://t.co/29XdGcPe41"/>
    <s v="https://www.tiess.online/registration?utm_source=Makau&amp;utm_medium=Email&amp;utm_campaign=TIESS&amp;utm_term=011"/>
    <s v="tiess.online"/>
    <x v="1"/>
    <s v="https://pbs.twimg.com/media/EsUGTaDUUAE-Kmu.jpg"/>
    <s v="https://pbs.twimg.com/media/EsUGTaDUUAE-Kmu.jpg"/>
    <x v="127"/>
    <d v="2021-01-22T00:00:00.000"/>
    <s v="05:52:16"/>
    <s v="https://twitter.com/indiadidac/status/1352494269450207234"/>
    <m/>
    <m/>
    <s v="1352494269450207234"/>
    <m/>
    <b v="0"/>
    <n v="1"/>
    <s v=""/>
    <b v="0"/>
    <s v="en"/>
    <m/>
    <s v=""/>
    <b v="0"/>
    <n v="0"/>
    <s v=""/>
    <s v="Twitter Web App"/>
    <b v="0"/>
    <s v="1352494269450207234"/>
    <s v="Tweet"/>
    <n v="0"/>
    <n v="0"/>
    <m/>
    <m/>
    <m/>
    <m/>
    <m/>
    <m/>
    <m/>
    <m/>
    <n v="20"/>
    <s v="1"/>
    <s v="1"/>
    <n v="1"/>
    <n v="3.4482758620689653"/>
    <n v="0"/>
    <n v="0"/>
    <n v="0"/>
    <n v="0"/>
    <n v="28"/>
    <n v="96.55172413793103"/>
    <n v="29"/>
  </r>
  <r>
    <s v="indiadidac"/>
    <s v="indiadidac"/>
    <m/>
    <m/>
    <m/>
    <m/>
    <m/>
    <m/>
    <m/>
    <m/>
    <s v="No"/>
    <n v="221"/>
    <m/>
    <m/>
    <x v="3"/>
    <d v="2021-01-22T08:08:53.000"/>
    <s v="#TIESS2021 An outstanding opportunity to listen to renowned International Education Leaders. Join the talks with Mr. Mart Laidmets, Secretary General of  Education and Research, Government of Estonia, Estonia_x000a_Register Now https://t.co/4p1pEoPVub_x000a__x000a_#TIESSGoesVirtual https://t.co/QCXSF2pA0O"/>
    <s v="https://www.tiess.online/registration?utm_source=Mart&amp;utm_medium=Email&amp;utm_campaign=TIESS&amp;utm_term=018"/>
    <s v="tiess.online"/>
    <x v="0"/>
    <s v="https://pbs.twimg.com/media/EsUlmPyVkAAkQct.jpg"/>
    <s v="https://pbs.twimg.com/media/EsUlmPyVkAAkQct.jpg"/>
    <x v="128"/>
    <d v="2021-01-22T00:00:00.000"/>
    <s v="08:08:53"/>
    <s v="https://twitter.com/indiadidac/status/1352528648272629761"/>
    <m/>
    <m/>
    <s v="1352528648272629761"/>
    <m/>
    <b v="0"/>
    <n v="2"/>
    <s v=""/>
    <b v="0"/>
    <s v="en"/>
    <m/>
    <s v=""/>
    <b v="0"/>
    <n v="1"/>
    <s v=""/>
    <s v="Twitter Web App"/>
    <b v="0"/>
    <s v="1352528648272629761"/>
    <s v="Tweet"/>
    <n v="0"/>
    <n v="0"/>
    <m/>
    <m/>
    <m/>
    <m/>
    <m/>
    <m/>
    <m/>
    <m/>
    <n v="20"/>
    <s v="1"/>
    <s v="1"/>
    <n v="2"/>
    <n v="6.451612903225806"/>
    <n v="0"/>
    <n v="0"/>
    <n v="0"/>
    <n v="0"/>
    <n v="29"/>
    <n v="93.54838709677419"/>
    <n v="31"/>
  </r>
  <r>
    <s v="indiadidac"/>
    <s v="indiadidac"/>
    <m/>
    <m/>
    <m/>
    <m/>
    <m/>
    <m/>
    <m/>
    <m/>
    <s v="No"/>
    <n v="222"/>
    <m/>
    <m/>
    <x v="3"/>
    <d v="2021-01-22T09:31:47.000"/>
    <s v="#TIESS2021 Deliberate on the Future of Education with renowned International Education Leaders. _x000a_Join the Dialogue with H.E. Mme Sengdeuane Lachanthaboun, Minister for Education and Sports, Government of Lao PDR, Lao PDR_x000a_Register Now https://t.co/0SS17iep3q_x000a__x000a_#TIESSGoesVirtual https://t.co/uvfRHNTGfJ"/>
    <s v="https://www.tiess.online/registration?utm_source=Lachanthaboun&amp;utm_medium=Email&amp;utm_campaign=TIESS&amp;utm_term=020"/>
    <s v="tiess.online"/>
    <x v="0"/>
    <s v="https://pbs.twimg.com/media/EsU4ma5UUAEoZPL.jpg"/>
    <s v="https://pbs.twimg.com/media/EsU4ma5UUAEoZPL.jpg"/>
    <x v="129"/>
    <d v="2021-01-22T00:00:00.000"/>
    <s v="09:31:47"/>
    <s v="https://twitter.com/indiadidac/status/1352549511986434050"/>
    <m/>
    <m/>
    <s v="1352549511986434050"/>
    <m/>
    <b v="0"/>
    <n v="1"/>
    <s v=""/>
    <b v="0"/>
    <s v="en"/>
    <m/>
    <s v=""/>
    <b v="0"/>
    <n v="0"/>
    <s v=""/>
    <s v="Twitter Web App"/>
    <b v="0"/>
    <s v="1352549511986434050"/>
    <s v="Tweet"/>
    <n v="0"/>
    <n v="0"/>
    <m/>
    <m/>
    <m/>
    <m/>
    <m/>
    <m/>
    <m/>
    <m/>
    <n v="20"/>
    <s v="1"/>
    <s v="1"/>
    <n v="1"/>
    <n v="2.857142857142857"/>
    <n v="0"/>
    <n v="0"/>
    <n v="0"/>
    <n v="0"/>
    <n v="34"/>
    <n v="97.14285714285714"/>
    <n v="35"/>
  </r>
  <r>
    <s v="indiadidac"/>
    <s v="indiadidac"/>
    <m/>
    <m/>
    <m/>
    <m/>
    <m/>
    <m/>
    <m/>
    <m/>
    <s v="No"/>
    <n v="223"/>
    <m/>
    <m/>
    <x v="3"/>
    <d v="2021-01-22T11:01:37.000"/>
    <s v="At #TIESS2021 Join the talks with_x000a_Dr. Teerakiat Jareonsettasin, Chair, National _x000a_PISA Committee - OECD &amp;amp; President, Foundation for Good Kids, Former Minister of Education, Thailand_x000a__x000a_Register Now https://t.co/IPBFFyM8Wr_x000a_#TIESSGoesVirtual #UnitingForEducation https://t.co/mjkzj8Umz9"/>
    <s v="https://www.tiess.online/registration?utm_source=Teerakiat&amp;utm_medium=Email&amp;utm_campaign=TIESS&amp;utm_term=013"/>
    <s v="tiess.online"/>
    <x v="1"/>
    <s v="https://pbs.twimg.com/media/EsVNJAiVkAArcVt.jpg"/>
    <s v="https://pbs.twimg.com/media/EsVNJAiVkAArcVt.jpg"/>
    <x v="130"/>
    <d v="2021-01-22T00:00:00.000"/>
    <s v="11:01:37"/>
    <s v="https://twitter.com/indiadidac/status/1352572120753033218"/>
    <m/>
    <m/>
    <s v="1352572120753033218"/>
    <m/>
    <b v="0"/>
    <n v="3"/>
    <s v=""/>
    <b v="0"/>
    <s v="en"/>
    <m/>
    <s v=""/>
    <b v="0"/>
    <n v="0"/>
    <s v=""/>
    <s v="Twitter Web App"/>
    <b v="0"/>
    <s v="1352572120753033218"/>
    <s v="Tweet"/>
    <n v="0"/>
    <n v="0"/>
    <m/>
    <m/>
    <m/>
    <m/>
    <m/>
    <m/>
    <m/>
    <m/>
    <n v="20"/>
    <s v="1"/>
    <s v="1"/>
    <n v="1"/>
    <n v="3.4482758620689653"/>
    <n v="0"/>
    <n v="0"/>
    <n v="0"/>
    <n v="0"/>
    <n v="28"/>
    <n v="96.55172413793103"/>
    <n v="29"/>
  </r>
  <r>
    <s v="indiadidac"/>
    <s v="sambeckertweets"/>
    <m/>
    <m/>
    <m/>
    <m/>
    <m/>
    <m/>
    <m/>
    <m/>
    <s v="No"/>
    <n v="224"/>
    <m/>
    <m/>
    <x v="2"/>
    <d v="2021-01-22T11:30:53.000"/>
    <s v="At #TIESS2021 Participate in conversations with _x000a_Ms. Samantha Adams Becker, Executive Director, _x000a_Creative &amp;amp; Communications, Arizona State University, _x000a_USA @sambeckertweets_x000a_Register Now - https://t.co/xQ2t3hG8zB_x000a__x000a_#TIESSGoesVirtual #UnitingForEducation https://t.co/Sz2BynyLWm"/>
    <s v="https://www.tiess.online/registration?utm_source=SM&amp;utm_medium=Becker&amp;utm_campaign=TIESS&amp;utm_term=026"/>
    <s v="tiess.online"/>
    <x v="1"/>
    <s v="https://pbs.twimg.com/media/EsVT05tVoAA5wEz.jpg"/>
    <s v="https://pbs.twimg.com/media/EsVT05tVoAA5wEz.jpg"/>
    <x v="131"/>
    <d v="2021-01-22T00:00:00.000"/>
    <s v="11:30:53"/>
    <s v="https://twitter.com/indiadidac/status/1352579484180860929"/>
    <m/>
    <m/>
    <s v="1352579484180860929"/>
    <m/>
    <b v="0"/>
    <n v="2"/>
    <s v=""/>
    <b v="0"/>
    <s v="en"/>
    <m/>
    <s v=""/>
    <b v="0"/>
    <n v="0"/>
    <s v=""/>
    <s v="Twitter Web App"/>
    <b v="0"/>
    <s v="1352579484180860929"/>
    <s v="Tweet"/>
    <n v="0"/>
    <n v="0"/>
    <m/>
    <m/>
    <m/>
    <m/>
    <m/>
    <m/>
    <m/>
    <m/>
    <n v="1"/>
    <s v="1"/>
    <s v="1"/>
    <n v="1"/>
    <n v="4.166666666666667"/>
    <n v="0"/>
    <n v="0"/>
    <n v="0"/>
    <n v="0"/>
    <n v="23"/>
    <n v="95.83333333333333"/>
    <n v="24"/>
  </r>
  <r>
    <s v="indiadidac"/>
    <s v="indiadidac"/>
    <m/>
    <m/>
    <m/>
    <m/>
    <m/>
    <m/>
    <m/>
    <m/>
    <s v="No"/>
    <n v="225"/>
    <m/>
    <m/>
    <x v="3"/>
    <d v="2021-01-22T12:07:55.000"/>
    <s v="At #TIESS2021 – The International Education &amp;amp; Skill Summit, Join the conversation on Future of Education with Mr. Luis Pinto, Former Global Operations Partner,  _x000a_Learn Capital, USA_x000a_Register Now https://t.co/7QwiqO1FNe _x000a__x000a_#TIESSGoesVirtual #UnitingForEducation https://t.co/fFsUuGtEcD"/>
    <s v="https://www.tiess.online/registration?utm_source=LuisPinto&amp;utm_medium=Email&amp;utm_campaign=TIESS&amp;utm_term=023"/>
    <s v="tiess.online"/>
    <x v="1"/>
    <s v="https://pbs.twimg.com/media/EsVcTm-UYAIsNLI.jpg"/>
    <s v="https://pbs.twimg.com/media/EsVcTm-UYAIsNLI.jpg"/>
    <x v="132"/>
    <d v="2021-01-22T00:00:00.000"/>
    <s v="12:07:55"/>
    <s v="https://twitter.com/indiadidac/status/1352588803874070534"/>
    <m/>
    <m/>
    <s v="1352588803874070534"/>
    <m/>
    <b v="0"/>
    <n v="2"/>
    <s v=""/>
    <b v="0"/>
    <s v="en"/>
    <m/>
    <s v=""/>
    <b v="0"/>
    <n v="0"/>
    <s v=""/>
    <s v="Twitter Web App"/>
    <b v="0"/>
    <s v="1352588803874070534"/>
    <s v="Tweet"/>
    <n v="0"/>
    <n v="0"/>
    <m/>
    <m/>
    <m/>
    <m/>
    <m/>
    <m/>
    <m/>
    <m/>
    <n v="20"/>
    <s v="1"/>
    <s v="1"/>
    <n v="1"/>
    <n v="3.3333333333333335"/>
    <n v="0"/>
    <n v="0"/>
    <n v="0"/>
    <n v="0"/>
    <n v="29"/>
    <n v="96.66666666666667"/>
    <n v="30"/>
  </r>
  <r>
    <s v="indiadidac"/>
    <s v="indiadidac"/>
    <m/>
    <m/>
    <m/>
    <m/>
    <m/>
    <m/>
    <m/>
    <m/>
    <s v="No"/>
    <n v="226"/>
    <m/>
    <m/>
    <x v="3"/>
    <d v="2021-01-22T13:24:13.000"/>
    <s v="#TIESS2021 – presenting global education leaders for thought provoking discussions on the future of education. Join the dialogue with Dr. Abas Basir, Minister of Higher Education, Government of Islamic Republic of Afghanistan, Afghanistan_x000a_Register Now https://t.co/AGFVnjyLhK https://t.co/EBhyHtef8N"/>
    <s v="https://www.tiess.online/registration?utm_source=AbasBasir&amp;utm_medium=Email&amp;utm_campaign=TIESS&amp;utm_term=016"/>
    <s v="tiess.online"/>
    <x v="2"/>
    <s v="https://pbs.twimg.com/media/EsVtvmSVEAAtg9h.jpg"/>
    <s v="https://pbs.twimg.com/media/EsVtvmSVEAAtg9h.jpg"/>
    <x v="133"/>
    <d v="2021-01-22T00:00:00.000"/>
    <s v="13:24:13"/>
    <s v="https://twitter.com/indiadidac/status/1352608007167741953"/>
    <m/>
    <m/>
    <s v="1352608007167741953"/>
    <m/>
    <b v="0"/>
    <n v="0"/>
    <s v=""/>
    <b v="0"/>
    <s v="en"/>
    <m/>
    <s v=""/>
    <b v="0"/>
    <n v="0"/>
    <s v=""/>
    <s v="Twitter Web App"/>
    <b v="0"/>
    <s v="1352608007167741953"/>
    <s v="Tweet"/>
    <n v="0"/>
    <n v="0"/>
    <m/>
    <m/>
    <m/>
    <m/>
    <m/>
    <m/>
    <m/>
    <m/>
    <n v="20"/>
    <s v="1"/>
    <s v="1"/>
    <n v="0"/>
    <n v="0"/>
    <n v="0"/>
    <n v="0"/>
    <n v="0"/>
    <n v="0"/>
    <n v="34"/>
    <n v="100"/>
    <n v="34"/>
  </r>
  <r>
    <s v="indiadidac"/>
    <s v="indiadidac"/>
    <m/>
    <m/>
    <m/>
    <m/>
    <m/>
    <m/>
    <m/>
    <m/>
    <s v="No"/>
    <n v="227"/>
    <m/>
    <m/>
    <x v="3"/>
    <d v="2021-01-22T13:54:30.000"/>
    <s v="#TIESS2021 – A phenomenal opportunity to Join the conversation with Dr. Michael Karanja, External Evaluator and Program Design Specialist, IDLG Ltd, Kenya_x000a_Register Now https://t.co/jaYgoHCj1e_x000a__x000a_#TIESSGoesVirtual #UnitingForEducation https://t.co/5LkrILtphk"/>
    <s v="https://www.tiess.online/registration?utm_source=Karanja&amp;utm_medium=Email&amp;utm_campaign=TIESS&amp;utm_term=025"/>
    <s v="tiess.online"/>
    <x v="1"/>
    <s v="https://pbs.twimg.com/media/EsV0sHKUwAUheYy.jpg"/>
    <s v="https://pbs.twimg.com/media/EsV0sHKUwAUheYy.jpg"/>
    <x v="134"/>
    <d v="2021-01-22T00:00:00.000"/>
    <s v="13:54:30"/>
    <s v="https://twitter.com/indiadidac/status/1352615625869324288"/>
    <m/>
    <m/>
    <s v="1352615625869324288"/>
    <m/>
    <b v="0"/>
    <n v="1"/>
    <s v=""/>
    <b v="0"/>
    <s v="en"/>
    <m/>
    <s v=""/>
    <b v="0"/>
    <n v="0"/>
    <s v=""/>
    <s v="Twitter Web App"/>
    <b v="0"/>
    <s v="1352615625869324288"/>
    <s v="Tweet"/>
    <n v="0"/>
    <n v="0"/>
    <m/>
    <m/>
    <m/>
    <m/>
    <m/>
    <m/>
    <m/>
    <m/>
    <n v="20"/>
    <s v="1"/>
    <s v="1"/>
    <n v="1"/>
    <n v="4"/>
    <n v="0"/>
    <n v="0"/>
    <n v="0"/>
    <n v="0"/>
    <n v="24"/>
    <n v="96"/>
    <n v="25"/>
  </r>
  <r>
    <s v="indiadidac"/>
    <s v="indiadidac"/>
    <m/>
    <m/>
    <m/>
    <m/>
    <m/>
    <m/>
    <m/>
    <m/>
    <s v="No"/>
    <n v="228"/>
    <m/>
    <m/>
    <x v="3"/>
    <d v="2021-01-22T14:35:01.000"/>
    <s v="At #TIESS2021 the Global Education Leadership Summit, Join the talks with Ms. Pooja Agarwal, Founder-Director, NatureNurture, India_x000a_Register Now https://t.co/c2dJUTV8XL_x000a__x000a_#TIESSGoesVirtual #UnitingForEducation https://t.co/523cfvcRQ2"/>
    <s v="https://www.tiess.online/registration?utm_source=SM&amp;utm_medium=Pooja&amp;utm_campaign=TIESS&amp;utm_term=041"/>
    <s v="tiess.online"/>
    <x v="1"/>
    <s v="https://pbs.twimg.com/media/EsV-AdpU0AAZHSM.jpg"/>
    <s v="https://pbs.twimg.com/media/EsV-AdpU0AAZHSM.jpg"/>
    <x v="135"/>
    <d v="2021-01-22T00:00:00.000"/>
    <s v="14:35:01"/>
    <s v="https://twitter.com/indiadidac/status/1352625823094763521"/>
    <m/>
    <m/>
    <s v="1352625823094763521"/>
    <m/>
    <b v="0"/>
    <n v="0"/>
    <s v=""/>
    <b v="0"/>
    <s v="en"/>
    <m/>
    <s v=""/>
    <b v="0"/>
    <n v="0"/>
    <s v=""/>
    <s v="Twitter Web App"/>
    <b v="0"/>
    <s v="1352625823094763521"/>
    <s v="Tweet"/>
    <n v="0"/>
    <n v="0"/>
    <m/>
    <m/>
    <m/>
    <m/>
    <m/>
    <m/>
    <m/>
    <m/>
    <n v="20"/>
    <s v="1"/>
    <s v="1"/>
    <n v="0"/>
    <n v="0"/>
    <n v="0"/>
    <n v="0"/>
    <n v="0"/>
    <n v="0"/>
    <n v="22"/>
    <n v="100"/>
    <n v="22"/>
  </r>
  <r>
    <s v="indiadidac"/>
    <s v="indiadidac"/>
    <m/>
    <m/>
    <m/>
    <m/>
    <m/>
    <m/>
    <m/>
    <m/>
    <s v="No"/>
    <n v="229"/>
    <m/>
    <m/>
    <x v="3"/>
    <d v="2021-01-23T10:21:20.000"/>
    <s v="#TIESS2021 A remarkable opportunity to listen to renowned International Education Leaders. Join the talks with _x000a_Ms. Susan Douglas, Chief Executive Officer, Eden Academy Trust, UK_x000a__x000a_Register Now https://t.co/cyOsAakjR6_x000a_#TIESSGoesVirtual #UnitingForEducation https://t.co/ExYdUFgFHK"/>
    <s v="https://www.tiess.online/registration?utm_source=Susan&amp;utm_medium=SM&amp;utm_campaign=TIESS&amp;utm_term=031"/>
    <s v="tiess.online"/>
    <x v="1"/>
    <s v="https://pbs.twimg.com/media/EsaNhoDUcAAFxKr.jpg"/>
    <s v="https://pbs.twimg.com/media/EsaNhoDUcAAFxKr.jpg"/>
    <x v="136"/>
    <d v="2021-01-23T00:00:00.000"/>
    <s v="10:21:20"/>
    <s v="https://twitter.com/indiadidac/status/1352924371090776066"/>
    <m/>
    <m/>
    <s v="1352924371090776066"/>
    <m/>
    <b v="0"/>
    <n v="0"/>
    <s v=""/>
    <b v="0"/>
    <s v="en"/>
    <m/>
    <s v=""/>
    <b v="0"/>
    <n v="0"/>
    <s v=""/>
    <s v="Twitter Web App"/>
    <b v="0"/>
    <s v="1352924371090776066"/>
    <s v="Tweet"/>
    <n v="0"/>
    <n v="0"/>
    <m/>
    <m/>
    <m/>
    <m/>
    <m/>
    <m/>
    <m/>
    <m/>
    <n v="20"/>
    <s v="1"/>
    <s v="1"/>
    <n v="3"/>
    <n v="10.344827586206897"/>
    <n v="0"/>
    <n v="0"/>
    <n v="0"/>
    <n v="0"/>
    <n v="26"/>
    <n v="89.65517241379311"/>
    <n v="29"/>
  </r>
  <r>
    <s v="indiadidac"/>
    <s v="indiadidac"/>
    <m/>
    <m/>
    <m/>
    <m/>
    <m/>
    <m/>
    <m/>
    <m/>
    <s v="No"/>
    <n v="230"/>
    <m/>
    <m/>
    <x v="3"/>
    <d v="2021-01-23T10:23:49.000"/>
    <s v="Become an integral part of #TIESS2021 by Joining the conversation with Mr. Jim Wynn, CEO, Imagine Education, UK. Register Now https://t.co/B75L6vqkG3_x000a__x000a_#TIESSGoesVirtual #UnitingForEducation https://t.co/M2O9bOH99P"/>
    <s v="https://www.tiess.online/registration?utm_source=Jim&amp;utm_medium=SM&amp;utm_campaign=TIESS&amp;utm_term=032"/>
    <s v="tiess.online"/>
    <x v="1"/>
    <s v="https://pbs.twimg.com/media/EsaOC-PUwAAgHVH.jpg"/>
    <s v="https://pbs.twimg.com/media/EsaOC-PUwAAgHVH.jpg"/>
    <x v="137"/>
    <d v="2021-01-23T00:00:00.000"/>
    <s v="10:23:49"/>
    <s v="https://twitter.com/indiadidac/status/1352924996251729920"/>
    <m/>
    <m/>
    <s v="1352924996251729920"/>
    <m/>
    <b v="0"/>
    <n v="1"/>
    <s v=""/>
    <b v="0"/>
    <s v="en"/>
    <m/>
    <s v=""/>
    <b v="0"/>
    <n v="0"/>
    <s v=""/>
    <s v="Twitter Web App"/>
    <b v="0"/>
    <s v="1352924996251729920"/>
    <s v="Tweet"/>
    <n v="0"/>
    <n v="0"/>
    <m/>
    <m/>
    <m/>
    <m/>
    <m/>
    <m/>
    <m/>
    <m/>
    <n v="20"/>
    <s v="1"/>
    <s v="1"/>
    <n v="1"/>
    <n v="4.545454545454546"/>
    <n v="0"/>
    <n v="0"/>
    <n v="0"/>
    <n v="0"/>
    <n v="21"/>
    <n v="95.45454545454545"/>
    <n v="22"/>
  </r>
  <r>
    <s v="indiadidac"/>
    <s v="lshayter"/>
    <m/>
    <m/>
    <m/>
    <m/>
    <m/>
    <m/>
    <m/>
    <m/>
    <s v="No"/>
    <n v="231"/>
    <m/>
    <m/>
    <x v="2"/>
    <d v="2021-01-23T10:37:51.000"/>
    <s v="#TIESS2021 – Join the conversation with Ms. Lucy Hayter , Director of Generation Global, Tony Blair Institute for Global Change, UK at the World’s Leading Virtual Summit for Education &amp;amp; Skills Sector. @Gen_Global_ @LSHayter _x000a_Register Now - https://t.co/89vUdLDRUK https://t.co/yfhSc6T374"/>
    <s v="https://www.tiess.online/registration?utm_source=Lucy&amp;utm_medium=SM&amp;utm_campaign=TIESS&amp;utm_term=033"/>
    <s v="tiess.online"/>
    <x v="2"/>
    <s v="https://pbs.twimg.com/media/EsaRNp6VoAE0MPK.jpg"/>
    <s v="https://pbs.twimg.com/media/EsaRNp6VoAE0MPK.jpg"/>
    <x v="138"/>
    <d v="2021-01-23T00:00:00.000"/>
    <s v="10:37:51"/>
    <s v="https://twitter.com/indiadidac/status/1352928524621889537"/>
    <m/>
    <m/>
    <s v="1352928524621889537"/>
    <m/>
    <b v="0"/>
    <n v="1"/>
    <s v=""/>
    <b v="0"/>
    <s v="en"/>
    <m/>
    <s v=""/>
    <b v="0"/>
    <n v="0"/>
    <s v=""/>
    <s v="Twitter Web App"/>
    <b v="0"/>
    <s v="1352928524621889537"/>
    <s v="Tweet"/>
    <n v="0"/>
    <n v="0"/>
    <m/>
    <m/>
    <m/>
    <m/>
    <m/>
    <m/>
    <m/>
    <m/>
    <n v="1"/>
    <s v="1"/>
    <s v="1"/>
    <m/>
    <m/>
    <m/>
    <m/>
    <m/>
    <m/>
    <m/>
    <m/>
    <m/>
  </r>
  <r>
    <s v="indiadidac"/>
    <s v="indiadidac"/>
    <m/>
    <m/>
    <m/>
    <m/>
    <m/>
    <m/>
    <m/>
    <m/>
    <s v="No"/>
    <n v="233"/>
    <m/>
    <m/>
    <x v="3"/>
    <d v="2021-01-23T10:57:26.000"/>
    <s v="Get an amazing opportunity to Join the talks with _x000a_Mr. Keith R. Krueger, CEO, Consortium of Schools Networking (CoSN), UK at #TIESS2021 - World’s Leading Virtual Summit for Education &amp;amp; Skills Sector. _x000a__x000a_Register Now - https://t.co/dJAv1rlzyA_x000a_#TIESSGoesVirtual #UnitingForEducation https://t.co/AjBjkyLdSF"/>
    <s v="https://www.tiess.online/registration?utm_source=Keith&amp;utm_medium=SM&amp;utm_campaign=TIESS&amp;utm_term=034"/>
    <s v="tiess.online"/>
    <x v="1"/>
    <s v="https://pbs.twimg.com/media/EsaVyhcUYAE6RSO.jpg"/>
    <s v="https://pbs.twimg.com/media/EsaVyhcUYAE6RSO.jpg"/>
    <x v="139"/>
    <d v="2021-01-23T00:00:00.000"/>
    <s v="10:57:26"/>
    <s v="https://twitter.com/indiadidac/status/1352933456553021440"/>
    <m/>
    <m/>
    <s v="1352933456553021440"/>
    <m/>
    <b v="0"/>
    <n v="0"/>
    <s v=""/>
    <b v="0"/>
    <s v="en"/>
    <m/>
    <s v=""/>
    <b v="0"/>
    <n v="0"/>
    <s v=""/>
    <s v="Twitter Web App"/>
    <b v="0"/>
    <s v="1352933456553021440"/>
    <s v="Tweet"/>
    <n v="0"/>
    <n v="0"/>
    <m/>
    <m/>
    <m/>
    <m/>
    <m/>
    <m/>
    <m/>
    <m/>
    <n v="20"/>
    <s v="1"/>
    <s v="1"/>
    <n v="2"/>
    <n v="5.555555555555555"/>
    <n v="0"/>
    <n v="0"/>
    <n v="0"/>
    <n v="0"/>
    <n v="34"/>
    <n v="94.44444444444444"/>
    <n v="36"/>
  </r>
  <r>
    <s v="indiadidac"/>
    <s v="indiadidac"/>
    <m/>
    <m/>
    <m/>
    <m/>
    <m/>
    <m/>
    <m/>
    <m/>
    <s v="No"/>
    <n v="234"/>
    <m/>
    <m/>
    <x v="3"/>
    <d v="2021-01-23T11:36:43.000"/>
    <s v="At #TIESS2021 _x000a_Join the talks with Mr. Datuk P. Kamalanathan, Board member of Asian Institute of Medical Science Technology university and Education Bureau Head, Malaysian Indian Congresses, Former Deputy Minister of Education, Malaysia_x000a_Register now https://t.co/nKH9EOdbMd https://t.co/hbKT5GysQy"/>
    <s v="https://www.tiess.online/registration?utm_source=Datuk&amp;utm_medium=SM&amp;utm_campaign=TIESS&amp;utm_term=036"/>
    <s v="tiess.online"/>
    <x v="2"/>
    <s v="https://pbs.twimg.com/media/EsaedxxUYAESky6.jpg"/>
    <s v="https://pbs.twimg.com/media/EsaedxxUYAESky6.jpg"/>
    <x v="140"/>
    <d v="2021-01-23T00:00:00.000"/>
    <s v="11:36:43"/>
    <s v="https://twitter.com/indiadidac/status/1352943341902520330"/>
    <m/>
    <m/>
    <s v="1352943341902520330"/>
    <m/>
    <b v="0"/>
    <n v="0"/>
    <s v=""/>
    <b v="0"/>
    <s v="en"/>
    <m/>
    <s v=""/>
    <b v="0"/>
    <n v="0"/>
    <s v=""/>
    <s v="Twitter Web App"/>
    <b v="0"/>
    <s v="1352943341902520330"/>
    <s v="Tweet"/>
    <n v="0"/>
    <n v="0"/>
    <m/>
    <m/>
    <m/>
    <m/>
    <m/>
    <m/>
    <m/>
    <m/>
    <n v="20"/>
    <s v="1"/>
    <s v="1"/>
    <n v="0"/>
    <n v="0"/>
    <n v="0"/>
    <n v="0"/>
    <n v="0"/>
    <n v="0"/>
    <n v="35"/>
    <n v="100"/>
    <n v="35"/>
  </r>
  <r>
    <s v="indiadidac"/>
    <s v="indiadidac"/>
    <m/>
    <m/>
    <m/>
    <m/>
    <m/>
    <m/>
    <m/>
    <m/>
    <s v="No"/>
    <n v="235"/>
    <m/>
    <m/>
    <x v="3"/>
    <d v="2021-01-23T13:29:33.000"/>
    <s v="#TIESS2021 – A great opportunity to Join the conversation with Mr. Dominic Savage, Forum Director, Education World Forum(EWF) and Asian Summit on Education &amp;amp; Skills (ASES), UK _x000a_Register Now - https://t.co/YxdFa2SnTz_x000a__x000a_#TIESSGoesVirtual #UnitingForEducation https://t.co/yj16DmU2TL"/>
    <s v="https://www.tiess.online/registration?utm_source=Dominic&amp;utm_medium=SM&amp;utm_campaign=TIESS&amp;utm_term=037"/>
    <s v="tiess.online"/>
    <x v="1"/>
    <s v="https://pbs.twimg.com/media/Esa4kXKU0AAxg2E.jpg"/>
    <s v="https://pbs.twimg.com/media/Esa4kXKU0AAxg2E.jpg"/>
    <x v="141"/>
    <d v="2021-01-23T00:00:00.000"/>
    <s v="13:29:33"/>
    <s v="https://twitter.com/indiadidac/status/1352971736552067073"/>
    <m/>
    <m/>
    <s v="1352971736552067073"/>
    <m/>
    <b v="0"/>
    <n v="0"/>
    <s v=""/>
    <b v="0"/>
    <s v="en"/>
    <m/>
    <s v=""/>
    <b v="0"/>
    <n v="0"/>
    <s v=""/>
    <s v="Twitter Web App"/>
    <b v="0"/>
    <s v="1352971736552067073"/>
    <s v="Tweet"/>
    <n v="0"/>
    <n v="0"/>
    <m/>
    <m/>
    <m/>
    <m/>
    <m/>
    <m/>
    <m/>
    <m/>
    <n v="20"/>
    <s v="1"/>
    <s v="1"/>
    <n v="1"/>
    <n v="3.225806451612903"/>
    <n v="1"/>
    <n v="3.225806451612903"/>
    <n v="0"/>
    <n v="0"/>
    <n v="29"/>
    <n v="93.54838709677419"/>
    <n v="31"/>
  </r>
  <r>
    <s v="indiadidac"/>
    <s v="indiadidac"/>
    <m/>
    <m/>
    <m/>
    <m/>
    <m/>
    <m/>
    <m/>
    <m/>
    <s v="No"/>
    <n v="236"/>
    <m/>
    <m/>
    <x v="3"/>
    <d v="2021-01-24T14:25:51.000"/>
    <s v="#TIESS2021 The countdown begins to the biggest ever virtual conference for the education and skills sector. _x000a_Get Ready to meet the most influential global leaders in education! _x000a_30,000+ Delegates| 80+ Countries| 150+ Speakers_x000a_#tiessgoesvirtual #UnitingForEducation https://t.co/iJdZH0cpXD"/>
    <m/>
    <m/>
    <x v="1"/>
    <s v="https://pbs.twimg.com/media/EsgPDwCUcAYZq66.jpg"/>
    <s v="https://pbs.twimg.com/media/EsgPDwCUcAYZq66.jpg"/>
    <x v="142"/>
    <d v="2021-01-24T00:00:00.000"/>
    <s v="14:25:51"/>
    <s v="https://twitter.com/indiadidac/status/1353348293070266369"/>
    <m/>
    <m/>
    <s v="1353348293070266369"/>
    <m/>
    <b v="0"/>
    <n v="2"/>
    <s v=""/>
    <b v="0"/>
    <s v="en"/>
    <m/>
    <s v=""/>
    <b v="0"/>
    <n v="2"/>
    <s v=""/>
    <s v="Twitter Web App"/>
    <b v="0"/>
    <s v="1353348293070266369"/>
    <s v="Tweet"/>
    <n v="0"/>
    <n v="0"/>
    <m/>
    <m/>
    <m/>
    <m/>
    <m/>
    <m/>
    <m/>
    <m/>
    <n v="20"/>
    <s v="1"/>
    <s v="1"/>
    <n v="2"/>
    <n v="5.555555555555555"/>
    <n v="0"/>
    <n v="0"/>
    <n v="0"/>
    <n v="0"/>
    <n v="34"/>
    <n v="94.44444444444444"/>
    <n v="36"/>
  </r>
  <r>
    <s v="indiadidac"/>
    <s v="indiadidac"/>
    <m/>
    <m/>
    <m/>
    <m/>
    <m/>
    <m/>
    <m/>
    <m/>
    <s v="No"/>
    <n v="237"/>
    <m/>
    <m/>
    <x v="3"/>
    <d v="2021-01-25T10:28:23.000"/>
    <s v="#TIESS2021 _x000a_Get Ready to meet the most influential global leaders in education! listen, collaborate and contribute to the Future of Education!!_x000a_30,000+ Delegates| 80+ Countries| 150+ Speakers! _x000a__x000a_Only 2 days to go! _x000a__x000a_#TIESSGoesVirtual #UnitingForEducation #StayTuned https://t.co/MHlHRts8dm"/>
    <m/>
    <m/>
    <x v="5"/>
    <s v="https://pbs.twimg.com/media/EskiR9xVEAYLaX3.jpg"/>
    <s v="https://pbs.twimg.com/media/EskiR9xVEAYLaX3.jpg"/>
    <x v="143"/>
    <d v="2021-01-25T00:00:00.000"/>
    <s v="10:28:23"/>
    <s v="https://twitter.com/indiadidac/status/1353650920182013953"/>
    <m/>
    <m/>
    <s v="1353650920182013953"/>
    <m/>
    <b v="0"/>
    <n v="3"/>
    <s v=""/>
    <b v="0"/>
    <s v="en"/>
    <m/>
    <s v=""/>
    <b v="0"/>
    <n v="2"/>
    <s v=""/>
    <s v="TweetDeck"/>
    <b v="0"/>
    <s v="1353650920182013953"/>
    <s v="Tweet"/>
    <n v="0"/>
    <n v="0"/>
    <m/>
    <m/>
    <m/>
    <m/>
    <m/>
    <m/>
    <m/>
    <m/>
    <n v="20"/>
    <s v="1"/>
    <s v="1"/>
    <n v="2"/>
    <n v="5.555555555555555"/>
    <n v="0"/>
    <n v="0"/>
    <n v="0"/>
    <n v="0"/>
    <n v="34"/>
    <n v="94.44444444444444"/>
    <n v="36"/>
  </r>
  <r>
    <s v="indiadidac"/>
    <s v="indiadidac"/>
    <m/>
    <m/>
    <m/>
    <m/>
    <m/>
    <m/>
    <m/>
    <m/>
    <s v="No"/>
    <n v="238"/>
    <m/>
    <m/>
    <x v="3"/>
    <d v="2021-01-25T10:29:48.000"/>
    <s v="#TIESS2021 _x000a_Join the conversation with H.E. Dr. Naji Al Mahdi_x000a_CEO, National Institute for Vocational Education &amp;amp; Chief, Qualifications &amp;amp; Awards in Dubai &amp;amp; KHDA Board Member_x000a_Knowledge &amp;amp; Human Development Authority_x000a__x000a_Register Now https://t.co/9Lkr0cKwtD_x000a__x000a_#TIESSGoesVirtual https://t.co/DIO6kc32Xt"/>
    <s v="https://www.tiess.online/registration?utm_source=Mahdi&amp;utm_medium=Dubai&amp;utm_campaign=TIESS&amp;utm_term=042"/>
    <s v="tiess.online"/>
    <x v="0"/>
    <s v="https://pbs.twimg.com/media/Eskio__UwAA967X.jpg"/>
    <s v="https://pbs.twimg.com/media/Eskio__UwAA967X.jpg"/>
    <x v="144"/>
    <d v="2021-01-25T00:00:00.000"/>
    <s v="10:29:48"/>
    <s v="https://twitter.com/indiadidac/status/1353651277788454914"/>
    <m/>
    <m/>
    <s v="1353651277788454914"/>
    <m/>
    <b v="0"/>
    <n v="1"/>
    <s v=""/>
    <b v="0"/>
    <s v="en"/>
    <m/>
    <s v=""/>
    <b v="0"/>
    <n v="0"/>
    <s v=""/>
    <s v="Twitter Web App"/>
    <b v="0"/>
    <s v="1353651277788454914"/>
    <s v="Tweet"/>
    <n v="0"/>
    <n v="0"/>
    <m/>
    <m/>
    <m/>
    <m/>
    <m/>
    <m/>
    <m/>
    <m/>
    <n v="20"/>
    <s v="1"/>
    <s v="1"/>
    <n v="1"/>
    <n v="2.7777777777777777"/>
    <n v="0"/>
    <n v="0"/>
    <n v="0"/>
    <n v="0"/>
    <n v="35"/>
    <n v="97.22222222222223"/>
    <n v="36"/>
  </r>
  <r>
    <s v="indiadidac"/>
    <s v="indiadidac"/>
    <m/>
    <m/>
    <m/>
    <m/>
    <m/>
    <m/>
    <m/>
    <m/>
    <s v="No"/>
    <n v="239"/>
    <m/>
    <m/>
    <x v="3"/>
    <d v="2021-01-26T07:06:22.000"/>
    <s v="#TIESS2021 A remarkable opportunity to listen to renowned International Education Leaders. _x000a_Join the conversation Ms. Felicity Gillespie_x000a_Director, Kindred Foundation, UK_x000a_Register Now https://t.co/A7aSJo8UKM_x000a_#TIESSGoesVirtual #UnitingForEducation https://t.co/YLtNSwSM4x"/>
    <s v="https://www.tiess.online/registration?utm_source=Felicity&amp;utm_medium=SM&amp;utm_campaign=TIESS&amp;utm_term=046"/>
    <s v="tiess.online"/>
    <x v="1"/>
    <s v="https://pbs.twimg.com/media/Eso9qQAVEAILIDU.jpg"/>
    <s v="https://pbs.twimg.com/media/Eso9qQAVEAILIDU.jpg"/>
    <x v="145"/>
    <d v="2021-01-26T00:00:00.000"/>
    <s v="07:06:22"/>
    <s v="https://twitter.com/indiadidac/status/1353962468263878659"/>
    <m/>
    <m/>
    <s v="1353962468263878659"/>
    <m/>
    <b v="0"/>
    <n v="2"/>
    <s v=""/>
    <b v="0"/>
    <s v="en"/>
    <m/>
    <s v=""/>
    <b v="0"/>
    <n v="0"/>
    <s v=""/>
    <s v="Twitter Web App"/>
    <b v="0"/>
    <s v="1353962468263878659"/>
    <s v="Tweet"/>
    <n v="0"/>
    <n v="0"/>
    <m/>
    <m/>
    <m/>
    <m/>
    <m/>
    <m/>
    <m/>
    <m/>
    <n v="20"/>
    <s v="1"/>
    <s v="1"/>
    <n v="3"/>
    <n v="12"/>
    <n v="0"/>
    <n v="0"/>
    <n v="0"/>
    <n v="0"/>
    <n v="22"/>
    <n v="88"/>
    <n v="25"/>
  </r>
  <r>
    <s v="indiadidac"/>
    <s v="indiadidac"/>
    <m/>
    <m/>
    <m/>
    <m/>
    <m/>
    <m/>
    <m/>
    <m/>
    <s v="No"/>
    <n v="240"/>
    <m/>
    <m/>
    <x v="3"/>
    <d v="2021-01-26T08:34:27.000"/>
    <s v="#TIESS2021 _x000a_The wait is almost over. Get Ready to meet the most influential global leaders in education! listen, collaborate and contribute to the Future of Education!!_x000a_30,000+ Delegates| 80+ Countries| 150+ Speakers! _x000a__x000a_Only 1 day to go! _x000a__x000a_#TIESSGoesVirtual #UnitingForEducation https://t.co/fHnWU4fByp"/>
    <m/>
    <m/>
    <x v="1"/>
    <s v="https://pbs.twimg.com/media/EspR1JnVEAMMk3C.jpg"/>
    <s v="https://pbs.twimg.com/media/EspR1JnVEAMMk3C.jpg"/>
    <x v="146"/>
    <d v="2021-01-26T00:00:00.000"/>
    <s v="08:34:27"/>
    <s v="https://twitter.com/indiadidac/status/1353984633231208448"/>
    <m/>
    <m/>
    <s v="1353984633231208448"/>
    <m/>
    <b v="0"/>
    <n v="1"/>
    <s v=""/>
    <b v="0"/>
    <s v="en"/>
    <m/>
    <s v=""/>
    <b v="0"/>
    <n v="0"/>
    <s v=""/>
    <s v="TweetDeck"/>
    <b v="0"/>
    <s v="1353984633231208448"/>
    <s v="Tweet"/>
    <n v="0"/>
    <n v="0"/>
    <m/>
    <m/>
    <m/>
    <m/>
    <m/>
    <m/>
    <m/>
    <m/>
    <n v="20"/>
    <s v="1"/>
    <s v="1"/>
    <n v="2"/>
    <n v="5"/>
    <n v="0"/>
    <n v="0"/>
    <n v="0"/>
    <n v="0"/>
    <n v="38"/>
    <n v="95"/>
    <n v="40"/>
  </r>
  <r>
    <s v="gen_global_"/>
    <s v="indiadidac"/>
    <m/>
    <m/>
    <m/>
    <m/>
    <m/>
    <m/>
    <m/>
    <m/>
    <s v="Yes"/>
    <n v="242"/>
    <m/>
    <m/>
    <x v="2"/>
    <d v="2021-01-26T23:10:14.000"/>
    <s v="Hear @LSHayter, Director for Generation Global, talk about developing positive attitudes &amp;amp; behaviours within formal education settings at #TIESS2021 by @Indiadidac on January 29th, 7:45 am GMT_x000a__x000a_Register now https://t.co/EioZpUlN9e_x000a_#TIESSGoesVirtual #UnitingForEducation https://t.co/3nVm5gImjo"/>
    <s v="https://www.tiess.online/registration?utm_source=SM&amp;utm_medium=Swaroop&amp;utm_campaign=TIESS&amp;utm_term=015"/>
    <s v="tiess.online"/>
    <x v="1"/>
    <s v="https://pbs.twimg.com/media/EssY91zU0AAwEQb.jpg"/>
    <s v="https://pbs.twimg.com/media/EssY91zU0AAwEQb.jpg"/>
    <x v="147"/>
    <d v="2021-01-26T00:00:00.000"/>
    <s v="23:10:14"/>
    <s v="https://twitter.com/gen_global_/status/1354205033919770626"/>
    <m/>
    <m/>
    <s v="1354205033919770626"/>
    <m/>
    <b v="0"/>
    <n v="0"/>
    <s v=""/>
    <b v="0"/>
    <s v="en"/>
    <m/>
    <s v=""/>
    <b v="0"/>
    <n v="0"/>
    <s v=""/>
    <s v="Twitter Web App"/>
    <b v="0"/>
    <s v="1354205033919770626"/>
    <s v="Tweet"/>
    <n v="0"/>
    <n v="0"/>
    <m/>
    <m/>
    <m/>
    <m/>
    <m/>
    <m/>
    <m/>
    <m/>
    <n v="1"/>
    <s v="1"/>
    <s v="1"/>
    <m/>
    <m/>
    <m/>
    <m/>
    <m/>
    <m/>
    <m/>
    <m/>
    <m/>
  </r>
  <r>
    <s v="shaireshef"/>
    <s v="shaireshef"/>
    <m/>
    <m/>
    <m/>
    <m/>
    <m/>
    <m/>
    <m/>
    <m/>
    <s v="No"/>
    <n v="244"/>
    <m/>
    <m/>
    <x v="3"/>
    <d v="2021-01-26T15:42:29.000"/>
    <s v="Join me this Thursday at #TIESS2021 – let’s discuss the future of #HigherEducation https://t.co/eB8HNqI9ZL https://t.co/2QOhPtJWRq"/>
    <s v="https://www.tiess.online/registration?utm_source=SM&amp;utm_medium=Rashef&amp;utm_campaign=TIESS&amp;utm_term=020"/>
    <s v="tiess.online"/>
    <x v="11"/>
    <s v="https://pbs.twimg.com/media/EsqzzLLWMAAQ7w-.jpg"/>
    <s v="https://pbs.twimg.com/media/EsqzzLLWMAAQ7w-.jpg"/>
    <x v="148"/>
    <d v="2021-01-26T00:00:00.000"/>
    <s v="15:42:29"/>
    <s v="https://twitter.com/shaireshef/status/1354092352420327424"/>
    <m/>
    <m/>
    <s v="1354092352420327424"/>
    <m/>
    <b v="0"/>
    <n v="5"/>
    <s v=""/>
    <b v="0"/>
    <s v="en"/>
    <m/>
    <s v=""/>
    <b v="0"/>
    <n v="2"/>
    <s v=""/>
    <s v="Twitter Web App"/>
    <b v="0"/>
    <s v="1354092352420327424"/>
    <s v="Tweet"/>
    <n v="0"/>
    <n v="0"/>
    <m/>
    <m/>
    <m/>
    <m/>
    <m/>
    <m/>
    <m/>
    <m/>
    <n v="1"/>
    <s v="2"/>
    <s v="2"/>
    <n v="0"/>
    <n v="0"/>
    <n v="0"/>
    <n v="0"/>
    <n v="0"/>
    <n v="0"/>
    <n v="13"/>
    <n v="100"/>
    <n v="13"/>
  </r>
  <r>
    <s v="diakonstefanos"/>
    <s v="shaireshef"/>
    <m/>
    <m/>
    <m/>
    <m/>
    <m/>
    <m/>
    <m/>
    <m/>
    <s v="No"/>
    <n v="245"/>
    <m/>
    <m/>
    <x v="0"/>
    <d v="2021-01-27T01:18:58.000"/>
    <s v="Join me this Thursday at #TIESS2021 – let’s discuss the future of #HigherEducation https://t.co/eB8HNqI9ZL https://t.co/2QOhPtJWRq"/>
    <s v="https://www.tiess.online/registration?utm_source=SM&amp;utm_medium=Rashef&amp;utm_campaign=TIESS&amp;utm_term=020"/>
    <s v="tiess.online"/>
    <x v="11"/>
    <s v="https://pbs.twimg.com/media/EsqzzLLWMAAQ7w-.jpg"/>
    <s v="https://pbs.twimg.com/media/EsqzzLLWMAAQ7w-.jpg"/>
    <x v="149"/>
    <d v="2021-01-27T00:00:00.000"/>
    <s v="01:18:58"/>
    <s v="https://twitter.com/diakonstefanos/status/1354237429079707650"/>
    <m/>
    <m/>
    <s v="1354237429079707650"/>
    <m/>
    <b v="0"/>
    <n v="0"/>
    <s v=""/>
    <b v="0"/>
    <s v="en"/>
    <m/>
    <s v=""/>
    <b v="0"/>
    <n v="2"/>
    <s v="1354092352420327424"/>
    <s v="Twitter Web App"/>
    <b v="0"/>
    <s v="1354092352420327424"/>
    <s v="Tweet"/>
    <n v="0"/>
    <n v="0"/>
    <m/>
    <m/>
    <m/>
    <m/>
    <m/>
    <m/>
    <m/>
    <m/>
    <n v="1"/>
    <s v="2"/>
    <s v="2"/>
    <n v="0"/>
    <n v="0"/>
    <n v="0"/>
    <n v="0"/>
    <n v="0"/>
    <n v="0"/>
    <n v="13"/>
    <n v="100"/>
    <n v="13"/>
  </r>
  <r>
    <s v="sambeckertweets"/>
    <s v="sambeckertweets"/>
    <m/>
    <m/>
    <m/>
    <m/>
    <m/>
    <m/>
    <m/>
    <m/>
    <s v="No"/>
    <n v="246"/>
    <m/>
    <m/>
    <x v="3"/>
    <d v="2021-01-27T01:48:17.000"/>
    <s v="😱 Looking forward to presenting live “in India” tmrw at #TIESS2021 — the world’s largest virtual conference for the edu &amp;amp; skills sector. _x000a__x000a_If anyone wants to know how I could possibly have less of a filter, find out live at this 3am breakout session. 😬 https://t.co/A6uDuPqbP6 https://t.co/IuUU2DWQdk"/>
    <s v="https://www.tiess.online"/>
    <s v="tiess.online"/>
    <x v="2"/>
    <s v="https://pbs.twimg.com/media/Ess-ec-W4AAHvDb.jpg"/>
    <s v="https://pbs.twimg.com/media/Ess-ec-W4AAHvDb.jpg"/>
    <x v="150"/>
    <d v="2021-01-27T00:00:00.000"/>
    <s v="01:48:17"/>
    <s v="https://twitter.com/sambeckertweets/status/1354244808706031618"/>
    <m/>
    <m/>
    <s v="1354244808706031618"/>
    <m/>
    <b v="0"/>
    <n v="1"/>
    <s v=""/>
    <b v="0"/>
    <s v="en"/>
    <m/>
    <s v=""/>
    <b v="0"/>
    <n v="0"/>
    <s v=""/>
    <s v="Twitter for iPhone"/>
    <b v="0"/>
    <s v="1354244808706031618"/>
    <s v="Tweet"/>
    <n v="0"/>
    <n v="0"/>
    <m/>
    <m/>
    <m/>
    <m/>
    <m/>
    <m/>
    <m/>
    <m/>
    <n v="1"/>
    <s v="1"/>
    <s v="1"/>
    <n v="0"/>
    <n v="0"/>
    <n v="0"/>
    <n v="0"/>
    <n v="0"/>
    <n v="0"/>
    <n v="44"/>
    <n v="100"/>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3">
    <i>
      <x v="1"/>
    </i>
    <i r="1">
      <x v="1"/>
    </i>
    <i r="2">
      <x v="19"/>
    </i>
    <i r="3">
      <x v="10"/>
    </i>
    <i r="3">
      <x v="12"/>
    </i>
    <i r="3">
      <x v="13"/>
    </i>
    <i r="3">
      <x v="14"/>
    </i>
    <i r="3">
      <x v="16"/>
    </i>
    <i r="2">
      <x v="20"/>
    </i>
    <i r="3">
      <x v="6"/>
    </i>
    <i r="3">
      <x v="11"/>
    </i>
    <i r="3">
      <x v="12"/>
    </i>
    <i r="3">
      <x v="15"/>
    </i>
    <i r="2">
      <x v="21"/>
    </i>
    <i r="3">
      <x v="5"/>
    </i>
    <i r="3">
      <x v="6"/>
    </i>
    <i r="3">
      <x v="7"/>
    </i>
    <i r="3">
      <x v="8"/>
    </i>
    <i r="3">
      <x v="10"/>
    </i>
    <i r="3">
      <x v="12"/>
    </i>
    <i r="3">
      <x v="13"/>
    </i>
    <i r="3">
      <x v="15"/>
    </i>
    <i r="3">
      <x v="16"/>
    </i>
    <i r="3">
      <x v="17"/>
    </i>
    <i r="3">
      <x v="21"/>
    </i>
    <i r="2">
      <x v="22"/>
    </i>
    <i r="3">
      <x v="6"/>
    </i>
    <i r="3">
      <x v="7"/>
    </i>
    <i r="3">
      <x v="8"/>
    </i>
    <i r="3">
      <x v="9"/>
    </i>
    <i r="3">
      <x v="10"/>
    </i>
    <i r="3">
      <x v="11"/>
    </i>
    <i r="3">
      <x v="12"/>
    </i>
    <i r="3">
      <x v="13"/>
    </i>
    <i r="3">
      <x v="14"/>
    </i>
    <i r="3">
      <x v="15"/>
    </i>
    <i r="3">
      <x v="16"/>
    </i>
    <i r="3">
      <x v="17"/>
    </i>
    <i r="3">
      <x v="18"/>
    </i>
    <i r="2">
      <x v="23"/>
    </i>
    <i r="3">
      <x v="7"/>
    </i>
    <i r="3">
      <x v="8"/>
    </i>
    <i r="3">
      <x v="9"/>
    </i>
    <i r="3">
      <x v="10"/>
    </i>
    <i r="3">
      <x v="11"/>
    </i>
    <i r="3">
      <x v="12"/>
    </i>
    <i r="3">
      <x v="13"/>
    </i>
    <i r="3">
      <x v="14"/>
    </i>
    <i r="3">
      <x v="16"/>
    </i>
    <i r="3">
      <x v="19"/>
    </i>
    <i r="2">
      <x v="24"/>
    </i>
    <i r="3">
      <x v="3"/>
    </i>
    <i r="3">
      <x v="5"/>
    </i>
    <i r="3">
      <x v="15"/>
    </i>
    <i r="3">
      <x v="17"/>
    </i>
    <i r="3">
      <x v="19"/>
    </i>
    <i r="3">
      <x v="20"/>
    </i>
    <i r="3">
      <x v="21"/>
    </i>
    <i r="2">
      <x v="25"/>
    </i>
    <i r="3">
      <x v="7"/>
    </i>
    <i r="3">
      <x v="8"/>
    </i>
    <i r="3">
      <x v="9"/>
    </i>
    <i r="3">
      <x v="10"/>
    </i>
    <i r="3">
      <x v="11"/>
    </i>
    <i r="3">
      <x v="14"/>
    </i>
    <i r="3">
      <x v="18"/>
    </i>
    <i r="2">
      <x v="26"/>
    </i>
    <i r="3">
      <x v="7"/>
    </i>
    <i r="3">
      <x v="8"/>
    </i>
    <i r="3">
      <x v="9"/>
    </i>
    <i r="3">
      <x v="10"/>
    </i>
    <i r="3">
      <x v="12"/>
    </i>
    <i r="3">
      <x v="13"/>
    </i>
    <i r="3">
      <x v="14"/>
    </i>
    <i r="3">
      <x v="15"/>
    </i>
    <i r="3">
      <x v="16"/>
    </i>
    <i r="3">
      <x v="17"/>
    </i>
    <i r="3">
      <x v="22"/>
    </i>
    <i r="3">
      <x v="23"/>
    </i>
    <i r="3">
      <x v="24"/>
    </i>
    <i r="2">
      <x v="27"/>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7091483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70914831">
      <items count="12">
        <i x="3" s="1"/>
        <i x="4" s="1"/>
        <i x="2" s="1"/>
        <i x="11" s="1"/>
        <i x="8" s="1"/>
        <i x="0" s="1"/>
        <i x="1" s="1"/>
        <i x="7" s="1"/>
        <i x="5" s="1"/>
        <i x="9" s="1"/>
        <i x="6"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246" totalsRowShown="0" headerRowDxfId="501" dataDxfId="465">
  <autoFilter ref="A2:BN246"/>
  <tableColumns count="66">
    <tableColumn id="1" name="Vertex 1" dataDxfId="450"/>
    <tableColumn id="2" name="Vertex 2" dataDxfId="448"/>
    <tableColumn id="3" name="Color" dataDxfId="449"/>
    <tableColumn id="4" name="Width" dataDxfId="474"/>
    <tableColumn id="11" name="Style" dataDxfId="473"/>
    <tableColumn id="5" name="Opacity" dataDxfId="472"/>
    <tableColumn id="6" name="Visibility" dataDxfId="471"/>
    <tableColumn id="10" name="Label" dataDxfId="470"/>
    <tableColumn id="12" name="Label Text Color" dataDxfId="469"/>
    <tableColumn id="13" name="Label Font Size" dataDxfId="468"/>
    <tableColumn id="14" name="Reciprocated?" dataDxfId="354"/>
    <tableColumn id="7" name="ID" dataDxfId="467"/>
    <tableColumn id="9" name="Dynamic Filter" dataDxfId="466"/>
    <tableColumn id="8" name="Add Your Own Columns Here" dataDxfId="447"/>
    <tableColumn id="15" name="Relationship" dataDxfId="446"/>
    <tableColumn id="16" name="Relationship Date (UTC)" dataDxfId="445"/>
    <tableColumn id="17" name="Tweet" dataDxfId="444"/>
    <tableColumn id="18" name="URLs in Tweet" dataDxfId="443"/>
    <tableColumn id="19" name="Domains in Tweet" dataDxfId="442"/>
    <tableColumn id="20" name="Hashtags in Tweet" dataDxfId="441"/>
    <tableColumn id="21" name="Media in Tweet" dataDxfId="440"/>
    <tableColumn id="22" name="Tweet Image File" dataDxfId="439"/>
    <tableColumn id="23" name="Tweet Date (UTC)" dataDxfId="438"/>
    <tableColumn id="24" name="Date" dataDxfId="437"/>
    <tableColumn id="25" name="Time" dataDxfId="436"/>
    <tableColumn id="26" name="Twitter Page for Tweet" dataDxfId="435"/>
    <tableColumn id="27" name="Latitude" dataDxfId="434"/>
    <tableColumn id="28" name="Longitude" dataDxfId="433"/>
    <tableColumn id="29" name="Imported ID" dataDxfId="432"/>
    <tableColumn id="30" name="In-Reply-To Tweet ID" dataDxfId="431"/>
    <tableColumn id="31" name="Favorited" dataDxfId="430"/>
    <tableColumn id="32" name="Favorite Count" dataDxfId="429"/>
    <tableColumn id="33" name="In-Reply-To User ID" dataDxfId="428"/>
    <tableColumn id="34" name="Is Quote Status" dataDxfId="427"/>
    <tableColumn id="35" name="Language" dataDxfId="426"/>
    <tableColumn id="36" name="Possibly Sensitive" dataDxfId="425"/>
    <tableColumn id="37" name="Quoted Status ID" dataDxfId="424"/>
    <tableColumn id="38" name="Retweeted" dataDxfId="423"/>
    <tableColumn id="39" name="Retweet Count" dataDxfId="422"/>
    <tableColumn id="40" name="Retweet ID" dataDxfId="421"/>
    <tableColumn id="41" name="Source" dataDxfId="420"/>
    <tableColumn id="42" name="Truncated" dataDxfId="419"/>
    <tableColumn id="43" name="Unified Twitter ID" dataDxfId="418"/>
    <tableColumn id="44" name="Imported Tweet Type" dataDxfId="417"/>
    <tableColumn id="45" name="Added By Extended Analysis" dataDxfId="416"/>
    <tableColumn id="46" name="Corrected By Extended Analysis" dataDxfId="415"/>
    <tableColumn id="47" name="Place Bounding Box" dataDxfId="414"/>
    <tableColumn id="48" name="Place Country" dataDxfId="413"/>
    <tableColumn id="49" name="Place Country Code" dataDxfId="412"/>
    <tableColumn id="50" name="Place Full Name" dataDxfId="411"/>
    <tableColumn id="51" name="Place ID" dataDxfId="410"/>
    <tableColumn id="52" name="Place Name" dataDxfId="409"/>
    <tableColumn id="53" name="Place Type" dataDxfId="408"/>
    <tableColumn id="54" name="Place URL" dataDxfId="407"/>
    <tableColumn id="55" name="Edge Weight"/>
    <tableColumn id="56" name="Vertex 1 Group" dataDxfId="369">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List1 Word Count" dataDxfId="119"/>
    <tableColumn id="59" name="Sentiment List #1: List1 Word Percentage (%)" dataDxfId="118"/>
    <tableColumn id="60" name="Sentiment List #2: List2 Word Count" dataDxfId="117"/>
    <tableColumn id="61" name="Sentiment List #2: List2 Word Percentage (%)" dataDxfId="116"/>
    <tableColumn id="62" name="Sentiment List #3: List3 Word Count" dataDxfId="115"/>
    <tableColumn id="63" name="Sentiment List #3: List3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3" dataDxfId="352">
  <autoFilter ref="A1:V11"/>
  <tableColumns count="22">
    <tableColumn id="1" name="Top URLs in Tweet in Entire Graph" dataDxfId="351"/>
    <tableColumn id="2" name="Entire Graph Count" dataDxfId="350"/>
    <tableColumn id="3" name="Top URLs in Tweet in G1" dataDxfId="349"/>
    <tableColumn id="4" name="G1 Count" dataDxfId="348"/>
    <tableColumn id="5" name="Top URLs in Tweet in G2" dataDxfId="347"/>
    <tableColumn id="6" name="G2 Count" dataDxfId="346"/>
    <tableColumn id="7" name="Top URLs in Tweet in G3" dataDxfId="345"/>
    <tableColumn id="8" name="G3 Count" dataDxfId="344"/>
    <tableColumn id="9" name="Top URLs in Tweet in G4" dataDxfId="343"/>
    <tableColumn id="10" name="G4 Count" dataDxfId="342"/>
    <tableColumn id="11" name="Top URLs in Tweet in G5" dataDxfId="341"/>
    <tableColumn id="12" name="G5 Count" dataDxfId="340"/>
    <tableColumn id="13" name="Top URLs in Tweet in G6" dataDxfId="339"/>
    <tableColumn id="14" name="G6 Count" dataDxfId="338"/>
    <tableColumn id="15" name="Top URLs in Tweet in G7" dataDxfId="337"/>
    <tableColumn id="16" name="G7 Count" dataDxfId="336"/>
    <tableColumn id="17" name="Top URLs in Tweet in G8" dataDxfId="335"/>
    <tableColumn id="18" name="G8 Count" dataDxfId="334"/>
    <tableColumn id="19" name="Top URLs in Tweet in G9" dataDxfId="333"/>
    <tableColumn id="20" name="G9 Count" dataDxfId="332"/>
    <tableColumn id="21" name="Top URLs in Tweet in G10" dataDxfId="331"/>
    <tableColumn id="22" name="G10 Count" dataDxfId="3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8" totalsRowShown="0" headerRowDxfId="328" dataDxfId="327">
  <autoFilter ref="A14:V18"/>
  <tableColumns count="22">
    <tableColumn id="1" name="Top Domains in Tweet in Entire Graph" dataDxfId="326"/>
    <tableColumn id="2" name="Entire Graph Count" dataDxfId="325"/>
    <tableColumn id="3" name="Top Domains in Tweet in G1" dataDxfId="324"/>
    <tableColumn id="4" name="G1 Count" dataDxfId="323"/>
    <tableColumn id="5" name="Top Domains in Tweet in G2" dataDxfId="322"/>
    <tableColumn id="6" name="G2 Count" dataDxfId="321"/>
    <tableColumn id="7" name="Top Domains in Tweet in G3" dataDxfId="320"/>
    <tableColumn id="8" name="G3 Count" dataDxfId="319"/>
    <tableColumn id="9" name="Top Domains in Tweet in G4" dataDxfId="318"/>
    <tableColumn id="10" name="G4 Count" dataDxfId="317"/>
    <tableColumn id="11" name="Top Domains in Tweet in G5" dataDxfId="316"/>
    <tableColumn id="12" name="G5 Count" dataDxfId="315"/>
    <tableColumn id="13" name="Top Domains in Tweet in G6" dataDxfId="314"/>
    <tableColumn id="14" name="G6 Count" dataDxfId="313"/>
    <tableColumn id="15" name="Top Domains in Tweet in G7" dataDxfId="312"/>
    <tableColumn id="16" name="G7 Count" dataDxfId="311"/>
    <tableColumn id="17" name="Top Domains in Tweet in G8" dataDxfId="310"/>
    <tableColumn id="18" name="G8 Count" dataDxfId="309"/>
    <tableColumn id="19" name="Top Domains in Tweet in G9" dataDxfId="308"/>
    <tableColumn id="20" name="G9 Count" dataDxfId="307"/>
    <tableColumn id="21" name="Top Domains in Tweet in G10" dataDxfId="306"/>
    <tableColumn id="22" name="G10 Count" dataDxfId="3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V31" totalsRowShown="0" headerRowDxfId="303" dataDxfId="302">
  <autoFilter ref="A21:V31"/>
  <tableColumns count="22">
    <tableColumn id="1" name="Top Hashtags in Tweet in Entire Graph" dataDxfId="301"/>
    <tableColumn id="2" name="Entire Graph Count" dataDxfId="300"/>
    <tableColumn id="3" name="Top Hashtags in Tweet in G1" dataDxfId="299"/>
    <tableColumn id="4" name="G1 Count" dataDxfId="298"/>
    <tableColumn id="5" name="Top Hashtags in Tweet in G2" dataDxfId="297"/>
    <tableColumn id="6" name="G2 Count" dataDxfId="296"/>
    <tableColumn id="7" name="Top Hashtags in Tweet in G3" dataDxfId="295"/>
    <tableColumn id="8" name="G3 Count" dataDxfId="294"/>
    <tableColumn id="9" name="Top Hashtags in Tweet in G4" dataDxfId="293"/>
    <tableColumn id="10" name="G4 Count" dataDxfId="292"/>
    <tableColumn id="11" name="Top Hashtags in Tweet in G5" dataDxfId="291"/>
    <tableColumn id="12" name="G5 Count" dataDxfId="290"/>
    <tableColumn id="13" name="Top Hashtags in Tweet in G6" dataDxfId="289"/>
    <tableColumn id="14" name="G6 Count" dataDxfId="288"/>
    <tableColumn id="15" name="Top Hashtags in Tweet in G7" dataDxfId="287"/>
    <tableColumn id="16" name="G7 Count" dataDxfId="286"/>
    <tableColumn id="17" name="Top Hashtags in Tweet in G8" dataDxfId="285"/>
    <tableColumn id="18" name="G8 Count" dataDxfId="284"/>
    <tableColumn id="19" name="Top Hashtags in Tweet in G9" dataDxfId="283"/>
    <tableColumn id="20" name="G9 Count" dataDxfId="282"/>
    <tableColumn id="21" name="Top Hashtags in Tweet in G10" dataDxfId="281"/>
    <tableColumn id="22" name="G10 Count" dataDxfId="28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V44" totalsRowShown="0" headerRowDxfId="278" dataDxfId="277">
  <autoFilter ref="A34:V44"/>
  <tableColumns count="22">
    <tableColumn id="1" name="Top Words in Tweet in Entire Graph" dataDxfId="276"/>
    <tableColumn id="2" name="Entire Graph Count" dataDxfId="275"/>
    <tableColumn id="3" name="Top Words in Tweet in G1" dataDxfId="274"/>
    <tableColumn id="4" name="G1 Count" dataDxfId="273"/>
    <tableColumn id="5" name="Top Words in Tweet in G2" dataDxfId="272"/>
    <tableColumn id="6" name="G2 Count" dataDxfId="271"/>
    <tableColumn id="7" name="Top Words in Tweet in G3" dataDxfId="270"/>
    <tableColumn id="8" name="G3 Count" dataDxfId="269"/>
    <tableColumn id="9" name="Top Words in Tweet in G4" dataDxfId="268"/>
    <tableColumn id="10" name="G4 Count" dataDxfId="267"/>
    <tableColumn id="11" name="Top Words in Tweet in G5" dataDxfId="266"/>
    <tableColumn id="12" name="G5 Count" dataDxfId="265"/>
    <tableColumn id="13" name="Top Words in Tweet in G6" dataDxfId="264"/>
    <tableColumn id="14" name="G6 Count" dataDxfId="263"/>
    <tableColumn id="15" name="Top Words in Tweet in G7" dataDxfId="262"/>
    <tableColumn id="16" name="G7 Count" dataDxfId="261"/>
    <tableColumn id="17" name="Top Words in Tweet in G8" dataDxfId="260"/>
    <tableColumn id="18" name="G8 Count" dataDxfId="259"/>
    <tableColumn id="19" name="Top Words in Tweet in G9" dataDxfId="258"/>
    <tableColumn id="20" name="G9 Count" dataDxfId="257"/>
    <tableColumn id="21" name="Top Words in Tweet in G10" dataDxfId="256"/>
    <tableColumn id="22" name="G10 Count" dataDxfId="25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V57" totalsRowShown="0" headerRowDxfId="253" dataDxfId="252">
  <autoFilter ref="A47:V57"/>
  <tableColumns count="22">
    <tableColumn id="1" name="Top Word Pairs in Tweet in Entire Graph" dataDxfId="251"/>
    <tableColumn id="2" name="Entire Graph Count" dataDxfId="250"/>
    <tableColumn id="3" name="Top Word Pairs in Tweet in G1" dataDxfId="249"/>
    <tableColumn id="4" name="G1 Count" dataDxfId="248"/>
    <tableColumn id="5" name="Top Word Pairs in Tweet in G2" dataDxfId="247"/>
    <tableColumn id="6" name="G2 Count" dataDxfId="246"/>
    <tableColumn id="7" name="Top Word Pairs in Tweet in G3" dataDxfId="245"/>
    <tableColumn id="8" name="G3 Count" dataDxfId="244"/>
    <tableColumn id="9" name="Top Word Pairs in Tweet in G4" dataDxfId="243"/>
    <tableColumn id="10" name="G4 Count" dataDxfId="242"/>
    <tableColumn id="11" name="Top Word Pairs in Tweet in G5" dataDxfId="241"/>
    <tableColumn id="12" name="G5 Count" dataDxfId="240"/>
    <tableColumn id="13" name="Top Word Pairs in Tweet in G6" dataDxfId="239"/>
    <tableColumn id="14" name="G6 Count" dataDxfId="238"/>
    <tableColumn id="15" name="Top Word Pairs in Tweet in G7" dataDxfId="237"/>
    <tableColumn id="16" name="G7 Count" dataDxfId="236"/>
    <tableColumn id="17" name="Top Word Pairs in Tweet in G8" dataDxfId="235"/>
    <tableColumn id="18" name="G8 Count" dataDxfId="234"/>
    <tableColumn id="19" name="Top Word Pairs in Tweet in G9" dataDxfId="233"/>
    <tableColumn id="20" name="G9 Count" dataDxfId="232"/>
    <tableColumn id="21" name="Top Word Pairs in Tweet in G10" dataDxfId="231"/>
    <tableColumn id="22" name="G10 Count" dataDxfId="2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V61" totalsRowShown="0" headerRowDxfId="228" dataDxfId="227">
  <autoFilter ref="A60:V61"/>
  <tableColumns count="22">
    <tableColumn id="1" name="Top Replied-To in Entire Graph" dataDxfId="226"/>
    <tableColumn id="2" name="Entire Graph Count" dataDxfId="222"/>
    <tableColumn id="3" name="Top Replied-To in G1" dataDxfId="221"/>
    <tableColumn id="4" name="G1 Count" dataDxfId="218"/>
    <tableColumn id="5" name="Top Replied-To in G2" dataDxfId="217"/>
    <tableColumn id="6" name="G2 Count" dataDxfId="214"/>
    <tableColumn id="7" name="Top Replied-To in G3" dataDxfId="213"/>
    <tableColumn id="8" name="G3 Count" dataDxfId="210"/>
    <tableColumn id="9" name="Top Replied-To in G4" dataDxfId="209"/>
    <tableColumn id="10" name="G4 Count" dataDxfId="206"/>
    <tableColumn id="11" name="Top Replied-To in G5" dataDxfId="205"/>
    <tableColumn id="12" name="G5 Count" dataDxfId="202"/>
    <tableColumn id="13" name="Top Replied-To in G6" dataDxfId="201"/>
    <tableColumn id="14" name="G6 Count" dataDxfId="198"/>
    <tableColumn id="15" name="Top Replied-To in G7" dataDxfId="197"/>
    <tableColumn id="16" name="G7 Count" dataDxfId="194"/>
    <tableColumn id="17" name="Top Replied-To in G8" dataDxfId="193"/>
    <tableColumn id="18" name="G8 Count" dataDxfId="190"/>
    <tableColumn id="19" name="Top Replied-To in G9" dataDxfId="189"/>
    <tableColumn id="20" name="G9 Count" dataDxfId="186"/>
    <tableColumn id="21" name="Top Replied-To in G10" dataDxfId="185"/>
    <tableColumn id="22" name="G10 Count" dataDxfId="18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3:V73" totalsRowShown="0" headerRowDxfId="225" dataDxfId="224">
  <autoFilter ref="A63:V73"/>
  <tableColumns count="22">
    <tableColumn id="1" name="Top Mentioned in Entire Graph" dataDxfId="223"/>
    <tableColumn id="2" name="Entire Graph Count" dataDxfId="220"/>
    <tableColumn id="3" name="Top Mentioned in G1" dataDxfId="219"/>
    <tableColumn id="4" name="G1 Count" dataDxfId="216"/>
    <tableColumn id="5" name="Top Mentioned in G2" dataDxfId="215"/>
    <tableColumn id="6" name="G2 Count" dataDxfId="212"/>
    <tableColumn id="7" name="Top Mentioned in G3" dataDxfId="211"/>
    <tableColumn id="8" name="G3 Count" dataDxfId="208"/>
    <tableColumn id="9" name="Top Mentioned in G4" dataDxfId="207"/>
    <tableColumn id="10" name="G4 Count" dataDxfId="204"/>
    <tableColumn id="11" name="Top Mentioned in G5" dataDxfId="203"/>
    <tableColumn id="12" name="G5 Count" dataDxfId="200"/>
    <tableColumn id="13" name="Top Mentioned in G6" dataDxfId="199"/>
    <tableColumn id="14" name="G6 Count" dataDxfId="196"/>
    <tableColumn id="15" name="Top Mentioned in G7" dataDxfId="195"/>
    <tableColumn id="16" name="G7 Count" dataDxfId="192"/>
    <tableColumn id="17" name="Top Mentioned in G8" dataDxfId="191"/>
    <tableColumn id="18" name="G8 Count" dataDxfId="188"/>
    <tableColumn id="19" name="Top Mentioned in G9" dataDxfId="187"/>
    <tableColumn id="20" name="G9 Count" dataDxfId="183"/>
    <tableColumn id="21" name="Top Mentioned in G10" dataDxfId="182"/>
    <tableColumn id="22" name="G10 Count" dataDxfId="18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6:V86" totalsRowShown="0" headerRowDxfId="178" dataDxfId="177">
  <autoFilter ref="A76:V86"/>
  <tableColumns count="22">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 id="19" name="Top Tweeters in G9" dataDxfId="158"/>
    <tableColumn id="20" name="G9 Count" dataDxfId="157"/>
    <tableColumn id="21" name="Top Tweeters in G10" dataDxfId="156"/>
    <tableColumn id="22" name="G10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865" totalsRowShown="0" headerRowDxfId="143" dataDxfId="142">
  <autoFilter ref="A1:G865"/>
  <tableColumns count="7">
    <tableColumn id="1" name="Word" dataDxfId="141"/>
    <tableColumn id="2" name="Count" dataDxfId="140"/>
    <tableColumn id="3" name="Salience" dataDxfId="139"/>
    <tableColumn id="4" name="Group" dataDxfId="138"/>
    <tableColumn id="5" name="Word on Sentiment List #1: List1" dataDxfId="137"/>
    <tableColumn id="6" name="Word on Sentiment List #2: List2" dataDxfId="136"/>
    <tableColumn id="7" name="Word on Sentiment List #3: List3"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18" totalsRowShown="0" headerRowDxfId="500" dataDxfId="451">
  <autoFilter ref="A2:BU118"/>
  <tableColumns count="73">
    <tableColumn id="1" name="Vertex" dataDxfId="464"/>
    <tableColumn id="73" name="Subgraph"/>
    <tableColumn id="2" name="Color" dataDxfId="463"/>
    <tableColumn id="5" name="Shape" dataDxfId="462"/>
    <tableColumn id="6" name="Size" dataDxfId="461"/>
    <tableColumn id="4" name="Opacity" dataDxfId="386"/>
    <tableColumn id="7" name="Image File" dataDxfId="384"/>
    <tableColumn id="3" name="Visibility" dataDxfId="385"/>
    <tableColumn id="10" name="Label" dataDxfId="460"/>
    <tableColumn id="16" name="Label Fill Color" dataDxfId="459"/>
    <tableColumn id="9" name="Label Position" dataDxfId="380"/>
    <tableColumn id="8" name="Tooltip" dataDxfId="378"/>
    <tableColumn id="18" name="Layout Order" dataDxfId="379"/>
    <tableColumn id="13" name="X" dataDxfId="458"/>
    <tableColumn id="14" name="Y" dataDxfId="457"/>
    <tableColumn id="12" name="Locked?" dataDxfId="456"/>
    <tableColumn id="19" name="Polar R" dataDxfId="455"/>
    <tableColumn id="20" name="Polar Angle" dataDxfId="454"/>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453"/>
    <tableColumn id="28" name="Dynamic Filter" dataDxfId="452"/>
    <tableColumn id="17" name="Add Your Own Columns Here" dataDxfId="406"/>
    <tableColumn id="30" name="Name" dataDxfId="405"/>
    <tableColumn id="31" name="User ID" dataDxfId="404"/>
    <tableColumn id="32" name="Followed" dataDxfId="403"/>
    <tableColumn id="33" name="Followers" dataDxfId="402"/>
    <tableColumn id="34" name="Tweets" dataDxfId="401"/>
    <tableColumn id="35" name="Favorites" dataDxfId="400"/>
    <tableColumn id="36" name="Time Zone UTC Offset (Seconds)" dataDxfId="399"/>
    <tableColumn id="37" name="Description" dataDxfId="398"/>
    <tableColumn id="38" name="Location" dataDxfId="397"/>
    <tableColumn id="39" name="Web" dataDxfId="396"/>
    <tableColumn id="40" name="Time Zone" dataDxfId="395"/>
    <tableColumn id="41" name="Joined Twitter Date (UTC)" dataDxfId="394"/>
    <tableColumn id="42" name="Profile Banner Url" dataDxfId="393"/>
    <tableColumn id="43" name="Default Profile" dataDxfId="392"/>
    <tableColumn id="44" name="Default Profile Image" dataDxfId="391"/>
    <tableColumn id="45" name="Geo Enabled" dataDxfId="390"/>
    <tableColumn id="46" name="Language" dataDxfId="389"/>
    <tableColumn id="47" name="Listed Count" dataDxfId="388"/>
    <tableColumn id="48" name="Profile Background Image Url" dataDxfId="387"/>
    <tableColumn id="49" name="Verified" dataDxfId="383"/>
    <tableColumn id="50" name="Custom Menu Item Text" dataDxfId="382"/>
    <tableColumn id="51" name="Custom Menu Item Action" dataDxfId="381"/>
    <tableColumn id="52" name="Tweeted Search Term?" dataDxfId="370"/>
    <tableColumn id="53" name="Vertex Group" dataDxfId="153">
      <calculatedColumnFormula>REPLACE(INDEX(GroupVertices[Group], MATCH(Vertices[[#This Row],[Vertex]],GroupVertices[Vertex],0)),1,1,"")</calculatedColumnFormula>
    </tableColumn>
    <tableColumn id="54" name="Top URLs in Tweet by Count" dataDxfId="152"/>
    <tableColumn id="55" name="Top URLs in Tweet by Salience" dataDxfId="151"/>
    <tableColumn id="56" name="Top Domains in Tweet by Count" dataDxfId="150"/>
    <tableColumn id="57" name="Top Domains in Tweet by Salience" dataDxfId="149"/>
    <tableColumn id="58" name="Top Hashtags in Tweet by Count" dataDxfId="148"/>
    <tableColumn id="59" name="Top Hashtags in Tweet by Salience" dataDxfId="147"/>
    <tableColumn id="60" name="Top Words in Tweet by Count" dataDxfId="146"/>
    <tableColumn id="61" name="Top Words in Tweet by Salience" dataDxfId="145"/>
    <tableColumn id="62" name="Top Word Pairs in Tweet by Count" dataDxfId="144"/>
    <tableColumn id="63" name="Top Word Pairs in Tweet by Salience" dataDxfId="110"/>
    <tableColumn id="64" name="Sentiment List #1: List1 Word Count" dataDxfId="109"/>
    <tableColumn id="65" name="Sentiment List #1: List1 Word Percentage (%)" dataDxfId="108"/>
    <tableColumn id="66" name="Sentiment List #2: List2 Word Count" dataDxfId="107"/>
    <tableColumn id="67" name="Sentiment List #2: List2 Word Percentage (%)" dataDxfId="106"/>
    <tableColumn id="68" name="Sentiment List #3: List3 Word Count" dataDxfId="105"/>
    <tableColumn id="69" name="Sentiment List #3: List3 Word Percentage (%)" dataDxfId="104"/>
    <tableColumn id="70" name="Non-categorized Word Count" dataDxfId="103"/>
    <tableColumn id="71" name="Non-categorized Word Percentage (%)" dataDxfId="102"/>
    <tableColumn id="72"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62" totalsRowShown="0" headerRowDxfId="134" dataDxfId="133">
  <autoFilter ref="A1:L1062"/>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List1" dataDxfId="126"/>
    <tableColumn id="8" name="Word1 on Sentiment List #2: List2" dataDxfId="125"/>
    <tableColumn id="9" name="Word1 on Sentiment List #3: List3" dataDxfId="124"/>
    <tableColumn id="10" name="Word2 on Sentiment List #1: List1" dataDxfId="123"/>
    <tableColumn id="11" name="Word2 on Sentiment List #2: List2" dataDxfId="122"/>
    <tableColumn id="12" name="Word2 on Sentiment List #3: List3"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90" dataDxfId="89">
  <autoFilter ref="A2:C35"/>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99">
  <autoFilter ref="A2:AO15"/>
  <tableColumns count="41">
    <tableColumn id="1" name="Group" dataDxfId="377"/>
    <tableColumn id="2" name="Vertex Color" dataDxfId="376"/>
    <tableColumn id="3" name="Vertex Shape" dataDxfId="374"/>
    <tableColumn id="22" name="Visibility" dataDxfId="375"/>
    <tableColumn id="4" name="Collapsed?"/>
    <tableColumn id="18" name="Label" dataDxfId="498"/>
    <tableColumn id="20" name="Collapsed X"/>
    <tableColumn id="21" name="Collapsed Y"/>
    <tableColumn id="6" name="ID" dataDxfId="497"/>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29"/>
    <tableColumn id="23" name="Top URLs in Tweet" dataDxfId="304"/>
    <tableColumn id="26" name="Top Domains in Tweet" dataDxfId="279"/>
    <tableColumn id="27" name="Top Hashtags in Tweet" dataDxfId="254"/>
    <tableColumn id="28" name="Top Words in Tweet" dataDxfId="229"/>
    <tableColumn id="29" name="Top Word Pairs in Tweet" dataDxfId="180"/>
    <tableColumn id="30" name="Top Replied-To in Tweet" dataDxfId="179"/>
    <tableColumn id="31" name="Top Mentioned in Tweet" dataDxfId="154"/>
    <tableColumn id="32" name="Top Tweeters" dataDxfId="100"/>
    <tableColumn id="33" name="Sentiment List #1: List1 Word Count" dataDxfId="99"/>
    <tableColumn id="34" name="Sentiment List #1: List1 Word Percentage (%)" dataDxfId="98"/>
    <tableColumn id="35" name="Sentiment List #2: List2 Word Count" dataDxfId="97"/>
    <tableColumn id="36" name="Sentiment List #2: List2 Word Percentage (%)" dataDxfId="96"/>
    <tableColumn id="37" name="Sentiment List #3: List3 Word Count" dataDxfId="95"/>
    <tableColumn id="38" name="Sentiment List #3: List3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96" dataDxfId="495">
  <autoFilter ref="A1:C117"/>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4"/>
    <tableColumn id="2" name="Degree Frequency" dataDxfId="493">
      <calculatedColumnFormula>COUNTIF(Vertices[Degree], "&gt;= " &amp; D2) - COUNTIF(Vertices[Degree], "&gt;=" &amp; D3)</calculatedColumnFormula>
    </tableColumn>
    <tableColumn id="3" name="In-Degree Bin" dataDxfId="492"/>
    <tableColumn id="4" name="In-Degree Frequency" dataDxfId="491">
      <calculatedColumnFormula>COUNTIF(Vertices[In-Degree], "&gt;= " &amp; F2) - COUNTIF(Vertices[In-Degree], "&gt;=" &amp; F3)</calculatedColumnFormula>
    </tableColumn>
    <tableColumn id="5" name="Out-Degree Bin" dataDxfId="490"/>
    <tableColumn id="6" name="Out-Degree Frequency" dataDxfId="489">
      <calculatedColumnFormula>COUNTIF(Vertices[Out-Degree], "&gt;= " &amp; H2) - COUNTIF(Vertices[Out-Degree], "&gt;=" &amp; H3)</calculatedColumnFormula>
    </tableColumn>
    <tableColumn id="7" name="Betweenness Centrality Bin" dataDxfId="488"/>
    <tableColumn id="8" name="Betweenness Centrality Frequency" dataDxfId="487">
      <calculatedColumnFormula>COUNTIF(Vertices[Betweenness Centrality], "&gt;= " &amp; J2) - COUNTIF(Vertices[Betweenness Centrality], "&gt;=" &amp; J3)</calculatedColumnFormula>
    </tableColumn>
    <tableColumn id="9" name="Closeness Centrality Bin" dataDxfId="486"/>
    <tableColumn id="10" name="Closeness Centrality Frequency" dataDxfId="485">
      <calculatedColumnFormula>COUNTIF(Vertices[Closeness Centrality], "&gt;= " &amp; L2) - COUNTIF(Vertices[Closeness Centrality], "&gt;=" &amp; L3)</calculatedColumnFormula>
    </tableColumn>
    <tableColumn id="11" name="Eigenvector Centrality Bin" dataDxfId="484"/>
    <tableColumn id="12" name="Eigenvector Centrality Frequency" dataDxfId="483">
      <calculatedColumnFormula>COUNTIF(Vertices[Eigenvector Centrality], "&gt;= " &amp; N2) - COUNTIF(Vertices[Eigenvector Centrality], "&gt;=" &amp; N3)</calculatedColumnFormula>
    </tableColumn>
    <tableColumn id="18" name="PageRank Bin" dataDxfId="482"/>
    <tableColumn id="17" name="PageRank Frequency" dataDxfId="481">
      <calculatedColumnFormula>COUNTIF(Vertices[Eigenvector Centrality], "&gt;= " &amp; P2) - COUNTIF(Vertices[Eigenvector Centrality], "&gt;=" &amp; P3)</calculatedColumnFormula>
    </tableColumn>
    <tableColumn id="13" name="Clustering Coefficient Bin" dataDxfId="480"/>
    <tableColumn id="14" name="Clustering Coefficient Frequency" dataDxfId="479">
      <calculatedColumnFormula>COUNTIF(Vertices[Clustering Coefficient], "&gt;= " &amp; R2) - COUNTIF(Vertices[Clustering Coefficient], "&gt;=" &amp; R3)</calculatedColumnFormula>
    </tableColumn>
    <tableColumn id="15" name="Dynamic Filter Bin" dataDxfId="478"/>
    <tableColumn id="16" name="Dynamic Filter Frequency" dataDxfId="4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iess.online/registration?utm_source=TIESS&amp;utm_medium=Amity&amp;utm_campaign=TIESS&amp;utm_term=010" TargetMode="External" /><Relationship Id="rId2" Type="http://schemas.openxmlformats.org/officeDocument/2006/relationships/hyperlink" Target="https://www.tiess.online/registration?utm_source=SM&amp;utm_medium=Swaroop&amp;utm_campaign=TIESS&amp;utm_term=015" TargetMode="External" /><Relationship Id="rId3" Type="http://schemas.openxmlformats.org/officeDocument/2006/relationships/hyperlink" Target="https://www.tiess.online/registration?utm_source=SM&amp;utm_medium=Rashef&amp;utm_campaign=TIESS&amp;utm_term=020" TargetMode="External" /><Relationship Id="rId4" Type="http://schemas.openxmlformats.org/officeDocument/2006/relationships/hyperlink" Target="https://www.tiess.online/registration?utm_source=Twitter&amp;utm_medium=IDA&amp;utm_campaign=TIESS&amp;utm_term=006" TargetMode="External" /><Relationship Id="rId5" Type="http://schemas.openxmlformats.org/officeDocument/2006/relationships/hyperlink" Target="https://www.tiess.online/registration?utm_source=SM&amp;utm_medium=Timmers&amp;utm_campaign=TIESS&amp;utm_term=022" TargetMode="External" /><Relationship Id="rId6" Type="http://schemas.openxmlformats.org/officeDocument/2006/relationships/hyperlink" Target="https://www.tiess.online/registration?utm_source=SM&amp;utm_medium=Raghavan&amp;utm_campaign=TIESS&amp;utm_term=023" TargetMode="External" /><Relationship Id="rId7" Type="http://schemas.openxmlformats.org/officeDocument/2006/relationships/hyperlink" Target="https://www.tiess.online/registration?utm_source=SM&amp;utm_medium=Yao&amp;utm_campaign=TIESS&amp;utm_term=009" TargetMode="External" /><Relationship Id="rId8" Type="http://schemas.openxmlformats.org/officeDocument/2006/relationships/hyperlink" Target="https://www.tiess.online/registration?utm_source=SM&amp;utm_medium=Vincent&amp;utm_campaign=TIESS&amp;utm_term=018" TargetMode="External" /><Relationship Id="rId9" Type="http://schemas.openxmlformats.org/officeDocument/2006/relationships/hyperlink" Target="https://www.tiess.online/registration?utm_source=SM&amp;utm_medium=Ramanan&amp;utm_campaign=TIESS&amp;utm_term=011" TargetMode="External" /><Relationship Id="rId10" Type="http://schemas.openxmlformats.org/officeDocument/2006/relationships/hyperlink" Target="https://www.tiess.online/registration?utm_source=SM&amp;utm_medium=Andreas&amp;utm_campaign=TIESS&amp;utm_term=008" TargetMode="External" /><Relationship Id="rId11" Type="http://schemas.openxmlformats.org/officeDocument/2006/relationships/hyperlink" Target="https://www.tiess.online/registration?utm_source=SM&amp;utm_medium=Swaroop&amp;utm_campaign=TIESS&amp;utm_term=015" TargetMode="External" /><Relationship Id="rId12" Type="http://schemas.openxmlformats.org/officeDocument/2006/relationships/hyperlink" Target="https://www.tiess.online/registration?utm_source=SM&amp;utm_medium=Raghavan&amp;utm_campaign=TIESS&amp;utm_term=023" TargetMode="External" /><Relationship Id="rId13" Type="http://schemas.openxmlformats.org/officeDocument/2006/relationships/hyperlink" Target="https://www.tiess.online/registration?utm_source=Manjula&amp;utm_medium=SM&amp;utm_campaign=TIESS&amp;utm_term=035" TargetMode="External" /><Relationship Id="rId14" Type="http://schemas.openxmlformats.org/officeDocument/2006/relationships/hyperlink" Target="https://www.tiess.online/registration?utm_source=SM&amp;utm_medium=Akyeampong&amp;utm_campaign=TIESS&amp;utm_term=031" TargetMode="External" /><Relationship Id="rId15" Type="http://schemas.openxmlformats.org/officeDocument/2006/relationships/hyperlink" Target="https://www.tiess.online/registration?utm_source=Mart&amp;utm_medium=Email&amp;utm_campaign=TIESS&amp;utm_term=018" TargetMode="External" /><Relationship Id="rId16" Type="http://schemas.openxmlformats.org/officeDocument/2006/relationships/hyperlink" Target="https://www.tiess.online/registration?utm_source=SM&amp;utm_medium=Timmers&amp;utm_campaign=TIESS&amp;utm_term=022" TargetMode="External" /><Relationship Id="rId17" Type="http://schemas.openxmlformats.org/officeDocument/2006/relationships/hyperlink" Target="https://www.tiess.online/registration?utm_source=SM&amp;utm_medium=Kelly&amp;utm_campaign=TIESS&amp;utm_term=024" TargetMode="External" /><Relationship Id="rId18" Type="http://schemas.openxmlformats.org/officeDocument/2006/relationships/hyperlink" Target="https://www.tiess.online/registration?utm_source=SM&amp;utm_medium=Joysy&amp;utm_campaign=TIESS&amp;utm_term=036" TargetMode="External" /><Relationship Id="rId19" Type="http://schemas.openxmlformats.org/officeDocument/2006/relationships/hyperlink" Target="https://www.tiess.online/registration?utm_source=SM&amp;utm_medium=Schmedlen&amp;utm_campaign=TIESS&amp;utm_term=032" TargetMode="External" /><Relationship Id="rId20" Type="http://schemas.openxmlformats.org/officeDocument/2006/relationships/hyperlink" Target="https://www.tiess.online/registration?utm_source=SM&amp;utm_medium=Graus&amp;utm_campaign=TIESS&amp;utm_term=017" TargetMode="External" /><Relationship Id="rId21" Type="http://schemas.openxmlformats.org/officeDocument/2006/relationships/hyperlink" Target="https://www.tiess.online/registration?utm_source=SM&amp;utm_medium=Rashef&amp;utm_campaign=TIESS&amp;utm_term=020" TargetMode="External" /><Relationship Id="rId22" Type="http://schemas.openxmlformats.org/officeDocument/2006/relationships/hyperlink" Target="https://bit.ly/3oTtvE6" TargetMode="External" /><Relationship Id="rId23" Type="http://schemas.openxmlformats.org/officeDocument/2006/relationships/hyperlink" Target="https://www.tiess.online/registration?utm_source=Partners&amp;utm_medium=All&amp;utm_campaign=TIESS&amp;utm_term=039" TargetMode="External" /><Relationship Id="rId24" Type="http://schemas.openxmlformats.org/officeDocument/2006/relationships/hyperlink" Target="https://www.tiess.online/registration?utm_source=Twitter&amp;utm_medium=IDA&amp;utm_campaign=TIESS&amp;utm_term=006" TargetMode="External" /><Relationship Id="rId25" Type="http://schemas.openxmlformats.org/officeDocument/2006/relationships/hyperlink" Target="https://www.tiess.online/registration?utm_source=SM&amp;utm_medium=Vincent&amp;utm_campaign=TIESS&amp;utm_term=018" TargetMode="External" /><Relationship Id="rId26" Type="http://schemas.openxmlformats.org/officeDocument/2006/relationships/hyperlink" Target="https://www.tiess.online/registration?utm_source=SM&amp;utm_medium=Andreas&amp;utm_campaign=TIESS&amp;utm_term=008" TargetMode="External" /><Relationship Id="rId27" Type="http://schemas.openxmlformats.org/officeDocument/2006/relationships/hyperlink" Target="https://virtual.tiess.online/" TargetMode="External" /><Relationship Id="rId28" Type="http://schemas.openxmlformats.org/officeDocument/2006/relationships/hyperlink" Target="https://www.tiess.online/registration?utm_source=SM&amp;utm_medium=Tim&amp;utm_campaign=TIESS&amp;utm_term=010" TargetMode="External" /><Relationship Id="rId29" Type="http://schemas.openxmlformats.org/officeDocument/2006/relationships/hyperlink" Target="https://www.tiess.online/registration?utm_source=TIESS&amp;utm_medium=Amity&amp;utm_campaign=TIESS&amp;utm_term=010" TargetMode="External" /><Relationship Id="rId30" Type="http://schemas.openxmlformats.org/officeDocument/2006/relationships/hyperlink" Target="https://twitter.com/indiadidac/status/1352130841325944834" TargetMode="External" /><Relationship Id="rId31" Type="http://schemas.openxmlformats.org/officeDocument/2006/relationships/hyperlink" Target="https://www.tiess.online/registration?utm_source=SM&amp;utm_medium=Ferrit&amp;utm_campaign=TIESS&amp;utm_term=034" TargetMode="External" /><Relationship Id="rId32" Type="http://schemas.openxmlformats.org/officeDocument/2006/relationships/hyperlink" Target="https://www.tiess.online/registration?utm_source=SM&amp;utm_medium=Ramanan&amp;utm_campaign=TIESS&amp;utm_term=011" TargetMode="External" /><Relationship Id="rId33" Type="http://schemas.openxmlformats.org/officeDocument/2006/relationships/hyperlink" Target="https://twitter.com/Indiadidac/status/1353586348117028867" TargetMode="External" /><Relationship Id="rId34" Type="http://schemas.openxmlformats.org/officeDocument/2006/relationships/hyperlink" Target="https://www.tiess.online/registration?utm_source=SM&amp;utm_medium=Krishnan&amp;utm_campaign=TIESS&amp;utm_term=040" TargetMode="External" /><Relationship Id="rId35" Type="http://schemas.openxmlformats.org/officeDocument/2006/relationships/hyperlink" Target="https://twitter.com/Indiadidac/status/1352560149135671299" TargetMode="External" /><Relationship Id="rId36" Type="http://schemas.openxmlformats.org/officeDocument/2006/relationships/hyperlink" Target="https://www.tiess.online/registration?utm_source=SM&amp;utm_medium=Timmers&amp;utm_campaign=TIESS&amp;utm_term=022" TargetMode="External" /><Relationship Id="rId37" Type="http://schemas.openxmlformats.org/officeDocument/2006/relationships/hyperlink" Target="https://www.tiess.online/registration?utm_source=SM&amp;utm_medium=Yao&amp;utm_campaign=TIESS&amp;utm_term=009"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1329</v>
      </c>
      <c r="BD2" s="13" t="s">
        <v>1356</v>
      </c>
      <c r="BE2" s="13" t="s">
        <v>1357</v>
      </c>
      <c r="BF2" s="54" t="s">
        <v>2073</v>
      </c>
      <c r="BG2" s="54" t="s">
        <v>2074</v>
      </c>
      <c r="BH2" s="54" t="s">
        <v>2075</v>
      </c>
      <c r="BI2" s="54" t="s">
        <v>2076</v>
      </c>
      <c r="BJ2" s="54" t="s">
        <v>2077</v>
      </c>
      <c r="BK2" s="54" t="s">
        <v>2078</v>
      </c>
      <c r="BL2" s="54" t="s">
        <v>2079</v>
      </c>
      <c r="BM2" s="54" t="s">
        <v>2080</v>
      </c>
      <c r="BN2" s="54" t="s">
        <v>2081</v>
      </c>
    </row>
    <row r="3" spans="1:66" ht="15" customHeight="1">
      <c r="A3" s="65" t="s">
        <v>303</v>
      </c>
      <c r="B3" s="65" t="s">
        <v>268</v>
      </c>
      <c r="C3" s="66" t="s">
        <v>2153</v>
      </c>
      <c r="D3" s="67">
        <v>3</v>
      </c>
      <c r="E3" s="68" t="s">
        <v>132</v>
      </c>
      <c r="F3" s="69">
        <v>32</v>
      </c>
      <c r="G3" s="66"/>
      <c r="H3" s="70"/>
      <c r="I3" s="71"/>
      <c r="J3" s="71"/>
      <c r="K3" s="35" t="s">
        <v>65</v>
      </c>
      <c r="L3" s="72">
        <v>3</v>
      </c>
      <c r="M3" s="72"/>
      <c r="N3" s="73"/>
      <c r="O3" s="79" t="s">
        <v>351</v>
      </c>
      <c r="P3" s="81">
        <v>44215.47875</v>
      </c>
      <c r="Q3" s="79" t="s">
        <v>354</v>
      </c>
      <c r="R3" s="83" t="str">
        <f>HYPERLINK("https://www.tiess.online/registration?utm_source=Twitter&amp;utm_medium=IDA&amp;utm_campaign=TIESS&amp;utm_term=006")</f>
        <v>https://www.tiess.online/registration?utm_source=Twitter&amp;utm_medium=IDA&amp;utm_campaign=TIESS&amp;utm_term=006</v>
      </c>
      <c r="S3" s="79" t="s">
        <v>444</v>
      </c>
      <c r="T3" s="79" t="s">
        <v>449</v>
      </c>
      <c r="U3" s="83" t="str">
        <f>HYPERLINK("https://pbs.twimg.com/ext_tw_video_thumb/1351456442998546433/pu/img/aSegp9wmdlv0gjvz.jpg")</f>
        <v>https://pbs.twimg.com/ext_tw_video_thumb/1351456442998546433/pu/img/aSegp9wmdlv0gjvz.jpg</v>
      </c>
      <c r="V3" s="83" t="str">
        <f>HYPERLINK("https://pbs.twimg.com/ext_tw_video_thumb/1351456442998546433/pu/img/aSegp9wmdlv0gjvz.jpg")</f>
        <v>https://pbs.twimg.com/ext_tw_video_thumb/1351456442998546433/pu/img/aSegp9wmdlv0gjvz.jpg</v>
      </c>
      <c r="W3" s="81">
        <v>44215.47875</v>
      </c>
      <c r="X3" s="85">
        <v>44215</v>
      </c>
      <c r="Y3" s="87" t="s">
        <v>611</v>
      </c>
      <c r="Z3" s="83" t="str">
        <f>HYPERLINK("https://twitter.com/rajeshanni/status/1351491947609767937")</f>
        <v>https://twitter.com/rajeshanni/status/1351491947609767937</v>
      </c>
      <c r="AA3" s="79"/>
      <c r="AB3" s="79"/>
      <c r="AC3" s="87" t="s">
        <v>762</v>
      </c>
      <c r="AD3" s="79"/>
      <c r="AE3" s="79" t="b">
        <v>0</v>
      </c>
      <c r="AF3" s="79">
        <v>0</v>
      </c>
      <c r="AG3" s="87" t="s">
        <v>763</v>
      </c>
      <c r="AH3" s="79" t="b">
        <v>0</v>
      </c>
      <c r="AI3" s="79" t="s">
        <v>764</v>
      </c>
      <c r="AJ3" s="79"/>
      <c r="AK3" s="87" t="s">
        <v>763</v>
      </c>
      <c r="AL3" s="79" t="b">
        <v>0</v>
      </c>
      <c r="AM3" s="79">
        <v>4</v>
      </c>
      <c r="AN3" s="87" t="s">
        <v>645</v>
      </c>
      <c r="AO3" s="79" t="s">
        <v>765</v>
      </c>
      <c r="AP3" s="79" t="b">
        <v>0</v>
      </c>
      <c r="AQ3" s="87" t="s">
        <v>645</v>
      </c>
      <c r="AR3" s="79" t="s">
        <v>197</v>
      </c>
      <c r="AS3" s="79">
        <v>0</v>
      </c>
      <c r="AT3" s="79">
        <v>0</v>
      </c>
      <c r="AU3" s="79"/>
      <c r="AV3" s="79"/>
      <c r="AW3" s="79"/>
      <c r="AX3" s="79"/>
      <c r="AY3" s="79"/>
      <c r="AZ3" s="79"/>
      <c r="BA3" s="79"/>
      <c r="BB3" s="79"/>
      <c r="BC3">
        <v>1</v>
      </c>
      <c r="BD3" s="79" t="str">
        <f>REPLACE(INDEX(GroupVertices[Group],MATCH(Edges[[#This Row],[Vertex 1]],GroupVertices[Vertex],0)),1,1,"")</f>
        <v>12</v>
      </c>
      <c r="BE3" s="79" t="str">
        <f>REPLACE(INDEX(GroupVertices[Group],MATCH(Edges[[#This Row],[Vertex 2]],GroupVertices[Vertex],0)),1,1,"")</f>
        <v>12</v>
      </c>
      <c r="BF3" s="49">
        <v>1</v>
      </c>
      <c r="BG3" s="50">
        <v>2.857142857142857</v>
      </c>
      <c r="BH3" s="49">
        <v>0</v>
      </c>
      <c r="BI3" s="50">
        <v>0</v>
      </c>
      <c r="BJ3" s="49">
        <v>0</v>
      </c>
      <c r="BK3" s="50">
        <v>0</v>
      </c>
      <c r="BL3" s="49">
        <v>34</v>
      </c>
      <c r="BM3" s="50">
        <v>97.14285714285714</v>
      </c>
      <c r="BN3" s="49">
        <v>35</v>
      </c>
    </row>
    <row r="4" spans="1:66" ht="15" customHeight="1">
      <c r="A4" s="65" t="s">
        <v>235</v>
      </c>
      <c r="B4" s="65" t="s">
        <v>268</v>
      </c>
      <c r="C4" s="66" t="s">
        <v>2153</v>
      </c>
      <c r="D4" s="67">
        <v>3</v>
      </c>
      <c r="E4" s="66" t="s">
        <v>132</v>
      </c>
      <c r="F4" s="69">
        <v>32</v>
      </c>
      <c r="G4" s="66"/>
      <c r="H4" s="70"/>
      <c r="I4" s="71"/>
      <c r="J4" s="71"/>
      <c r="K4" s="35" t="s">
        <v>65</v>
      </c>
      <c r="L4" s="72">
        <v>4</v>
      </c>
      <c r="M4" s="72"/>
      <c r="N4" s="73"/>
      <c r="O4" s="80" t="s">
        <v>351</v>
      </c>
      <c r="P4" s="82">
        <v>44215.51907407407</v>
      </c>
      <c r="Q4" s="80" t="s">
        <v>354</v>
      </c>
      <c r="R4" s="84" t="str">
        <f>HYPERLINK("https://www.tiess.online/registration?utm_source=Twitter&amp;utm_medium=IDA&amp;utm_campaign=TIESS&amp;utm_term=006")</f>
        <v>https://www.tiess.online/registration?utm_source=Twitter&amp;utm_medium=IDA&amp;utm_campaign=TIESS&amp;utm_term=006</v>
      </c>
      <c r="S4" s="80" t="s">
        <v>444</v>
      </c>
      <c r="T4" s="80" t="s">
        <v>449</v>
      </c>
      <c r="U4" s="84" t="str">
        <f>HYPERLINK("https://pbs.twimg.com/ext_tw_video_thumb/1351456442998546433/pu/img/aSegp9wmdlv0gjvz.jpg")</f>
        <v>https://pbs.twimg.com/ext_tw_video_thumb/1351456442998546433/pu/img/aSegp9wmdlv0gjvz.jpg</v>
      </c>
      <c r="V4" s="84" t="str">
        <f>HYPERLINK("https://pbs.twimg.com/ext_tw_video_thumb/1351456442998546433/pu/img/aSegp9wmdlv0gjvz.jpg")</f>
        <v>https://pbs.twimg.com/ext_tw_video_thumb/1351456442998546433/pu/img/aSegp9wmdlv0gjvz.jpg</v>
      </c>
      <c r="W4" s="82">
        <v>44215.51907407407</v>
      </c>
      <c r="X4" s="86">
        <v>44215</v>
      </c>
      <c r="Y4" s="88" t="s">
        <v>461</v>
      </c>
      <c r="Z4" s="84" t="str">
        <f>HYPERLINK("https://twitter.com/mohitsparihar/status/1351506560044867585")</f>
        <v>https://twitter.com/mohitsparihar/status/1351506560044867585</v>
      </c>
      <c r="AA4" s="80"/>
      <c r="AB4" s="80"/>
      <c r="AC4" s="88" t="s">
        <v>612</v>
      </c>
      <c r="AD4" s="80"/>
      <c r="AE4" s="80" t="b">
        <v>0</v>
      </c>
      <c r="AF4" s="80">
        <v>0</v>
      </c>
      <c r="AG4" s="88" t="s">
        <v>763</v>
      </c>
      <c r="AH4" s="80" t="b">
        <v>0</v>
      </c>
      <c r="AI4" s="80" t="s">
        <v>764</v>
      </c>
      <c r="AJ4" s="80"/>
      <c r="AK4" s="88" t="s">
        <v>763</v>
      </c>
      <c r="AL4" s="80" t="b">
        <v>0</v>
      </c>
      <c r="AM4" s="80">
        <v>4</v>
      </c>
      <c r="AN4" s="88" t="s">
        <v>645</v>
      </c>
      <c r="AO4" s="80" t="s">
        <v>765</v>
      </c>
      <c r="AP4" s="80" t="b">
        <v>0</v>
      </c>
      <c r="AQ4" s="88" t="s">
        <v>645</v>
      </c>
      <c r="AR4" s="80" t="s">
        <v>197</v>
      </c>
      <c r="AS4" s="80">
        <v>0</v>
      </c>
      <c r="AT4" s="80">
        <v>0</v>
      </c>
      <c r="AU4" s="80"/>
      <c r="AV4" s="80"/>
      <c r="AW4" s="80"/>
      <c r="AX4" s="80"/>
      <c r="AY4" s="80"/>
      <c r="AZ4" s="80"/>
      <c r="BA4" s="80"/>
      <c r="BB4" s="80"/>
      <c r="BC4">
        <v>1</v>
      </c>
      <c r="BD4" s="79" t="str">
        <f>REPLACE(INDEX(GroupVertices[Group],MATCH(Edges[[#This Row],[Vertex 1]],GroupVertices[Vertex],0)),1,1,"")</f>
        <v>12</v>
      </c>
      <c r="BE4" s="79" t="str">
        <f>REPLACE(INDEX(GroupVertices[Group],MATCH(Edges[[#This Row],[Vertex 2]],GroupVertices[Vertex],0)),1,1,"")</f>
        <v>12</v>
      </c>
      <c r="BF4" s="49">
        <v>1</v>
      </c>
      <c r="BG4" s="50">
        <v>2.857142857142857</v>
      </c>
      <c r="BH4" s="49">
        <v>0</v>
      </c>
      <c r="BI4" s="50">
        <v>0</v>
      </c>
      <c r="BJ4" s="49">
        <v>0</v>
      </c>
      <c r="BK4" s="50">
        <v>0</v>
      </c>
      <c r="BL4" s="49">
        <v>34</v>
      </c>
      <c r="BM4" s="50">
        <v>97.14285714285714</v>
      </c>
      <c r="BN4" s="49">
        <v>35</v>
      </c>
    </row>
    <row r="5" spans="1:66" ht="15">
      <c r="A5" s="65" t="s">
        <v>236</v>
      </c>
      <c r="B5" s="65" t="s">
        <v>273</v>
      </c>
      <c r="C5" s="66" t="s">
        <v>2153</v>
      </c>
      <c r="D5" s="67">
        <v>3</v>
      </c>
      <c r="E5" s="66" t="s">
        <v>132</v>
      </c>
      <c r="F5" s="69">
        <v>32</v>
      </c>
      <c r="G5" s="66"/>
      <c r="H5" s="70"/>
      <c r="I5" s="71"/>
      <c r="J5" s="71"/>
      <c r="K5" s="35" t="s">
        <v>65</v>
      </c>
      <c r="L5" s="72">
        <v>5</v>
      </c>
      <c r="M5" s="72"/>
      <c r="N5" s="73"/>
      <c r="O5" s="80" t="s">
        <v>352</v>
      </c>
      <c r="P5" s="82">
        <v>44215.55118055556</v>
      </c>
      <c r="Q5" s="80" t="s">
        <v>355</v>
      </c>
      <c r="R5" s="84" t="str">
        <f>HYPERLINK("https://www.tiess.online/registration?utm_source=SM&amp;utm_medium=Andreas&amp;utm_campaign=TIESS&amp;utm_term=008")</f>
        <v>https://www.tiess.online/registration?utm_source=SM&amp;utm_medium=Andreas&amp;utm_campaign=TIESS&amp;utm_term=008</v>
      </c>
      <c r="S5" s="80" t="s">
        <v>444</v>
      </c>
      <c r="T5" s="80" t="s">
        <v>450</v>
      </c>
      <c r="U5" s="84" t="str">
        <f>HYPERLINK("https://pbs.twimg.com/media/EsF5NK-VcAAprHt.jpg")</f>
        <v>https://pbs.twimg.com/media/EsF5NK-VcAAprHt.jpg</v>
      </c>
      <c r="V5" s="84" t="str">
        <f>HYPERLINK("https://pbs.twimg.com/media/EsF5NK-VcAAprHt.jpg")</f>
        <v>https://pbs.twimg.com/media/EsF5NK-VcAAprHt.jpg</v>
      </c>
      <c r="W5" s="82">
        <v>44215.55118055556</v>
      </c>
      <c r="X5" s="86">
        <v>44215</v>
      </c>
      <c r="Y5" s="88" t="s">
        <v>462</v>
      </c>
      <c r="Z5" s="84" t="str">
        <f>HYPERLINK("https://twitter.com/fachportalpaed/status/1351518195753119746")</f>
        <v>https://twitter.com/fachportalpaed/status/1351518195753119746</v>
      </c>
      <c r="AA5" s="80"/>
      <c r="AB5" s="80"/>
      <c r="AC5" s="88" t="s">
        <v>613</v>
      </c>
      <c r="AD5" s="80"/>
      <c r="AE5" s="80" t="b">
        <v>0</v>
      </c>
      <c r="AF5" s="80">
        <v>0</v>
      </c>
      <c r="AG5" s="88" t="s">
        <v>763</v>
      </c>
      <c r="AH5" s="80" t="b">
        <v>0</v>
      </c>
      <c r="AI5" s="80" t="s">
        <v>764</v>
      </c>
      <c r="AJ5" s="80"/>
      <c r="AK5" s="88" t="s">
        <v>763</v>
      </c>
      <c r="AL5" s="80" t="b">
        <v>0</v>
      </c>
      <c r="AM5" s="80">
        <v>3</v>
      </c>
      <c r="AN5" s="88" t="s">
        <v>653</v>
      </c>
      <c r="AO5" s="80" t="s">
        <v>765</v>
      </c>
      <c r="AP5" s="80" t="b">
        <v>0</v>
      </c>
      <c r="AQ5" s="88" t="s">
        <v>653</v>
      </c>
      <c r="AR5" s="80" t="s">
        <v>197</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236</v>
      </c>
      <c r="B6" s="65" t="s">
        <v>272</v>
      </c>
      <c r="C6" s="66" t="s">
        <v>2153</v>
      </c>
      <c r="D6" s="67">
        <v>3</v>
      </c>
      <c r="E6" s="66" t="s">
        <v>132</v>
      </c>
      <c r="F6" s="69">
        <v>32</v>
      </c>
      <c r="G6" s="66"/>
      <c r="H6" s="70"/>
      <c r="I6" s="71"/>
      <c r="J6" s="71"/>
      <c r="K6" s="35" t="s">
        <v>65</v>
      </c>
      <c r="L6" s="72">
        <v>6</v>
      </c>
      <c r="M6" s="72"/>
      <c r="N6" s="73"/>
      <c r="O6" s="80" t="s">
        <v>352</v>
      </c>
      <c r="P6" s="82">
        <v>44215.55118055556</v>
      </c>
      <c r="Q6" s="80" t="s">
        <v>355</v>
      </c>
      <c r="R6" s="84" t="str">
        <f>HYPERLINK("https://www.tiess.online/registration?utm_source=SM&amp;utm_medium=Andreas&amp;utm_campaign=TIESS&amp;utm_term=008")</f>
        <v>https://www.tiess.online/registration?utm_source=SM&amp;utm_medium=Andreas&amp;utm_campaign=TIESS&amp;utm_term=008</v>
      </c>
      <c r="S6" s="80" t="s">
        <v>444</v>
      </c>
      <c r="T6" s="80" t="s">
        <v>450</v>
      </c>
      <c r="U6" s="84" t="str">
        <f>HYPERLINK("https://pbs.twimg.com/media/EsF5NK-VcAAprHt.jpg")</f>
        <v>https://pbs.twimg.com/media/EsF5NK-VcAAprHt.jpg</v>
      </c>
      <c r="V6" s="84" t="str">
        <f>HYPERLINK("https://pbs.twimg.com/media/EsF5NK-VcAAprHt.jpg")</f>
        <v>https://pbs.twimg.com/media/EsF5NK-VcAAprHt.jpg</v>
      </c>
      <c r="W6" s="82">
        <v>44215.55118055556</v>
      </c>
      <c r="X6" s="86">
        <v>44215</v>
      </c>
      <c r="Y6" s="88" t="s">
        <v>462</v>
      </c>
      <c r="Z6" s="84" t="str">
        <f>HYPERLINK("https://twitter.com/fachportalpaed/status/1351518195753119746")</f>
        <v>https://twitter.com/fachportalpaed/status/1351518195753119746</v>
      </c>
      <c r="AA6" s="80"/>
      <c r="AB6" s="80"/>
      <c r="AC6" s="88" t="s">
        <v>613</v>
      </c>
      <c r="AD6" s="80"/>
      <c r="AE6" s="80" t="b">
        <v>0</v>
      </c>
      <c r="AF6" s="80">
        <v>0</v>
      </c>
      <c r="AG6" s="88" t="s">
        <v>763</v>
      </c>
      <c r="AH6" s="80" t="b">
        <v>0</v>
      </c>
      <c r="AI6" s="80" t="s">
        <v>764</v>
      </c>
      <c r="AJ6" s="80"/>
      <c r="AK6" s="88" t="s">
        <v>763</v>
      </c>
      <c r="AL6" s="80" t="b">
        <v>0</v>
      </c>
      <c r="AM6" s="80">
        <v>3</v>
      </c>
      <c r="AN6" s="88" t="s">
        <v>653</v>
      </c>
      <c r="AO6" s="80" t="s">
        <v>765</v>
      </c>
      <c r="AP6" s="80" t="b">
        <v>0</v>
      </c>
      <c r="AQ6" s="88" t="s">
        <v>653</v>
      </c>
      <c r="AR6" s="80" t="s">
        <v>197</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236</v>
      </c>
      <c r="B7" s="65" t="s">
        <v>271</v>
      </c>
      <c r="C7" s="66" t="s">
        <v>2153</v>
      </c>
      <c r="D7" s="67">
        <v>3</v>
      </c>
      <c r="E7" s="66" t="s">
        <v>132</v>
      </c>
      <c r="F7" s="69">
        <v>32</v>
      </c>
      <c r="G7" s="66"/>
      <c r="H7" s="70"/>
      <c r="I7" s="71"/>
      <c r="J7" s="71"/>
      <c r="K7" s="35" t="s">
        <v>65</v>
      </c>
      <c r="L7" s="72">
        <v>7</v>
      </c>
      <c r="M7" s="72"/>
      <c r="N7" s="73"/>
      <c r="O7" s="80" t="s">
        <v>351</v>
      </c>
      <c r="P7" s="82">
        <v>44215.55118055556</v>
      </c>
      <c r="Q7" s="80" t="s">
        <v>355</v>
      </c>
      <c r="R7" s="84" t="str">
        <f>HYPERLINK("https://www.tiess.online/registration?utm_source=SM&amp;utm_medium=Andreas&amp;utm_campaign=TIESS&amp;utm_term=008")</f>
        <v>https://www.tiess.online/registration?utm_source=SM&amp;utm_medium=Andreas&amp;utm_campaign=TIESS&amp;utm_term=008</v>
      </c>
      <c r="S7" s="80" t="s">
        <v>444</v>
      </c>
      <c r="T7" s="80" t="s">
        <v>450</v>
      </c>
      <c r="U7" s="84" t="str">
        <f>HYPERLINK("https://pbs.twimg.com/media/EsF5NK-VcAAprHt.jpg")</f>
        <v>https://pbs.twimg.com/media/EsF5NK-VcAAprHt.jpg</v>
      </c>
      <c r="V7" s="84" t="str">
        <f>HYPERLINK("https://pbs.twimg.com/media/EsF5NK-VcAAprHt.jpg")</f>
        <v>https://pbs.twimg.com/media/EsF5NK-VcAAprHt.jpg</v>
      </c>
      <c r="W7" s="82">
        <v>44215.55118055556</v>
      </c>
      <c r="X7" s="86">
        <v>44215</v>
      </c>
      <c r="Y7" s="88" t="s">
        <v>462</v>
      </c>
      <c r="Z7" s="84" t="str">
        <f>HYPERLINK("https://twitter.com/fachportalpaed/status/1351518195753119746")</f>
        <v>https://twitter.com/fachportalpaed/status/1351518195753119746</v>
      </c>
      <c r="AA7" s="80"/>
      <c r="AB7" s="80"/>
      <c r="AC7" s="88" t="s">
        <v>613</v>
      </c>
      <c r="AD7" s="80"/>
      <c r="AE7" s="80" t="b">
        <v>0</v>
      </c>
      <c r="AF7" s="80">
        <v>0</v>
      </c>
      <c r="AG7" s="88" t="s">
        <v>763</v>
      </c>
      <c r="AH7" s="80" t="b">
        <v>0</v>
      </c>
      <c r="AI7" s="80" t="s">
        <v>764</v>
      </c>
      <c r="AJ7" s="80"/>
      <c r="AK7" s="88" t="s">
        <v>763</v>
      </c>
      <c r="AL7" s="80" t="b">
        <v>0</v>
      </c>
      <c r="AM7" s="80">
        <v>3</v>
      </c>
      <c r="AN7" s="88" t="s">
        <v>653</v>
      </c>
      <c r="AO7" s="80" t="s">
        <v>765</v>
      </c>
      <c r="AP7" s="80" t="b">
        <v>0</v>
      </c>
      <c r="AQ7" s="88" t="s">
        <v>653</v>
      </c>
      <c r="AR7" s="80" t="s">
        <v>197</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1</v>
      </c>
      <c r="BF7" s="49">
        <v>1</v>
      </c>
      <c r="BG7" s="50">
        <v>3.4482758620689653</v>
      </c>
      <c r="BH7" s="49">
        <v>0</v>
      </c>
      <c r="BI7" s="50">
        <v>0</v>
      </c>
      <c r="BJ7" s="49">
        <v>0</v>
      </c>
      <c r="BK7" s="50">
        <v>0</v>
      </c>
      <c r="BL7" s="49">
        <v>28</v>
      </c>
      <c r="BM7" s="50">
        <v>96.55172413793103</v>
      </c>
      <c r="BN7" s="49">
        <v>29</v>
      </c>
    </row>
    <row r="8" spans="1:66" ht="15">
      <c r="A8" s="65" t="s">
        <v>237</v>
      </c>
      <c r="B8" s="65" t="s">
        <v>273</v>
      </c>
      <c r="C8" s="66" t="s">
        <v>2153</v>
      </c>
      <c r="D8" s="67">
        <v>3</v>
      </c>
      <c r="E8" s="66" t="s">
        <v>132</v>
      </c>
      <c r="F8" s="69">
        <v>32</v>
      </c>
      <c r="G8" s="66"/>
      <c r="H8" s="70"/>
      <c r="I8" s="71"/>
      <c r="J8" s="71"/>
      <c r="K8" s="35" t="s">
        <v>65</v>
      </c>
      <c r="L8" s="72">
        <v>8</v>
      </c>
      <c r="M8" s="72"/>
      <c r="N8" s="73"/>
      <c r="O8" s="80" t="s">
        <v>352</v>
      </c>
      <c r="P8" s="82">
        <v>44215.65109953703</v>
      </c>
      <c r="Q8" s="80" t="s">
        <v>355</v>
      </c>
      <c r="R8" s="84" t="str">
        <f>HYPERLINK("https://www.tiess.online/registration?utm_source=SM&amp;utm_medium=Andreas&amp;utm_campaign=TIESS&amp;utm_term=008")</f>
        <v>https://www.tiess.online/registration?utm_source=SM&amp;utm_medium=Andreas&amp;utm_campaign=TIESS&amp;utm_term=008</v>
      </c>
      <c r="S8" s="80" t="s">
        <v>444</v>
      </c>
      <c r="T8" s="80" t="s">
        <v>450</v>
      </c>
      <c r="U8" s="84" t="str">
        <f>HYPERLINK("https://pbs.twimg.com/media/EsF5NK-VcAAprHt.jpg")</f>
        <v>https://pbs.twimg.com/media/EsF5NK-VcAAprHt.jpg</v>
      </c>
      <c r="V8" s="84" t="str">
        <f>HYPERLINK("https://pbs.twimg.com/media/EsF5NK-VcAAprHt.jpg")</f>
        <v>https://pbs.twimg.com/media/EsF5NK-VcAAprHt.jpg</v>
      </c>
      <c r="W8" s="82">
        <v>44215.65109953703</v>
      </c>
      <c r="X8" s="86">
        <v>44215</v>
      </c>
      <c r="Y8" s="88" t="s">
        <v>463</v>
      </c>
      <c r="Z8" s="84" t="str">
        <f>HYPERLINK("https://twitter.com/untiporaro/status/1351554405607342081")</f>
        <v>https://twitter.com/untiporaro/status/1351554405607342081</v>
      </c>
      <c r="AA8" s="80"/>
      <c r="AB8" s="80"/>
      <c r="AC8" s="88" t="s">
        <v>614</v>
      </c>
      <c r="AD8" s="80"/>
      <c r="AE8" s="80" t="b">
        <v>0</v>
      </c>
      <c r="AF8" s="80">
        <v>0</v>
      </c>
      <c r="AG8" s="88" t="s">
        <v>763</v>
      </c>
      <c r="AH8" s="80" t="b">
        <v>0</v>
      </c>
      <c r="AI8" s="80" t="s">
        <v>764</v>
      </c>
      <c r="AJ8" s="80"/>
      <c r="AK8" s="88" t="s">
        <v>763</v>
      </c>
      <c r="AL8" s="80" t="b">
        <v>0</v>
      </c>
      <c r="AM8" s="80">
        <v>3</v>
      </c>
      <c r="AN8" s="88" t="s">
        <v>653</v>
      </c>
      <c r="AO8" s="80" t="s">
        <v>766</v>
      </c>
      <c r="AP8" s="80" t="b">
        <v>0</v>
      </c>
      <c r="AQ8" s="88" t="s">
        <v>653</v>
      </c>
      <c r="AR8" s="80" t="s">
        <v>197</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237</v>
      </c>
      <c r="B9" s="65" t="s">
        <v>272</v>
      </c>
      <c r="C9" s="66" t="s">
        <v>2153</v>
      </c>
      <c r="D9" s="67">
        <v>3</v>
      </c>
      <c r="E9" s="66" t="s">
        <v>132</v>
      </c>
      <c r="F9" s="69">
        <v>32</v>
      </c>
      <c r="G9" s="66"/>
      <c r="H9" s="70"/>
      <c r="I9" s="71"/>
      <c r="J9" s="71"/>
      <c r="K9" s="35" t="s">
        <v>65</v>
      </c>
      <c r="L9" s="72">
        <v>9</v>
      </c>
      <c r="M9" s="72"/>
      <c r="N9" s="73"/>
      <c r="O9" s="80" t="s">
        <v>352</v>
      </c>
      <c r="P9" s="82">
        <v>44215.65109953703</v>
      </c>
      <c r="Q9" s="80" t="s">
        <v>355</v>
      </c>
      <c r="R9" s="84" t="str">
        <f>HYPERLINK("https://www.tiess.online/registration?utm_source=SM&amp;utm_medium=Andreas&amp;utm_campaign=TIESS&amp;utm_term=008")</f>
        <v>https://www.tiess.online/registration?utm_source=SM&amp;utm_medium=Andreas&amp;utm_campaign=TIESS&amp;utm_term=008</v>
      </c>
      <c r="S9" s="80" t="s">
        <v>444</v>
      </c>
      <c r="T9" s="80" t="s">
        <v>450</v>
      </c>
      <c r="U9" s="84" t="str">
        <f>HYPERLINK("https://pbs.twimg.com/media/EsF5NK-VcAAprHt.jpg")</f>
        <v>https://pbs.twimg.com/media/EsF5NK-VcAAprHt.jpg</v>
      </c>
      <c r="V9" s="84" t="str">
        <f>HYPERLINK("https://pbs.twimg.com/media/EsF5NK-VcAAprHt.jpg")</f>
        <v>https://pbs.twimg.com/media/EsF5NK-VcAAprHt.jpg</v>
      </c>
      <c r="W9" s="82">
        <v>44215.65109953703</v>
      </c>
      <c r="X9" s="86">
        <v>44215</v>
      </c>
      <c r="Y9" s="88" t="s">
        <v>463</v>
      </c>
      <c r="Z9" s="84" t="str">
        <f>HYPERLINK("https://twitter.com/untiporaro/status/1351554405607342081")</f>
        <v>https://twitter.com/untiporaro/status/1351554405607342081</v>
      </c>
      <c r="AA9" s="80"/>
      <c r="AB9" s="80"/>
      <c r="AC9" s="88" t="s">
        <v>614</v>
      </c>
      <c r="AD9" s="80"/>
      <c r="AE9" s="80" t="b">
        <v>0</v>
      </c>
      <c r="AF9" s="80">
        <v>0</v>
      </c>
      <c r="AG9" s="88" t="s">
        <v>763</v>
      </c>
      <c r="AH9" s="80" t="b">
        <v>0</v>
      </c>
      <c r="AI9" s="80" t="s">
        <v>764</v>
      </c>
      <c r="AJ9" s="80"/>
      <c r="AK9" s="88" t="s">
        <v>763</v>
      </c>
      <c r="AL9" s="80" t="b">
        <v>0</v>
      </c>
      <c r="AM9" s="80">
        <v>3</v>
      </c>
      <c r="AN9" s="88" t="s">
        <v>653</v>
      </c>
      <c r="AO9" s="80" t="s">
        <v>766</v>
      </c>
      <c r="AP9" s="80" t="b">
        <v>0</v>
      </c>
      <c r="AQ9" s="88" t="s">
        <v>653</v>
      </c>
      <c r="AR9" s="80" t="s">
        <v>197</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237</v>
      </c>
      <c r="B10" s="65" t="s">
        <v>271</v>
      </c>
      <c r="C10" s="66" t="s">
        <v>2153</v>
      </c>
      <c r="D10" s="67">
        <v>3</v>
      </c>
      <c r="E10" s="66" t="s">
        <v>132</v>
      </c>
      <c r="F10" s="69">
        <v>32</v>
      </c>
      <c r="G10" s="66"/>
      <c r="H10" s="70"/>
      <c r="I10" s="71"/>
      <c r="J10" s="71"/>
      <c r="K10" s="35" t="s">
        <v>65</v>
      </c>
      <c r="L10" s="72">
        <v>10</v>
      </c>
      <c r="M10" s="72"/>
      <c r="N10" s="73"/>
      <c r="O10" s="80" t="s">
        <v>351</v>
      </c>
      <c r="P10" s="82">
        <v>44215.65109953703</v>
      </c>
      <c r="Q10" s="80" t="s">
        <v>355</v>
      </c>
      <c r="R10" s="84" t="str">
        <f>HYPERLINK("https://www.tiess.online/registration?utm_source=SM&amp;utm_medium=Andreas&amp;utm_campaign=TIESS&amp;utm_term=008")</f>
        <v>https://www.tiess.online/registration?utm_source=SM&amp;utm_medium=Andreas&amp;utm_campaign=TIESS&amp;utm_term=008</v>
      </c>
      <c r="S10" s="80" t="s">
        <v>444</v>
      </c>
      <c r="T10" s="80" t="s">
        <v>450</v>
      </c>
      <c r="U10" s="84" t="str">
        <f>HYPERLINK("https://pbs.twimg.com/media/EsF5NK-VcAAprHt.jpg")</f>
        <v>https://pbs.twimg.com/media/EsF5NK-VcAAprHt.jpg</v>
      </c>
      <c r="V10" s="84" t="str">
        <f>HYPERLINK("https://pbs.twimg.com/media/EsF5NK-VcAAprHt.jpg")</f>
        <v>https://pbs.twimg.com/media/EsF5NK-VcAAprHt.jpg</v>
      </c>
      <c r="W10" s="82">
        <v>44215.65109953703</v>
      </c>
      <c r="X10" s="86">
        <v>44215</v>
      </c>
      <c r="Y10" s="88" t="s">
        <v>463</v>
      </c>
      <c r="Z10" s="84" t="str">
        <f>HYPERLINK("https://twitter.com/untiporaro/status/1351554405607342081")</f>
        <v>https://twitter.com/untiporaro/status/1351554405607342081</v>
      </c>
      <c r="AA10" s="80"/>
      <c r="AB10" s="80"/>
      <c r="AC10" s="88" t="s">
        <v>614</v>
      </c>
      <c r="AD10" s="80"/>
      <c r="AE10" s="80" t="b">
        <v>0</v>
      </c>
      <c r="AF10" s="80">
        <v>0</v>
      </c>
      <c r="AG10" s="88" t="s">
        <v>763</v>
      </c>
      <c r="AH10" s="80" t="b">
        <v>0</v>
      </c>
      <c r="AI10" s="80" t="s">
        <v>764</v>
      </c>
      <c r="AJ10" s="80"/>
      <c r="AK10" s="88" t="s">
        <v>763</v>
      </c>
      <c r="AL10" s="80" t="b">
        <v>0</v>
      </c>
      <c r="AM10" s="80">
        <v>3</v>
      </c>
      <c r="AN10" s="88" t="s">
        <v>653</v>
      </c>
      <c r="AO10" s="80" t="s">
        <v>766</v>
      </c>
      <c r="AP10" s="80" t="b">
        <v>0</v>
      </c>
      <c r="AQ10" s="88" t="s">
        <v>653</v>
      </c>
      <c r="AR10" s="80" t="s">
        <v>197</v>
      </c>
      <c r="AS10" s="80">
        <v>0</v>
      </c>
      <c r="AT10" s="80">
        <v>0</v>
      </c>
      <c r="AU10" s="80"/>
      <c r="AV10" s="80"/>
      <c r="AW10" s="80"/>
      <c r="AX10" s="80"/>
      <c r="AY10" s="80"/>
      <c r="AZ10" s="80"/>
      <c r="BA10" s="80"/>
      <c r="BB10" s="80"/>
      <c r="BC10">
        <v>1</v>
      </c>
      <c r="BD10" s="79" t="str">
        <f>REPLACE(INDEX(GroupVertices[Group],MATCH(Edges[[#This Row],[Vertex 1]],GroupVertices[Vertex],0)),1,1,"")</f>
        <v>3</v>
      </c>
      <c r="BE10" s="79" t="str">
        <f>REPLACE(INDEX(GroupVertices[Group],MATCH(Edges[[#This Row],[Vertex 2]],GroupVertices[Vertex],0)),1,1,"")</f>
        <v>1</v>
      </c>
      <c r="BF10" s="49">
        <v>1</v>
      </c>
      <c r="BG10" s="50">
        <v>3.4482758620689653</v>
      </c>
      <c r="BH10" s="49">
        <v>0</v>
      </c>
      <c r="BI10" s="50">
        <v>0</v>
      </c>
      <c r="BJ10" s="49">
        <v>0</v>
      </c>
      <c r="BK10" s="50">
        <v>0</v>
      </c>
      <c r="BL10" s="49">
        <v>28</v>
      </c>
      <c r="BM10" s="50">
        <v>96.55172413793103</v>
      </c>
      <c r="BN10" s="49">
        <v>29</v>
      </c>
    </row>
    <row r="11" spans="1:66" ht="15">
      <c r="A11" s="65" t="s">
        <v>238</v>
      </c>
      <c r="B11" s="65" t="s">
        <v>304</v>
      </c>
      <c r="C11" s="66" t="s">
        <v>2153</v>
      </c>
      <c r="D11" s="67">
        <v>3</v>
      </c>
      <c r="E11" s="66" t="s">
        <v>132</v>
      </c>
      <c r="F11" s="69">
        <v>32</v>
      </c>
      <c r="G11" s="66"/>
      <c r="H11" s="70"/>
      <c r="I11" s="71"/>
      <c r="J11" s="71"/>
      <c r="K11" s="35" t="s">
        <v>65</v>
      </c>
      <c r="L11" s="72">
        <v>11</v>
      </c>
      <c r="M11" s="72"/>
      <c r="N11" s="73"/>
      <c r="O11" s="80" t="s">
        <v>352</v>
      </c>
      <c r="P11" s="82">
        <v>44217.25792824074</v>
      </c>
      <c r="Q11" s="80" t="s">
        <v>356</v>
      </c>
      <c r="R11" s="84" t="str">
        <f>HYPERLINK("https://www.tiess.online/registration?utm_source=SM&amp;utm_medium=Sheeran&amp;utm_campaign=TIESS&amp;utm_term=038")</f>
        <v>https://www.tiess.online/registration?utm_source=SM&amp;utm_medium=Sheeran&amp;utm_campaign=TIESS&amp;utm_term=038</v>
      </c>
      <c r="S11" s="80" t="s">
        <v>444</v>
      </c>
      <c r="T11" s="80" t="s">
        <v>450</v>
      </c>
      <c r="U11" s="84" t="str">
        <f>HYPERLINK("https://pbs.twimg.com/media/EsO_BRzU0AEEbdb.jpg")</f>
        <v>https://pbs.twimg.com/media/EsO_BRzU0AEEbdb.jpg</v>
      </c>
      <c r="V11" s="84" t="str">
        <f>HYPERLINK("https://pbs.twimg.com/media/EsO_BRzU0AEEbdb.jpg")</f>
        <v>https://pbs.twimg.com/media/EsO_BRzU0AEEbdb.jpg</v>
      </c>
      <c r="W11" s="82">
        <v>44217.25792824074</v>
      </c>
      <c r="X11" s="86">
        <v>44217</v>
      </c>
      <c r="Y11" s="88" t="s">
        <v>464</v>
      </c>
      <c r="Z11" s="84" t="str">
        <f>HYPERLINK("https://twitter.com/hinabhagwani/status/1352136699527143425")</f>
        <v>https://twitter.com/hinabhagwani/status/1352136699527143425</v>
      </c>
      <c r="AA11" s="80"/>
      <c r="AB11" s="80"/>
      <c r="AC11" s="88" t="s">
        <v>615</v>
      </c>
      <c r="AD11" s="80"/>
      <c r="AE11" s="80" t="b">
        <v>0</v>
      </c>
      <c r="AF11" s="80">
        <v>0</v>
      </c>
      <c r="AG11" s="88" t="s">
        <v>763</v>
      </c>
      <c r="AH11" s="80" t="b">
        <v>0</v>
      </c>
      <c r="AI11" s="80" t="s">
        <v>764</v>
      </c>
      <c r="AJ11" s="80"/>
      <c r="AK11" s="88" t="s">
        <v>763</v>
      </c>
      <c r="AL11" s="80" t="b">
        <v>0</v>
      </c>
      <c r="AM11" s="80">
        <v>2</v>
      </c>
      <c r="AN11" s="88" t="s">
        <v>725</v>
      </c>
      <c r="AO11" s="80" t="s">
        <v>766</v>
      </c>
      <c r="AP11" s="80" t="b">
        <v>0</v>
      </c>
      <c r="AQ11" s="88" t="s">
        <v>725</v>
      </c>
      <c r="AR11" s="80" t="s">
        <v>197</v>
      </c>
      <c r="AS11" s="80">
        <v>0</v>
      </c>
      <c r="AT11" s="80">
        <v>0</v>
      </c>
      <c r="AU11" s="80"/>
      <c r="AV11" s="80"/>
      <c r="AW11" s="80"/>
      <c r="AX11" s="80"/>
      <c r="AY11" s="80"/>
      <c r="AZ11" s="80"/>
      <c r="BA11" s="80"/>
      <c r="BB11" s="80"/>
      <c r="BC11">
        <v>1</v>
      </c>
      <c r="BD11" s="79" t="str">
        <f>REPLACE(INDEX(GroupVertices[Group],MATCH(Edges[[#This Row],[Vertex 1]],GroupVertices[Vertex],0)),1,1,"")</f>
        <v>11</v>
      </c>
      <c r="BE11" s="79" t="str">
        <f>REPLACE(INDEX(GroupVertices[Group],MATCH(Edges[[#This Row],[Vertex 2]],GroupVertices[Vertex],0)),1,1,"")</f>
        <v>11</v>
      </c>
      <c r="BF11" s="49">
        <v>2</v>
      </c>
      <c r="BG11" s="50">
        <v>6.451612903225806</v>
      </c>
      <c r="BH11" s="49">
        <v>1</v>
      </c>
      <c r="BI11" s="50">
        <v>3.225806451612903</v>
      </c>
      <c r="BJ11" s="49">
        <v>0</v>
      </c>
      <c r="BK11" s="50">
        <v>0</v>
      </c>
      <c r="BL11" s="49">
        <v>28</v>
      </c>
      <c r="BM11" s="50">
        <v>90.3225806451613</v>
      </c>
      <c r="BN11" s="49">
        <v>31</v>
      </c>
    </row>
    <row r="12" spans="1:66" ht="15">
      <c r="A12" s="65" t="s">
        <v>238</v>
      </c>
      <c r="B12" s="65" t="s">
        <v>271</v>
      </c>
      <c r="C12" s="66" t="s">
        <v>2153</v>
      </c>
      <c r="D12" s="67">
        <v>3</v>
      </c>
      <c r="E12" s="66" t="s">
        <v>132</v>
      </c>
      <c r="F12" s="69">
        <v>32</v>
      </c>
      <c r="G12" s="66"/>
      <c r="H12" s="70"/>
      <c r="I12" s="71"/>
      <c r="J12" s="71"/>
      <c r="K12" s="35" t="s">
        <v>65</v>
      </c>
      <c r="L12" s="72">
        <v>12</v>
      </c>
      <c r="M12" s="72"/>
      <c r="N12" s="73"/>
      <c r="O12" s="80" t="s">
        <v>351</v>
      </c>
      <c r="P12" s="82">
        <v>44217.25792824074</v>
      </c>
      <c r="Q12" s="80" t="s">
        <v>356</v>
      </c>
      <c r="R12" s="84" t="str">
        <f>HYPERLINK("https://www.tiess.online/registration?utm_source=SM&amp;utm_medium=Sheeran&amp;utm_campaign=TIESS&amp;utm_term=038")</f>
        <v>https://www.tiess.online/registration?utm_source=SM&amp;utm_medium=Sheeran&amp;utm_campaign=TIESS&amp;utm_term=038</v>
      </c>
      <c r="S12" s="80" t="s">
        <v>444</v>
      </c>
      <c r="T12" s="80" t="s">
        <v>450</v>
      </c>
      <c r="U12" s="84" t="str">
        <f>HYPERLINK("https://pbs.twimg.com/media/EsO_BRzU0AEEbdb.jpg")</f>
        <v>https://pbs.twimg.com/media/EsO_BRzU0AEEbdb.jpg</v>
      </c>
      <c r="V12" s="84" t="str">
        <f>HYPERLINK("https://pbs.twimg.com/media/EsO_BRzU0AEEbdb.jpg")</f>
        <v>https://pbs.twimg.com/media/EsO_BRzU0AEEbdb.jpg</v>
      </c>
      <c r="W12" s="82">
        <v>44217.25792824074</v>
      </c>
      <c r="X12" s="86">
        <v>44217</v>
      </c>
      <c r="Y12" s="88" t="s">
        <v>464</v>
      </c>
      <c r="Z12" s="84" t="str">
        <f>HYPERLINK("https://twitter.com/hinabhagwani/status/1352136699527143425")</f>
        <v>https://twitter.com/hinabhagwani/status/1352136699527143425</v>
      </c>
      <c r="AA12" s="80"/>
      <c r="AB12" s="80"/>
      <c r="AC12" s="88" t="s">
        <v>615</v>
      </c>
      <c r="AD12" s="80"/>
      <c r="AE12" s="80" t="b">
        <v>0</v>
      </c>
      <c r="AF12" s="80">
        <v>0</v>
      </c>
      <c r="AG12" s="88" t="s">
        <v>763</v>
      </c>
      <c r="AH12" s="80" t="b">
        <v>0</v>
      </c>
      <c r="AI12" s="80" t="s">
        <v>764</v>
      </c>
      <c r="AJ12" s="80"/>
      <c r="AK12" s="88" t="s">
        <v>763</v>
      </c>
      <c r="AL12" s="80" t="b">
        <v>0</v>
      </c>
      <c r="AM12" s="80">
        <v>2</v>
      </c>
      <c r="AN12" s="88" t="s">
        <v>725</v>
      </c>
      <c r="AO12" s="80" t="s">
        <v>766</v>
      </c>
      <c r="AP12" s="80" t="b">
        <v>0</v>
      </c>
      <c r="AQ12" s="88" t="s">
        <v>725</v>
      </c>
      <c r="AR12" s="80" t="s">
        <v>197</v>
      </c>
      <c r="AS12" s="80">
        <v>0</v>
      </c>
      <c r="AT12" s="80">
        <v>0</v>
      </c>
      <c r="AU12" s="80"/>
      <c r="AV12" s="80"/>
      <c r="AW12" s="80"/>
      <c r="AX12" s="80"/>
      <c r="AY12" s="80"/>
      <c r="AZ12" s="80"/>
      <c r="BA12" s="80"/>
      <c r="BB12" s="80"/>
      <c r="BC12">
        <v>1</v>
      </c>
      <c r="BD12" s="79" t="str">
        <f>REPLACE(INDEX(GroupVertices[Group],MATCH(Edges[[#This Row],[Vertex 1]],GroupVertices[Vertex],0)),1,1,"")</f>
        <v>11</v>
      </c>
      <c r="BE12" s="79" t="str">
        <f>REPLACE(INDEX(GroupVertices[Group],MATCH(Edges[[#This Row],[Vertex 2]],GroupVertices[Vertex],0)),1,1,"")</f>
        <v>1</v>
      </c>
      <c r="BF12" s="49"/>
      <c r="BG12" s="50"/>
      <c r="BH12" s="49"/>
      <c r="BI12" s="50"/>
      <c r="BJ12" s="49"/>
      <c r="BK12" s="50"/>
      <c r="BL12" s="49"/>
      <c r="BM12" s="50"/>
      <c r="BN12" s="49"/>
    </row>
    <row r="13" spans="1:66" ht="15">
      <c r="A13" s="65" t="s">
        <v>239</v>
      </c>
      <c r="B13" s="65" t="s">
        <v>304</v>
      </c>
      <c r="C13" s="66" t="s">
        <v>2153</v>
      </c>
      <c r="D13" s="67">
        <v>3</v>
      </c>
      <c r="E13" s="66" t="s">
        <v>132</v>
      </c>
      <c r="F13" s="69">
        <v>32</v>
      </c>
      <c r="G13" s="66"/>
      <c r="H13" s="70"/>
      <c r="I13" s="71"/>
      <c r="J13" s="71"/>
      <c r="K13" s="35" t="s">
        <v>65</v>
      </c>
      <c r="L13" s="72">
        <v>13</v>
      </c>
      <c r="M13" s="72"/>
      <c r="N13" s="73"/>
      <c r="O13" s="80" t="s">
        <v>352</v>
      </c>
      <c r="P13" s="82">
        <v>44217.26719907407</v>
      </c>
      <c r="Q13" s="80" t="s">
        <v>356</v>
      </c>
      <c r="R13" s="84" t="str">
        <f>HYPERLINK("https://www.tiess.online/registration?utm_source=SM&amp;utm_medium=Sheeran&amp;utm_campaign=TIESS&amp;utm_term=038")</f>
        <v>https://www.tiess.online/registration?utm_source=SM&amp;utm_medium=Sheeran&amp;utm_campaign=TIESS&amp;utm_term=038</v>
      </c>
      <c r="S13" s="80" t="s">
        <v>444</v>
      </c>
      <c r="T13" s="80" t="s">
        <v>450</v>
      </c>
      <c r="U13" s="84" t="str">
        <f>HYPERLINK("https://pbs.twimg.com/media/EsO_BRzU0AEEbdb.jpg")</f>
        <v>https://pbs.twimg.com/media/EsO_BRzU0AEEbdb.jpg</v>
      </c>
      <c r="V13" s="84" t="str">
        <f>HYPERLINK("https://pbs.twimg.com/media/EsO_BRzU0AEEbdb.jpg")</f>
        <v>https://pbs.twimg.com/media/EsO_BRzU0AEEbdb.jpg</v>
      </c>
      <c r="W13" s="82">
        <v>44217.26719907407</v>
      </c>
      <c r="X13" s="86">
        <v>44217</v>
      </c>
      <c r="Y13" s="88" t="s">
        <v>465</v>
      </c>
      <c r="Z13" s="84" t="str">
        <f>HYPERLINK("https://twitter.com/sarka003/status/1352140061400154114")</f>
        <v>https://twitter.com/sarka003/status/1352140061400154114</v>
      </c>
      <c r="AA13" s="80"/>
      <c r="AB13" s="80"/>
      <c r="AC13" s="88" t="s">
        <v>616</v>
      </c>
      <c r="AD13" s="80"/>
      <c r="AE13" s="80" t="b">
        <v>0</v>
      </c>
      <c r="AF13" s="80">
        <v>0</v>
      </c>
      <c r="AG13" s="88" t="s">
        <v>763</v>
      </c>
      <c r="AH13" s="80" t="b">
        <v>0</v>
      </c>
      <c r="AI13" s="80" t="s">
        <v>764</v>
      </c>
      <c r="AJ13" s="80"/>
      <c r="AK13" s="88" t="s">
        <v>763</v>
      </c>
      <c r="AL13" s="80" t="b">
        <v>0</v>
      </c>
      <c r="AM13" s="80">
        <v>2</v>
      </c>
      <c r="AN13" s="88" t="s">
        <v>725</v>
      </c>
      <c r="AO13" s="80" t="s">
        <v>765</v>
      </c>
      <c r="AP13" s="80" t="b">
        <v>0</v>
      </c>
      <c r="AQ13" s="88" t="s">
        <v>725</v>
      </c>
      <c r="AR13" s="80" t="s">
        <v>197</v>
      </c>
      <c r="AS13" s="80">
        <v>0</v>
      </c>
      <c r="AT13" s="80">
        <v>0</v>
      </c>
      <c r="AU13" s="80"/>
      <c r="AV13" s="80"/>
      <c r="AW13" s="80"/>
      <c r="AX13" s="80"/>
      <c r="AY13" s="80"/>
      <c r="AZ13" s="80"/>
      <c r="BA13" s="80"/>
      <c r="BB13" s="80"/>
      <c r="BC13">
        <v>1</v>
      </c>
      <c r="BD13" s="79" t="str">
        <f>REPLACE(INDEX(GroupVertices[Group],MATCH(Edges[[#This Row],[Vertex 1]],GroupVertices[Vertex],0)),1,1,"")</f>
        <v>11</v>
      </c>
      <c r="BE13" s="79" t="str">
        <f>REPLACE(INDEX(GroupVertices[Group],MATCH(Edges[[#This Row],[Vertex 2]],GroupVertices[Vertex],0)),1,1,"")</f>
        <v>11</v>
      </c>
      <c r="BF13" s="49"/>
      <c r="BG13" s="50"/>
      <c r="BH13" s="49"/>
      <c r="BI13" s="50"/>
      <c r="BJ13" s="49"/>
      <c r="BK13" s="50"/>
      <c r="BL13" s="49"/>
      <c r="BM13" s="50"/>
      <c r="BN13" s="49"/>
    </row>
    <row r="14" spans="1:66" ht="15">
      <c r="A14" s="65" t="s">
        <v>239</v>
      </c>
      <c r="B14" s="65" t="s">
        <v>271</v>
      </c>
      <c r="C14" s="66" t="s">
        <v>2153</v>
      </c>
      <c r="D14" s="67">
        <v>3</v>
      </c>
      <c r="E14" s="66" t="s">
        <v>132</v>
      </c>
      <c r="F14" s="69">
        <v>32</v>
      </c>
      <c r="G14" s="66"/>
      <c r="H14" s="70"/>
      <c r="I14" s="71"/>
      <c r="J14" s="71"/>
      <c r="K14" s="35" t="s">
        <v>65</v>
      </c>
      <c r="L14" s="72">
        <v>14</v>
      </c>
      <c r="M14" s="72"/>
      <c r="N14" s="73"/>
      <c r="O14" s="80" t="s">
        <v>351</v>
      </c>
      <c r="P14" s="82">
        <v>44217.26719907407</v>
      </c>
      <c r="Q14" s="80" t="s">
        <v>356</v>
      </c>
      <c r="R14" s="84" t="str">
        <f>HYPERLINK("https://www.tiess.online/registration?utm_source=SM&amp;utm_medium=Sheeran&amp;utm_campaign=TIESS&amp;utm_term=038")</f>
        <v>https://www.tiess.online/registration?utm_source=SM&amp;utm_medium=Sheeran&amp;utm_campaign=TIESS&amp;utm_term=038</v>
      </c>
      <c r="S14" s="80" t="s">
        <v>444</v>
      </c>
      <c r="T14" s="80" t="s">
        <v>450</v>
      </c>
      <c r="U14" s="84" t="str">
        <f>HYPERLINK("https://pbs.twimg.com/media/EsO_BRzU0AEEbdb.jpg")</f>
        <v>https://pbs.twimg.com/media/EsO_BRzU0AEEbdb.jpg</v>
      </c>
      <c r="V14" s="84" t="str">
        <f>HYPERLINK("https://pbs.twimg.com/media/EsO_BRzU0AEEbdb.jpg")</f>
        <v>https://pbs.twimg.com/media/EsO_BRzU0AEEbdb.jpg</v>
      </c>
      <c r="W14" s="82">
        <v>44217.26719907407</v>
      </c>
      <c r="X14" s="86">
        <v>44217</v>
      </c>
      <c r="Y14" s="88" t="s">
        <v>465</v>
      </c>
      <c r="Z14" s="84" t="str">
        <f>HYPERLINK("https://twitter.com/sarka003/status/1352140061400154114")</f>
        <v>https://twitter.com/sarka003/status/1352140061400154114</v>
      </c>
      <c r="AA14" s="80"/>
      <c r="AB14" s="80"/>
      <c r="AC14" s="88" t="s">
        <v>616</v>
      </c>
      <c r="AD14" s="80"/>
      <c r="AE14" s="80" t="b">
        <v>0</v>
      </c>
      <c r="AF14" s="80">
        <v>0</v>
      </c>
      <c r="AG14" s="88" t="s">
        <v>763</v>
      </c>
      <c r="AH14" s="80" t="b">
        <v>0</v>
      </c>
      <c r="AI14" s="80" t="s">
        <v>764</v>
      </c>
      <c r="AJ14" s="80"/>
      <c r="AK14" s="88" t="s">
        <v>763</v>
      </c>
      <c r="AL14" s="80" t="b">
        <v>0</v>
      </c>
      <c r="AM14" s="80">
        <v>2</v>
      </c>
      <c r="AN14" s="88" t="s">
        <v>725</v>
      </c>
      <c r="AO14" s="80" t="s">
        <v>765</v>
      </c>
      <c r="AP14" s="80" t="b">
        <v>0</v>
      </c>
      <c r="AQ14" s="88" t="s">
        <v>725</v>
      </c>
      <c r="AR14" s="80" t="s">
        <v>197</v>
      </c>
      <c r="AS14" s="80">
        <v>0</v>
      </c>
      <c r="AT14" s="80">
        <v>0</v>
      </c>
      <c r="AU14" s="80"/>
      <c r="AV14" s="80"/>
      <c r="AW14" s="80"/>
      <c r="AX14" s="80"/>
      <c r="AY14" s="80"/>
      <c r="AZ14" s="80"/>
      <c r="BA14" s="80"/>
      <c r="BB14" s="80"/>
      <c r="BC14">
        <v>1</v>
      </c>
      <c r="BD14" s="79" t="str">
        <f>REPLACE(INDEX(GroupVertices[Group],MATCH(Edges[[#This Row],[Vertex 1]],GroupVertices[Vertex],0)),1,1,"")</f>
        <v>11</v>
      </c>
      <c r="BE14" s="79" t="str">
        <f>REPLACE(INDEX(GroupVertices[Group],MATCH(Edges[[#This Row],[Vertex 2]],GroupVertices[Vertex],0)),1,1,"")</f>
        <v>1</v>
      </c>
      <c r="BF14" s="49">
        <v>2</v>
      </c>
      <c r="BG14" s="50">
        <v>6.451612903225806</v>
      </c>
      <c r="BH14" s="49">
        <v>1</v>
      </c>
      <c r="BI14" s="50">
        <v>3.225806451612903</v>
      </c>
      <c r="BJ14" s="49">
        <v>0</v>
      </c>
      <c r="BK14" s="50">
        <v>0</v>
      </c>
      <c r="BL14" s="49">
        <v>28</v>
      </c>
      <c r="BM14" s="50">
        <v>90.3225806451613</v>
      </c>
      <c r="BN14" s="49">
        <v>31</v>
      </c>
    </row>
    <row r="15" spans="1:66" ht="15">
      <c r="A15" s="65" t="s">
        <v>240</v>
      </c>
      <c r="B15" s="65" t="s">
        <v>279</v>
      </c>
      <c r="C15" s="66" t="s">
        <v>2153</v>
      </c>
      <c r="D15" s="67">
        <v>3</v>
      </c>
      <c r="E15" s="66" t="s">
        <v>132</v>
      </c>
      <c r="F15" s="69">
        <v>32</v>
      </c>
      <c r="G15" s="66"/>
      <c r="H15" s="70"/>
      <c r="I15" s="71"/>
      <c r="J15" s="71"/>
      <c r="K15" s="35" t="s">
        <v>65</v>
      </c>
      <c r="L15" s="72">
        <v>15</v>
      </c>
      <c r="M15" s="72"/>
      <c r="N15" s="73"/>
      <c r="O15" s="80" t="s">
        <v>352</v>
      </c>
      <c r="P15" s="82">
        <v>44217.41349537037</v>
      </c>
      <c r="Q15" s="80" t="s">
        <v>357</v>
      </c>
      <c r="R15" s="84" t="str">
        <f>HYPERLINK("https://www.tiess.online/registration?utm_source=SM&amp;utm_medium=Swaroop&amp;utm_campaign=TIESS&amp;utm_term=015")</f>
        <v>https://www.tiess.online/registration?utm_source=SM&amp;utm_medium=Swaroop&amp;utm_campaign=TIESS&amp;utm_term=015</v>
      </c>
      <c r="S15" s="80" t="s">
        <v>444</v>
      </c>
      <c r="T15" s="80" t="s">
        <v>450</v>
      </c>
      <c r="U15" s="84" t="str">
        <f>HYPERLINK("https://pbs.twimg.com/media/EsPS8swVEAEm_LK.jpg")</f>
        <v>https://pbs.twimg.com/media/EsPS8swVEAEm_LK.jpg</v>
      </c>
      <c r="V15" s="84" t="str">
        <f>HYPERLINK("https://pbs.twimg.com/media/EsPS8swVEAEm_LK.jpg")</f>
        <v>https://pbs.twimg.com/media/EsPS8swVEAEm_LK.jpg</v>
      </c>
      <c r="W15" s="82">
        <v>44217.41349537037</v>
      </c>
      <c r="X15" s="86">
        <v>44217</v>
      </c>
      <c r="Y15" s="88" t="s">
        <v>466</v>
      </c>
      <c r="Z15" s="84" t="str">
        <f>HYPERLINK("https://twitter.com/shail67330119/status/1352193075167150082")</f>
        <v>https://twitter.com/shail67330119/status/1352193075167150082</v>
      </c>
      <c r="AA15" s="80"/>
      <c r="AB15" s="80"/>
      <c r="AC15" s="88" t="s">
        <v>617</v>
      </c>
      <c r="AD15" s="80"/>
      <c r="AE15" s="80" t="b">
        <v>0</v>
      </c>
      <c r="AF15" s="80">
        <v>0</v>
      </c>
      <c r="AG15" s="88" t="s">
        <v>763</v>
      </c>
      <c r="AH15" s="80" t="b">
        <v>0</v>
      </c>
      <c r="AI15" s="80" t="s">
        <v>764</v>
      </c>
      <c r="AJ15" s="80"/>
      <c r="AK15" s="88" t="s">
        <v>763</v>
      </c>
      <c r="AL15" s="80" t="b">
        <v>0</v>
      </c>
      <c r="AM15" s="80">
        <v>5</v>
      </c>
      <c r="AN15" s="88" t="s">
        <v>667</v>
      </c>
      <c r="AO15" s="80" t="s">
        <v>767</v>
      </c>
      <c r="AP15" s="80" t="b">
        <v>0</v>
      </c>
      <c r="AQ15" s="88" t="s">
        <v>667</v>
      </c>
      <c r="AR15" s="80" t="s">
        <v>197</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9">
        <v>1</v>
      </c>
      <c r="BG15" s="50">
        <v>3.0303030303030303</v>
      </c>
      <c r="BH15" s="49">
        <v>0</v>
      </c>
      <c r="BI15" s="50">
        <v>0</v>
      </c>
      <c r="BJ15" s="49">
        <v>0</v>
      </c>
      <c r="BK15" s="50">
        <v>0</v>
      </c>
      <c r="BL15" s="49">
        <v>32</v>
      </c>
      <c r="BM15" s="50">
        <v>96.96969696969697</v>
      </c>
      <c r="BN15" s="49">
        <v>33</v>
      </c>
    </row>
    <row r="16" spans="1:66" ht="15">
      <c r="A16" s="65" t="s">
        <v>240</v>
      </c>
      <c r="B16" s="65" t="s">
        <v>271</v>
      </c>
      <c r="C16" s="66" t="s">
        <v>2153</v>
      </c>
      <c r="D16" s="67">
        <v>3</v>
      </c>
      <c r="E16" s="66" t="s">
        <v>132</v>
      </c>
      <c r="F16" s="69">
        <v>32</v>
      </c>
      <c r="G16" s="66"/>
      <c r="H16" s="70"/>
      <c r="I16" s="71"/>
      <c r="J16" s="71"/>
      <c r="K16" s="35" t="s">
        <v>65</v>
      </c>
      <c r="L16" s="72">
        <v>16</v>
      </c>
      <c r="M16" s="72"/>
      <c r="N16" s="73"/>
      <c r="O16" s="80" t="s">
        <v>351</v>
      </c>
      <c r="P16" s="82">
        <v>44217.41349537037</v>
      </c>
      <c r="Q16" s="80" t="s">
        <v>357</v>
      </c>
      <c r="R16" s="84" t="str">
        <f>HYPERLINK("https://www.tiess.online/registration?utm_source=SM&amp;utm_medium=Swaroop&amp;utm_campaign=TIESS&amp;utm_term=015")</f>
        <v>https://www.tiess.online/registration?utm_source=SM&amp;utm_medium=Swaroop&amp;utm_campaign=TIESS&amp;utm_term=015</v>
      </c>
      <c r="S16" s="80" t="s">
        <v>444</v>
      </c>
      <c r="T16" s="80" t="s">
        <v>450</v>
      </c>
      <c r="U16" s="84" t="str">
        <f>HYPERLINK("https://pbs.twimg.com/media/EsPS8swVEAEm_LK.jpg")</f>
        <v>https://pbs.twimg.com/media/EsPS8swVEAEm_LK.jpg</v>
      </c>
      <c r="V16" s="84" t="str">
        <f>HYPERLINK("https://pbs.twimg.com/media/EsPS8swVEAEm_LK.jpg")</f>
        <v>https://pbs.twimg.com/media/EsPS8swVEAEm_LK.jpg</v>
      </c>
      <c r="W16" s="82">
        <v>44217.41349537037</v>
      </c>
      <c r="X16" s="86">
        <v>44217</v>
      </c>
      <c r="Y16" s="88" t="s">
        <v>466</v>
      </c>
      <c r="Z16" s="84" t="str">
        <f>HYPERLINK("https://twitter.com/shail67330119/status/1352193075167150082")</f>
        <v>https://twitter.com/shail67330119/status/1352193075167150082</v>
      </c>
      <c r="AA16" s="80"/>
      <c r="AB16" s="80"/>
      <c r="AC16" s="88" t="s">
        <v>617</v>
      </c>
      <c r="AD16" s="80"/>
      <c r="AE16" s="80" t="b">
        <v>0</v>
      </c>
      <c r="AF16" s="80">
        <v>0</v>
      </c>
      <c r="AG16" s="88" t="s">
        <v>763</v>
      </c>
      <c r="AH16" s="80" t="b">
        <v>0</v>
      </c>
      <c r="AI16" s="80" t="s">
        <v>764</v>
      </c>
      <c r="AJ16" s="80"/>
      <c r="AK16" s="88" t="s">
        <v>763</v>
      </c>
      <c r="AL16" s="80" t="b">
        <v>0</v>
      </c>
      <c r="AM16" s="80">
        <v>5</v>
      </c>
      <c r="AN16" s="88" t="s">
        <v>667</v>
      </c>
      <c r="AO16" s="80" t="s">
        <v>767</v>
      </c>
      <c r="AP16" s="80" t="b">
        <v>0</v>
      </c>
      <c r="AQ16" s="88" t="s">
        <v>667</v>
      </c>
      <c r="AR16" s="80" t="s">
        <v>197</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241</v>
      </c>
      <c r="B17" s="65" t="s">
        <v>279</v>
      </c>
      <c r="C17" s="66" t="s">
        <v>2153</v>
      </c>
      <c r="D17" s="67">
        <v>3</v>
      </c>
      <c r="E17" s="66" t="s">
        <v>132</v>
      </c>
      <c r="F17" s="69">
        <v>32</v>
      </c>
      <c r="G17" s="66"/>
      <c r="H17" s="70"/>
      <c r="I17" s="71"/>
      <c r="J17" s="71"/>
      <c r="K17" s="35" t="s">
        <v>65</v>
      </c>
      <c r="L17" s="72">
        <v>17</v>
      </c>
      <c r="M17" s="72"/>
      <c r="N17" s="73"/>
      <c r="O17" s="80" t="s">
        <v>352</v>
      </c>
      <c r="P17" s="82">
        <v>44217.5050462963</v>
      </c>
      <c r="Q17" s="80" t="s">
        <v>357</v>
      </c>
      <c r="R17" s="84" t="str">
        <f>HYPERLINK("https://www.tiess.online/registration?utm_source=SM&amp;utm_medium=Swaroop&amp;utm_campaign=TIESS&amp;utm_term=015")</f>
        <v>https://www.tiess.online/registration?utm_source=SM&amp;utm_medium=Swaroop&amp;utm_campaign=TIESS&amp;utm_term=015</v>
      </c>
      <c r="S17" s="80" t="s">
        <v>444</v>
      </c>
      <c r="T17" s="80" t="s">
        <v>450</v>
      </c>
      <c r="U17" s="84" t="str">
        <f>HYPERLINK("https://pbs.twimg.com/media/EsPS8swVEAEm_LK.jpg")</f>
        <v>https://pbs.twimg.com/media/EsPS8swVEAEm_LK.jpg</v>
      </c>
      <c r="V17" s="84" t="str">
        <f>HYPERLINK("https://pbs.twimg.com/media/EsPS8swVEAEm_LK.jpg")</f>
        <v>https://pbs.twimg.com/media/EsPS8swVEAEm_LK.jpg</v>
      </c>
      <c r="W17" s="82">
        <v>44217.5050462963</v>
      </c>
      <c r="X17" s="86">
        <v>44217</v>
      </c>
      <c r="Y17" s="88" t="s">
        <v>467</v>
      </c>
      <c r="Z17" s="84" t="str">
        <f>HYPERLINK("https://twitter.com/meenakshipai/status/1352226254569705478")</f>
        <v>https://twitter.com/meenakshipai/status/1352226254569705478</v>
      </c>
      <c r="AA17" s="80"/>
      <c r="AB17" s="80"/>
      <c r="AC17" s="88" t="s">
        <v>618</v>
      </c>
      <c r="AD17" s="80"/>
      <c r="AE17" s="80" t="b">
        <v>0</v>
      </c>
      <c r="AF17" s="80">
        <v>0</v>
      </c>
      <c r="AG17" s="88" t="s">
        <v>763</v>
      </c>
      <c r="AH17" s="80" t="b">
        <v>0</v>
      </c>
      <c r="AI17" s="80" t="s">
        <v>764</v>
      </c>
      <c r="AJ17" s="80"/>
      <c r="AK17" s="88" t="s">
        <v>763</v>
      </c>
      <c r="AL17" s="80" t="b">
        <v>0</v>
      </c>
      <c r="AM17" s="80">
        <v>5</v>
      </c>
      <c r="AN17" s="88" t="s">
        <v>667</v>
      </c>
      <c r="AO17" s="80" t="s">
        <v>766</v>
      </c>
      <c r="AP17" s="80" t="b">
        <v>0</v>
      </c>
      <c r="AQ17" s="88" t="s">
        <v>667</v>
      </c>
      <c r="AR17" s="80" t="s">
        <v>197</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241</v>
      </c>
      <c r="B18" s="65" t="s">
        <v>271</v>
      </c>
      <c r="C18" s="66" t="s">
        <v>2153</v>
      </c>
      <c r="D18" s="67">
        <v>3</v>
      </c>
      <c r="E18" s="66" t="s">
        <v>132</v>
      </c>
      <c r="F18" s="69">
        <v>32</v>
      </c>
      <c r="G18" s="66"/>
      <c r="H18" s="70"/>
      <c r="I18" s="71"/>
      <c r="J18" s="71"/>
      <c r="K18" s="35" t="s">
        <v>65</v>
      </c>
      <c r="L18" s="72">
        <v>18</v>
      </c>
      <c r="M18" s="72"/>
      <c r="N18" s="73"/>
      <c r="O18" s="80" t="s">
        <v>351</v>
      </c>
      <c r="P18" s="82">
        <v>44217.5050462963</v>
      </c>
      <c r="Q18" s="80" t="s">
        <v>357</v>
      </c>
      <c r="R18" s="84" t="str">
        <f>HYPERLINK("https://www.tiess.online/registration?utm_source=SM&amp;utm_medium=Swaroop&amp;utm_campaign=TIESS&amp;utm_term=015")</f>
        <v>https://www.tiess.online/registration?utm_source=SM&amp;utm_medium=Swaroop&amp;utm_campaign=TIESS&amp;utm_term=015</v>
      </c>
      <c r="S18" s="80" t="s">
        <v>444</v>
      </c>
      <c r="T18" s="80" t="s">
        <v>450</v>
      </c>
      <c r="U18" s="84" t="str">
        <f>HYPERLINK("https://pbs.twimg.com/media/EsPS8swVEAEm_LK.jpg")</f>
        <v>https://pbs.twimg.com/media/EsPS8swVEAEm_LK.jpg</v>
      </c>
      <c r="V18" s="84" t="str">
        <f>HYPERLINK("https://pbs.twimg.com/media/EsPS8swVEAEm_LK.jpg")</f>
        <v>https://pbs.twimg.com/media/EsPS8swVEAEm_LK.jpg</v>
      </c>
      <c r="W18" s="82">
        <v>44217.5050462963</v>
      </c>
      <c r="X18" s="86">
        <v>44217</v>
      </c>
      <c r="Y18" s="88" t="s">
        <v>467</v>
      </c>
      <c r="Z18" s="84" t="str">
        <f>HYPERLINK("https://twitter.com/meenakshipai/status/1352226254569705478")</f>
        <v>https://twitter.com/meenakshipai/status/1352226254569705478</v>
      </c>
      <c r="AA18" s="80"/>
      <c r="AB18" s="80"/>
      <c r="AC18" s="88" t="s">
        <v>618</v>
      </c>
      <c r="AD18" s="80"/>
      <c r="AE18" s="80" t="b">
        <v>0</v>
      </c>
      <c r="AF18" s="80">
        <v>0</v>
      </c>
      <c r="AG18" s="88" t="s">
        <v>763</v>
      </c>
      <c r="AH18" s="80" t="b">
        <v>0</v>
      </c>
      <c r="AI18" s="80" t="s">
        <v>764</v>
      </c>
      <c r="AJ18" s="80"/>
      <c r="AK18" s="88" t="s">
        <v>763</v>
      </c>
      <c r="AL18" s="80" t="b">
        <v>0</v>
      </c>
      <c r="AM18" s="80">
        <v>5</v>
      </c>
      <c r="AN18" s="88" t="s">
        <v>667</v>
      </c>
      <c r="AO18" s="80" t="s">
        <v>766</v>
      </c>
      <c r="AP18" s="80" t="b">
        <v>0</v>
      </c>
      <c r="AQ18" s="88" t="s">
        <v>667</v>
      </c>
      <c r="AR18" s="80" t="s">
        <v>197</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9">
        <v>1</v>
      </c>
      <c r="BG18" s="50">
        <v>3.0303030303030303</v>
      </c>
      <c r="BH18" s="49">
        <v>0</v>
      </c>
      <c r="BI18" s="50">
        <v>0</v>
      </c>
      <c r="BJ18" s="49">
        <v>0</v>
      </c>
      <c r="BK18" s="50">
        <v>0</v>
      </c>
      <c r="BL18" s="49">
        <v>32</v>
      </c>
      <c r="BM18" s="50">
        <v>96.96969696969697</v>
      </c>
      <c r="BN18" s="49">
        <v>33</v>
      </c>
    </row>
    <row r="19" spans="1:66" ht="15">
      <c r="A19" s="65" t="s">
        <v>242</v>
      </c>
      <c r="B19" s="65" t="s">
        <v>279</v>
      </c>
      <c r="C19" s="66" t="s">
        <v>2153</v>
      </c>
      <c r="D19" s="67">
        <v>3</v>
      </c>
      <c r="E19" s="66" t="s">
        <v>132</v>
      </c>
      <c r="F19" s="69">
        <v>32</v>
      </c>
      <c r="G19" s="66"/>
      <c r="H19" s="70"/>
      <c r="I19" s="71"/>
      <c r="J19" s="71"/>
      <c r="K19" s="35" t="s">
        <v>65</v>
      </c>
      <c r="L19" s="72">
        <v>19</v>
      </c>
      <c r="M19" s="72"/>
      <c r="N19" s="73"/>
      <c r="O19" s="80" t="s">
        <v>352</v>
      </c>
      <c r="P19" s="82">
        <v>44217.66875</v>
      </c>
      <c r="Q19" s="80" t="s">
        <v>357</v>
      </c>
      <c r="R19" s="84" t="str">
        <f>HYPERLINK("https://www.tiess.online/registration?utm_source=SM&amp;utm_medium=Swaroop&amp;utm_campaign=TIESS&amp;utm_term=015")</f>
        <v>https://www.tiess.online/registration?utm_source=SM&amp;utm_medium=Swaroop&amp;utm_campaign=TIESS&amp;utm_term=015</v>
      </c>
      <c r="S19" s="80" t="s">
        <v>444</v>
      </c>
      <c r="T19" s="80" t="s">
        <v>450</v>
      </c>
      <c r="U19" s="84" t="str">
        <f>HYPERLINK("https://pbs.twimg.com/media/EsPS8swVEAEm_LK.jpg")</f>
        <v>https://pbs.twimg.com/media/EsPS8swVEAEm_LK.jpg</v>
      </c>
      <c r="V19" s="84" t="str">
        <f>HYPERLINK("https://pbs.twimg.com/media/EsPS8swVEAEm_LK.jpg")</f>
        <v>https://pbs.twimg.com/media/EsPS8swVEAEm_LK.jpg</v>
      </c>
      <c r="W19" s="82">
        <v>44217.66875</v>
      </c>
      <c r="X19" s="86">
        <v>44217</v>
      </c>
      <c r="Y19" s="88" t="s">
        <v>468</v>
      </c>
      <c r="Z19" s="84" t="str">
        <f>HYPERLINK("https://twitter.com/shivanikdmishra/status/1352285578167951362")</f>
        <v>https://twitter.com/shivanikdmishra/status/1352285578167951362</v>
      </c>
      <c r="AA19" s="80"/>
      <c r="AB19" s="80"/>
      <c r="AC19" s="88" t="s">
        <v>619</v>
      </c>
      <c r="AD19" s="80"/>
      <c r="AE19" s="80" t="b">
        <v>0</v>
      </c>
      <c r="AF19" s="80">
        <v>0</v>
      </c>
      <c r="AG19" s="88" t="s">
        <v>763</v>
      </c>
      <c r="AH19" s="80" t="b">
        <v>0</v>
      </c>
      <c r="AI19" s="80" t="s">
        <v>764</v>
      </c>
      <c r="AJ19" s="80"/>
      <c r="AK19" s="88" t="s">
        <v>763</v>
      </c>
      <c r="AL19" s="80" t="b">
        <v>0</v>
      </c>
      <c r="AM19" s="80">
        <v>5</v>
      </c>
      <c r="AN19" s="88" t="s">
        <v>667</v>
      </c>
      <c r="AO19" s="80" t="s">
        <v>766</v>
      </c>
      <c r="AP19" s="80" t="b">
        <v>0</v>
      </c>
      <c r="AQ19" s="88" t="s">
        <v>667</v>
      </c>
      <c r="AR19" s="80" t="s">
        <v>197</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242</v>
      </c>
      <c r="B20" s="65" t="s">
        <v>271</v>
      </c>
      <c r="C20" s="66" t="s">
        <v>2153</v>
      </c>
      <c r="D20" s="67">
        <v>3</v>
      </c>
      <c r="E20" s="66" t="s">
        <v>132</v>
      </c>
      <c r="F20" s="69">
        <v>32</v>
      </c>
      <c r="G20" s="66"/>
      <c r="H20" s="70"/>
      <c r="I20" s="71"/>
      <c r="J20" s="71"/>
      <c r="K20" s="35" t="s">
        <v>65</v>
      </c>
      <c r="L20" s="72">
        <v>20</v>
      </c>
      <c r="M20" s="72"/>
      <c r="N20" s="73"/>
      <c r="O20" s="80" t="s">
        <v>351</v>
      </c>
      <c r="P20" s="82">
        <v>44217.66875</v>
      </c>
      <c r="Q20" s="80" t="s">
        <v>357</v>
      </c>
      <c r="R20" s="84" t="str">
        <f>HYPERLINK("https://www.tiess.online/registration?utm_source=SM&amp;utm_medium=Swaroop&amp;utm_campaign=TIESS&amp;utm_term=015")</f>
        <v>https://www.tiess.online/registration?utm_source=SM&amp;utm_medium=Swaroop&amp;utm_campaign=TIESS&amp;utm_term=015</v>
      </c>
      <c r="S20" s="80" t="s">
        <v>444</v>
      </c>
      <c r="T20" s="80" t="s">
        <v>450</v>
      </c>
      <c r="U20" s="84" t="str">
        <f>HYPERLINK("https://pbs.twimg.com/media/EsPS8swVEAEm_LK.jpg")</f>
        <v>https://pbs.twimg.com/media/EsPS8swVEAEm_LK.jpg</v>
      </c>
      <c r="V20" s="84" t="str">
        <f>HYPERLINK("https://pbs.twimg.com/media/EsPS8swVEAEm_LK.jpg")</f>
        <v>https://pbs.twimg.com/media/EsPS8swVEAEm_LK.jpg</v>
      </c>
      <c r="W20" s="82">
        <v>44217.66875</v>
      </c>
      <c r="X20" s="86">
        <v>44217</v>
      </c>
      <c r="Y20" s="88" t="s">
        <v>468</v>
      </c>
      <c r="Z20" s="84" t="str">
        <f>HYPERLINK("https://twitter.com/shivanikdmishra/status/1352285578167951362")</f>
        <v>https://twitter.com/shivanikdmishra/status/1352285578167951362</v>
      </c>
      <c r="AA20" s="80"/>
      <c r="AB20" s="80"/>
      <c r="AC20" s="88" t="s">
        <v>619</v>
      </c>
      <c r="AD20" s="80"/>
      <c r="AE20" s="80" t="b">
        <v>0</v>
      </c>
      <c r="AF20" s="80">
        <v>0</v>
      </c>
      <c r="AG20" s="88" t="s">
        <v>763</v>
      </c>
      <c r="AH20" s="80" t="b">
        <v>0</v>
      </c>
      <c r="AI20" s="80" t="s">
        <v>764</v>
      </c>
      <c r="AJ20" s="80"/>
      <c r="AK20" s="88" t="s">
        <v>763</v>
      </c>
      <c r="AL20" s="80" t="b">
        <v>0</v>
      </c>
      <c r="AM20" s="80">
        <v>5</v>
      </c>
      <c r="AN20" s="88" t="s">
        <v>667</v>
      </c>
      <c r="AO20" s="80" t="s">
        <v>766</v>
      </c>
      <c r="AP20" s="80" t="b">
        <v>0</v>
      </c>
      <c r="AQ20" s="88" t="s">
        <v>667</v>
      </c>
      <c r="AR20" s="80" t="s">
        <v>197</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9">
        <v>1</v>
      </c>
      <c r="BG20" s="50">
        <v>3.0303030303030303</v>
      </c>
      <c r="BH20" s="49">
        <v>0</v>
      </c>
      <c r="BI20" s="50">
        <v>0</v>
      </c>
      <c r="BJ20" s="49">
        <v>0</v>
      </c>
      <c r="BK20" s="50">
        <v>0</v>
      </c>
      <c r="BL20" s="49">
        <v>32</v>
      </c>
      <c r="BM20" s="50">
        <v>96.96969696969697</v>
      </c>
      <c r="BN20" s="49">
        <v>33</v>
      </c>
    </row>
    <row r="21" spans="1:66" ht="15">
      <c r="A21" s="65" t="s">
        <v>243</v>
      </c>
      <c r="B21" s="65" t="s">
        <v>305</v>
      </c>
      <c r="C21" s="66" t="s">
        <v>2153</v>
      </c>
      <c r="D21" s="67">
        <v>3</v>
      </c>
      <c r="E21" s="66" t="s">
        <v>132</v>
      </c>
      <c r="F21" s="69">
        <v>32</v>
      </c>
      <c r="G21" s="66"/>
      <c r="H21" s="70"/>
      <c r="I21" s="71"/>
      <c r="J21" s="71"/>
      <c r="K21" s="35" t="s">
        <v>65</v>
      </c>
      <c r="L21" s="72">
        <v>21</v>
      </c>
      <c r="M21" s="72"/>
      <c r="N21" s="73"/>
      <c r="O21" s="80" t="s">
        <v>352</v>
      </c>
      <c r="P21" s="82">
        <v>44217.857465277775</v>
      </c>
      <c r="Q21" s="80" t="s">
        <v>358</v>
      </c>
      <c r="R21" s="84" t="str">
        <f>HYPERLINK("https://twitter.com/indiadidac/status/1352130841325944834")</f>
        <v>https://twitter.com/indiadidac/status/1352130841325944834</v>
      </c>
      <c r="S21" s="80" t="s">
        <v>445</v>
      </c>
      <c r="T21" s="80" t="s">
        <v>451</v>
      </c>
      <c r="U21" s="80"/>
      <c r="V21" s="84" t="str">
        <f>HYPERLINK("https://pbs.twimg.com/profile_images/1339644491565834244/lWHEVHjr_normal.jpg")</f>
        <v>https://pbs.twimg.com/profile_images/1339644491565834244/lWHEVHjr_normal.jpg</v>
      </c>
      <c r="W21" s="82">
        <v>44217.857465277775</v>
      </c>
      <c r="X21" s="86">
        <v>44217</v>
      </c>
      <c r="Y21" s="88" t="s">
        <v>469</v>
      </c>
      <c r="Z21" s="84" t="str">
        <f>HYPERLINK("https://twitter.com/christallaj/status/1352353963513884679")</f>
        <v>https://twitter.com/christallaj/status/1352353963513884679</v>
      </c>
      <c r="AA21" s="80"/>
      <c r="AB21" s="80"/>
      <c r="AC21" s="88" t="s">
        <v>620</v>
      </c>
      <c r="AD21" s="80"/>
      <c r="AE21" s="80" t="b">
        <v>0</v>
      </c>
      <c r="AF21" s="80">
        <v>0</v>
      </c>
      <c r="AG21" s="88" t="s">
        <v>763</v>
      </c>
      <c r="AH21" s="80" t="b">
        <v>1</v>
      </c>
      <c r="AI21" s="80" t="s">
        <v>764</v>
      </c>
      <c r="AJ21" s="80"/>
      <c r="AK21" s="88" t="s">
        <v>665</v>
      </c>
      <c r="AL21" s="80" t="b">
        <v>0</v>
      </c>
      <c r="AM21" s="80">
        <v>2</v>
      </c>
      <c r="AN21" s="88" t="s">
        <v>621</v>
      </c>
      <c r="AO21" s="80" t="s">
        <v>767</v>
      </c>
      <c r="AP21" s="80" t="b">
        <v>0</v>
      </c>
      <c r="AQ21" s="88" t="s">
        <v>621</v>
      </c>
      <c r="AR21" s="80" t="s">
        <v>197</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243</v>
      </c>
      <c r="B22" s="65" t="s">
        <v>244</v>
      </c>
      <c r="C22" s="66" t="s">
        <v>2153</v>
      </c>
      <c r="D22" s="67">
        <v>3</v>
      </c>
      <c r="E22" s="66" t="s">
        <v>132</v>
      </c>
      <c r="F22" s="69">
        <v>32</v>
      </c>
      <c r="G22" s="66"/>
      <c r="H22" s="70"/>
      <c r="I22" s="71"/>
      <c r="J22" s="71"/>
      <c r="K22" s="35" t="s">
        <v>65</v>
      </c>
      <c r="L22" s="72">
        <v>22</v>
      </c>
      <c r="M22" s="72"/>
      <c r="N22" s="73"/>
      <c r="O22" s="80" t="s">
        <v>351</v>
      </c>
      <c r="P22" s="82">
        <v>44217.857465277775</v>
      </c>
      <c r="Q22" s="80" t="s">
        <v>358</v>
      </c>
      <c r="R22" s="84" t="str">
        <f>HYPERLINK("https://twitter.com/indiadidac/status/1352130841325944834")</f>
        <v>https://twitter.com/indiadidac/status/1352130841325944834</v>
      </c>
      <c r="S22" s="80" t="s">
        <v>445</v>
      </c>
      <c r="T22" s="80" t="s">
        <v>451</v>
      </c>
      <c r="U22" s="80"/>
      <c r="V22" s="84" t="str">
        <f>HYPERLINK("https://pbs.twimg.com/profile_images/1339644491565834244/lWHEVHjr_normal.jpg")</f>
        <v>https://pbs.twimg.com/profile_images/1339644491565834244/lWHEVHjr_normal.jpg</v>
      </c>
      <c r="W22" s="82">
        <v>44217.857465277775</v>
      </c>
      <c r="X22" s="86">
        <v>44217</v>
      </c>
      <c r="Y22" s="88" t="s">
        <v>469</v>
      </c>
      <c r="Z22" s="84" t="str">
        <f>HYPERLINK("https://twitter.com/christallaj/status/1352353963513884679")</f>
        <v>https://twitter.com/christallaj/status/1352353963513884679</v>
      </c>
      <c r="AA22" s="80"/>
      <c r="AB22" s="80"/>
      <c r="AC22" s="88" t="s">
        <v>620</v>
      </c>
      <c r="AD22" s="80"/>
      <c r="AE22" s="80" t="b">
        <v>0</v>
      </c>
      <c r="AF22" s="80">
        <v>0</v>
      </c>
      <c r="AG22" s="88" t="s">
        <v>763</v>
      </c>
      <c r="AH22" s="80" t="b">
        <v>1</v>
      </c>
      <c r="AI22" s="80" t="s">
        <v>764</v>
      </c>
      <c r="AJ22" s="80"/>
      <c r="AK22" s="88" t="s">
        <v>665</v>
      </c>
      <c r="AL22" s="80" t="b">
        <v>0</v>
      </c>
      <c r="AM22" s="80">
        <v>2</v>
      </c>
      <c r="AN22" s="88" t="s">
        <v>621</v>
      </c>
      <c r="AO22" s="80" t="s">
        <v>767</v>
      </c>
      <c r="AP22" s="80" t="b">
        <v>0</v>
      </c>
      <c r="AQ22" s="88" t="s">
        <v>621</v>
      </c>
      <c r="AR22" s="80" t="s">
        <v>197</v>
      </c>
      <c r="AS22" s="80">
        <v>0</v>
      </c>
      <c r="AT22" s="80">
        <v>0</v>
      </c>
      <c r="AU22" s="80"/>
      <c r="AV22" s="80"/>
      <c r="AW22" s="80"/>
      <c r="AX22" s="80"/>
      <c r="AY22" s="80"/>
      <c r="AZ22" s="80"/>
      <c r="BA22" s="80"/>
      <c r="BB22" s="80"/>
      <c r="BC22">
        <v>1</v>
      </c>
      <c r="BD22" s="79" t="str">
        <f>REPLACE(INDEX(GroupVertices[Group],MATCH(Edges[[#This Row],[Vertex 1]],GroupVertices[Vertex],0)),1,1,"")</f>
        <v>5</v>
      </c>
      <c r="BE22" s="79" t="str">
        <f>REPLACE(INDEX(GroupVertices[Group],MATCH(Edges[[#This Row],[Vertex 2]],GroupVertices[Vertex],0)),1,1,"")</f>
        <v>5</v>
      </c>
      <c r="BF22" s="49">
        <v>1</v>
      </c>
      <c r="BG22" s="50">
        <v>3.225806451612903</v>
      </c>
      <c r="BH22" s="49">
        <v>0</v>
      </c>
      <c r="BI22" s="50">
        <v>0</v>
      </c>
      <c r="BJ22" s="49">
        <v>0</v>
      </c>
      <c r="BK22" s="50">
        <v>0</v>
      </c>
      <c r="BL22" s="49">
        <v>30</v>
      </c>
      <c r="BM22" s="50">
        <v>96.7741935483871</v>
      </c>
      <c r="BN22" s="49">
        <v>31</v>
      </c>
    </row>
    <row r="23" spans="1:66" ht="15">
      <c r="A23" s="65" t="s">
        <v>244</v>
      </c>
      <c r="B23" s="65" t="s">
        <v>305</v>
      </c>
      <c r="C23" s="66" t="s">
        <v>2153</v>
      </c>
      <c r="D23" s="67">
        <v>3</v>
      </c>
      <c r="E23" s="66" t="s">
        <v>132</v>
      </c>
      <c r="F23" s="69">
        <v>32</v>
      </c>
      <c r="G23" s="66"/>
      <c r="H23" s="70"/>
      <c r="I23" s="71"/>
      <c r="J23" s="71"/>
      <c r="K23" s="35" t="s">
        <v>65</v>
      </c>
      <c r="L23" s="72">
        <v>23</v>
      </c>
      <c r="M23" s="72"/>
      <c r="N23" s="73"/>
      <c r="O23" s="80" t="s">
        <v>353</v>
      </c>
      <c r="P23" s="82">
        <v>44217.40484953704</v>
      </c>
      <c r="Q23" s="80" t="s">
        <v>358</v>
      </c>
      <c r="R23" s="84" t="str">
        <f>HYPERLINK("https://twitter.com/indiadidac/status/1352130841325944834")</f>
        <v>https://twitter.com/indiadidac/status/1352130841325944834</v>
      </c>
      <c r="S23" s="80" t="s">
        <v>445</v>
      </c>
      <c r="T23" s="80" t="s">
        <v>451</v>
      </c>
      <c r="U23" s="80"/>
      <c r="V23" s="84" t="str">
        <f>HYPERLINK("https://pbs.twimg.com/profile_images/1343572385761533956/4K1t9qHf_normal.jpg")</f>
        <v>https://pbs.twimg.com/profile_images/1343572385761533956/4K1t9qHf_normal.jpg</v>
      </c>
      <c r="W23" s="82">
        <v>44217.40484953704</v>
      </c>
      <c r="X23" s="86">
        <v>44217</v>
      </c>
      <c r="Y23" s="88" t="s">
        <v>470</v>
      </c>
      <c r="Z23" s="84" t="str">
        <f>HYPERLINK("https://twitter.com/serdarferit/status/1352189941955104772")</f>
        <v>https://twitter.com/serdarferit/status/1352189941955104772</v>
      </c>
      <c r="AA23" s="80"/>
      <c r="AB23" s="80"/>
      <c r="AC23" s="88" t="s">
        <v>621</v>
      </c>
      <c r="AD23" s="80"/>
      <c r="AE23" s="80" t="b">
        <v>0</v>
      </c>
      <c r="AF23" s="80">
        <v>11</v>
      </c>
      <c r="AG23" s="88" t="s">
        <v>763</v>
      </c>
      <c r="AH23" s="80" t="b">
        <v>1</v>
      </c>
      <c r="AI23" s="80" t="s">
        <v>764</v>
      </c>
      <c r="AJ23" s="80"/>
      <c r="AK23" s="88" t="s">
        <v>665</v>
      </c>
      <c r="AL23" s="80" t="b">
        <v>0</v>
      </c>
      <c r="AM23" s="80">
        <v>2</v>
      </c>
      <c r="AN23" s="88" t="s">
        <v>763</v>
      </c>
      <c r="AO23" s="80" t="s">
        <v>767</v>
      </c>
      <c r="AP23" s="80" t="b">
        <v>0</v>
      </c>
      <c r="AQ23" s="88" t="s">
        <v>621</v>
      </c>
      <c r="AR23" s="80" t="s">
        <v>197</v>
      </c>
      <c r="AS23" s="80">
        <v>0</v>
      </c>
      <c r="AT23" s="80">
        <v>0</v>
      </c>
      <c r="AU23" s="80"/>
      <c r="AV23" s="80"/>
      <c r="AW23" s="80"/>
      <c r="AX23" s="80"/>
      <c r="AY23" s="80"/>
      <c r="AZ23" s="80"/>
      <c r="BA23" s="80"/>
      <c r="BB23" s="80"/>
      <c r="BC23">
        <v>1</v>
      </c>
      <c r="BD23" s="79" t="str">
        <f>REPLACE(INDEX(GroupVertices[Group],MATCH(Edges[[#This Row],[Vertex 1]],GroupVertices[Vertex],0)),1,1,"")</f>
        <v>5</v>
      </c>
      <c r="BE23" s="79" t="str">
        <f>REPLACE(INDEX(GroupVertices[Group],MATCH(Edges[[#This Row],[Vertex 2]],GroupVertices[Vertex],0)),1,1,"")</f>
        <v>5</v>
      </c>
      <c r="BF23" s="49">
        <v>1</v>
      </c>
      <c r="BG23" s="50">
        <v>3.225806451612903</v>
      </c>
      <c r="BH23" s="49">
        <v>0</v>
      </c>
      <c r="BI23" s="50">
        <v>0</v>
      </c>
      <c r="BJ23" s="49">
        <v>0</v>
      </c>
      <c r="BK23" s="50">
        <v>0</v>
      </c>
      <c r="BL23" s="49">
        <v>30</v>
      </c>
      <c r="BM23" s="50">
        <v>96.7741935483871</v>
      </c>
      <c r="BN23" s="49">
        <v>31</v>
      </c>
    </row>
    <row r="24" spans="1:66" ht="15">
      <c r="A24" s="65" t="s">
        <v>245</v>
      </c>
      <c r="B24" s="65" t="s">
        <v>305</v>
      </c>
      <c r="C24" s="66" t="s">
        <v>2153</v>
      </c>
      <c r="D24" s="67">
        <v>3</v>
      </c>
      <c r="E24" s="66" t="s">
        <v>132</v>
      </c>
      <c r="F24" s="69">
        <v>32</v>
      </c>
      <c r="G24" s="66"/>
      <c r="H24" s="70"/>
      <c r="I24" s="71"/>
      <c r="J24" s="71"/>
      <c r="K24" s="35" t="s">
        <v>65</v>
      </c>
      <c r="L24" s="72">
        <v>24</v>
      </c>
      <c r="M24" s="72"/>
      <c r="N24" s="73"/>
      <c r="O24" s="80" t="s">
        <v>352</v>
      </c>
      <c r="P24" s="82">
        <v>44218.368726851855</v>
      </c>
      <c r="Q24" s="80" t="s">
        <v>358</v>
      </c>
      <c r="R24" s="84" t="str">
        <f>HYPERLINK("https://twitter.com/indiadidac/status/1352130841325944834")</f>
        <v>https://twitter.com/indiadidac/status/1352130841325944834</v>
      </c>
      <c r="S24" s="80" t="s">
        <v>445</v>
      </c>
      <c r="T24" s="80" t="s">
        <v>451</v>
      </c>
      <c r="U24" s="80"/>
      <c r="V24" s="84" t="str">
        <f>HYPERLINK("https://pbs.twimg.com/profile_images/1126111500538732544/BWUjbMA3_normal.jpg")</f>
        <v>https://pbs.twimg.com/profile_images/1126111500538732544/BWUjbMA3_normal.jpg</v>
      </c>
      <c r="W24" s="82">
        <v>44218.368726851855</v>
      </c>
      <c r="X24" s="86">
        <v>44218</v>
      </c>
      <c r="Y24" s="88" t="s">
        <v>471</v>
      </c>
      <c r="Z24" s="84" t="str">
        <f>HYPERLINK("https://twitter.com/patisseriefilm/status/1352539241809653760")</f>
        <v>https://twitter.com/patisseriefilm/status/1352539241809653760</v>
      </c>
      <c r="AA24" s="80"/>
      <c r="AB24" s="80"/>
      <c r="AC24" s="88" t="s">
        <v>622</v>
      </c>
      <c r="AD24" s="80"/>
      <c r="AE24" s="80" t="b">
        <v>0</v>
      </c>
      <c r="AF24" s="80">
        <v>0</v>
      </c>
      <c r="AG24" s="88" t="s">
        <v>763</v>
      </c>
      <c r="AH24" s="80" t="b">
        <v>1</v>
      </c>
      <c r="AI24" s="80" t="s">
        <v>764</v>
      </c>
      <c r="AJ24" s="80"/>
      <c r="AK24" s="88" t="s">
        <v>665</v>
      </c>
      <c r="AL24" s="80" t="b">
        <v>0</v>
      </c>
      <c r="AM24" s="80">
        <v>2</v>
      </c>
      <c r="AN24" s="88" t="s">
        <v>621</v>
      </c>
      <c r="AO24" s="80" t="s">
        <v>767</v>
      </c>
      <c r="AP24" s="80" t="b">
        <v>0</v>
      </c>
      <c r="AQ24" s="88" t="s">
        <v>621</v>
      </c>
      <c r="AR24" s="80" t="s">
        <v>197</v>
      </c>
      <c r="AS24" s="80">
        <v>0</v>
      </c>
      <c r="AT24" s="80">
        <v>0</v>
      </c>
      <c r="AU24" s="80"/>
      <c r="AV24" s="80"/>
      <c r="AW24" s="80"/>
      <c r="AX24" s="80"/>
      <c r="AY24" s="80"/>
      <c r="AZ24" s="80"/>
      <c r="BA24" s="80"/>
      <c r="BB24" s="80"/>
      <c r="BC24">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245</v>
      </c>
      <c r="B25" s="65" t="s">
        <v>244</v>
      </c>
      <c r="C25" s="66" t="s">
        <v>2153</v>
      </c>
      <c r="D25" s="67">
        <v>3</v>
      </c>
      <c r="E25" s="66" t="s">
        <v>132</v>
      </c>
      <c r="F25" s="69">
        <v>32</v>
      </c>
      <c r="G25" s="66"/>
      <c r="H25" s="70"/>
      <c r="I25" s="71"/>
      <c r="J25" s="71"/>
      <c r="K25" s="35" t="s">
        <v>65</v>
      </c>
      <c r="L25" s="72">
        <v>25</v>
      </c>
      <c r="M25" s="72"/>
      <c r="N25" s="73"/>
      <c r="O25" s="80" t="s">
        <v>351</v>
      </c>
      <c r="P25" s="82">
        <v>44218.368726851855</v>
      </c>
      <c r="Q25" s="80" t="s">
        <v>358</v>
      </c>
      <c r="R25" s="84" t="str">
        <f>HYPERLINK("https://twitter.com/indiadidac/status/1352130841325944834")</f>
        <v>https://twitter.com/indiadidac/status/1352130841325944834</v>
      </c>
      <c r="S25" s="80" t="s">
        <v>445</v>
      </c>
      <c r="T25" s="80" t="s">
        <v>451</v>
      </c>
      <c r="U25" s="80"/>
      <c r="V25" s="84" t="str">
        <f>HYPERLINK("https://pbs.twimg.com/profile_images/1126111500538732544/BWUjbMA3_normal.jpg")</f>
        <v>https://pbs.twimg.com/profile_images/1126111500538732544/BWUjbMA3_normal.jpg</v>
      </c>
      <c r="W25" s="82">
        <v>44218.368726851855</v>
      </c>
      <c r="X25" s="86">
        <v>44218</v>
      </c>
      <c r="Y25" s="88" t="s">
        <v>471</v>
      </c>
      <c r="Z25" s="84" t="str">
        <f>HYPERLINK("https://twitter.com/patisseriefilm/status/1352539241809653760")</f>
        <v>https://twitter.com/patisseriefilm/status/1352539241809653760</v>
      </c>
      <c r="AA25" s="80"/>
      <c r="AB25" s="80"/>
      <c r="AC25" s="88" t="s">
        <v>622</v>
      </c>
      <c r="AD25" s="80"/>
      <c r="AE25" s="80" t="b">
        <v>0</v>
      </c>
      <c r="AF25" s="80">
        <v>0</v>
      </c>
      <c r="AG25" s="88" t="s">
        <v>763</v>
      </c>
      <c r="AH25" s="80" t="b">
        <v>1</v>
      </c>
      <c r="AI25" s="80" t="s">
        <v>764</v>
      </c>
      <c r="AJ25" s="80"/>
      <c r="AK25" s="88" t="s">
        <v>665</v>
      </c>
      <c r="AL25" s="80" t="b">
        <v>0</v>
      </c>
      <c r="AM25" s="80">
        <v>2</v>
      </c>
      <c r="AN25" s="88" t="s">
        <v>621</v>
      </c>
      <c r="AO25" s="80" t="s">
        <v>767</v>
      </c>
      <c r="AP25" s="80" t="b">
        <v>0</v>
      </c>
      <c r="AQ25" s="88" t="s">
        <v>621</v>
      </c>
      <c r="AR25" s="80" t="s">
        <v>197</v>
      </c>
      <c r="AS25" s="80">
        <v>0</v>
      </c>
      <c r="AT25" s="80">
        <v>0</v>
      </c>
      <c r="AU25" s="80"/>
      <c r="AV25" s="80"/>
      <c r="AW25" s="80"/>
      <c r="AX25" s="80"/>
      <c r="AY25" s="80"/>
      <c r="AZ25" s="80"/>
      <c r="BA25" s="80"/>
      <c r="BB25" s="80"/>
      <c r="BC25">
        <v>1</v>
      </c>
      <c r="BD25" s="79" t="str">
        <f>REPLACE(INDEX(GroupVertices[Group],MATCH(Edges[[#This Row],[Vertex 1]],GroupVertices[Vertex],0)),1,1,"")</f>
        <v>5</v>
      </c>
      <c r="BE25" s="79" t="str">
        <f>REPLACE(INDEX(GroupVertices[Group],MATCH(Edges[[#This Row],[Vertex 2]],GroupVertices[Vertex],0)),1,1,"")</f>
        <v>5</v>
      </c>
      <c r="BF25" s="49">
        <v>1</v>
      </c>
      <c r="BG25" s="50">
        <v>3.225806451612903</v>
      </c>
      <c r="BH25" s="49">
        <v>0</v>
      </c>
      <c r="BI25" s="50">
        <v>0</v>
      </c>
      <c r="BJ25" s="49">
        <v>0</v>
      </c>
      <c r="BK25" s="50">
        <v>0</v>
      </c>
      <c r="BL25" s="49">
        <v>30</v>
      </c>
      <c r="BM25" s="50">
        <v>96.7741935483871</v>
      </c>
      <c r="BN25" s="49">
        <v>31</v>
      </c>
    </row>
    <row r="26" spans="1:66" ht="15">
      <c r="A26" s="65" t="s">
        <v>246</v>
      </c>
      <c r="B26" s="65" t="s">
        <v>271</v>
      </c>
      <c r="C26" s="66" t="s">
        <v>2153</v>
      </c>
      <c r="D26" s="67">
        <v>3</v>
      </c>
      <c r="E26" s="66" t="s">
        <v>132</v>
      </c>
      <c r="F26" s="69">
        <v>32</v>
      </c>
      <c r="G26" s="66"/>
      <c r="H26" s="70"/>
      <c r="I26" s="71"/>
      <c r="J26" s="71"/>
      <c r="K26" s="35" t="s">
        <v>65</v>
      </c>
      <c r="L26" s="72">
        <v>26</v>
      </c>
      <c r="M26" s="72"/>
      <c r="N26" s="73"/>
      <c r="O26" s="80" t="s">
        <v>351</v>
      </c>
      <c r="P26" s="82">
        <v>44218.37671296296</v>
      </c>
      <c r="Q26" s="80" t="s">
        <v>359</v>
      </c>
      <c r="R26" s="84" t="str">
        <f>HYPERLINK("https://www.tiess.online/registration?utm_source=Mart&amp;utm_medium=Email&amp;utm_campaign=TIESS&amp;utm_term=018")</f>
        <v>https://www.tiess.online/registration?utm_source=Mart&amp;utm_medium=Email&amp;utm_campaign=TIESS&amp;utm_term=018</v>
      </c>
      <c r="S26" s="80" t="s">
        <v>444</v>
      </c>
      <c r="T26" s="80" t="s">
        <v>449</v>
      </c>
      <c r="U26" s="84" t="str">
        <f>HYPERLINK("https://pbs.twimg.com/media/EsUlmPyVkAAkQct.jpg")</f>
        <v>https://pbs.twimg.com/media/EsUlmPyVkAAkQct.jpg</v>
      </c>
      <c r="V26" s="84" t="str">
        <f>HYPERLINK("https://pbs.twimg.com/media/EsUlmPyVkAAkQct.jpg")</f>
        <v>https://pbs.twimg.com/media/EsUlmPyVkAAkQct.jpg</v>
      </c>
      <c r="W26" s="82">
        <v>44218.37671296296</v>
      </c>
      <c r="X26" s="86">
        <v>44218</v>
      </c>
      <c r="Y26" s="88" t="s">
        <v>472</v>
      </c>
      <c r="Z26" s="84" t="str">
        <f>HYPERLINK("https://twitter.com/estoniaedu/status/1352542134734381056")</f>
        <v>https://twitter.com/estoniaedu/status/1352542134734381056</v>
      </c>
      <c r="AA26" s="80"/>
      <c r="AB26" s="80"/>
      <c r="AC26" s="88" t="s">
        <v>623</v>
      </c>
      <c r="AD26" s="80"/>
      <c r="AE26" s="80" t="b">
        <v>0</v>
      </c>
      <c r="AF26" s="80">
        <v>0</v>
      </c>
      <c r="AG26" s="88" t="s">
        <v>763</v>
      </c>
      <c r="AH26" s="80" t="b">
        <v>0</v>
      </c>
      <c r="AI26" s="80" t="s">
        <v>764</v>
      </c>
      <c r="AJ26" s="80"/>
      <c r="AK26" s="88" t="s">
        <v>763</v>
      </c>
      <c r="AL26" s="80" t="b">
        <v>0</v>
      </c>
      <c r="AM26" s="80">
        <v>1</v>
      </c>
      <c r="AN26" s="88" t="s">
        <v>739</v>
      </c>
      <c r="AO26" s="80" t="s">
        <v>768</v>
      </c>
      <c r="AP26" s="80" t="b">
        <v>0</v>
      </c>
      <c r="AQ26" s="88" t="s">
        <v>739</v>
      </c>
      <c r="AR26" s="80" t="s">
        <v>197</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9">
        <v>2</v>
      </c>
      <c r="BG26" s="50">
        <v>6.451612903225806</v>
      </c>
      <c r="BH26" s="49">
        <v>0</v>
      </c>
      <c r="BI26" s="50">
        <v>0</v>
      </c>
      <c r="BJ26" s="49">
        <v>0</v>
      </c>
      <c r="BK26" s="50">
        <v>0</v>
      </c>
      <c r="BL26" s="49">
        <v>29</v>
      </c>
      <c r="BM26" s="50">
        <v>93.54838709677419</v>
      </c>
      <c r="BN26" s="49">
        <v>31</v>
      </c>
    </row>
    <row r="27" spans="1:66" ht="15">
      <c r="A27" s="65" t="s">
        <v>247</v>
      </c>
      <c r="B27" s="65" t="s">
        <v>306</v>
      </c>
      <c r="C27" s="66" t="s">
        <v>2153</v>
      </c>
      <c r="D27" s="67">
        <v>3</v>
      </c>
      <c r="E27" s="66" t="s">
        <v>132</v>
      </c>
      <c r="F27" s="69">
        <v>32</v>
      </c>
      <c r="G27" s="66"/>
      <c r="H27" s="70"/>
      <c r="I27" s="71"/>
      <c r="J27" s="71"/>
      <c r="K27" s="35" t="s">
        <v>65</v>
      </c>
      <c r="L27" s="72">
        <v>27</v>
      </c>
      <c r="M27" s="72"/>
      <c r="N27" s="73"/>
      <c r="O27" s="80" t="s">
        <v>352</v>
      </c>
      <c r="P27" s="82">
        <v>44218.403495370374</v>
      </c>
      <c r="Q27" s="80" t="s">
        <v>360</v>
      </c>
      <c r="R27" s="84" t="str">
        <f>HYPERLINK("https://www.tiess.online/registration?utm_source=SM&amp;utm_medium=Vincent&amp;utm_campaign=TIESS&amp;utm_term=018")</f>
        <v>https://www.tiess.online/registration?utm_source=SM&amp;utm_medium=Vincent&amp;utm_campaign=TIESS&amp;utm_term=018</v>
      </c>
      <c r="S27" s="80" t="s">
        <v>444</v>
      </c>
      <c r="T27" s="80" t="s">
        <v>450</v>
      </c>
      <c r="U27" s="84" t="str">
        <f>HYPERLINK("https://pbs.twimg.com/media/EsK26ZcVcAEapSV.jpg")</f>
        <v>https://pbs.twimg.com/media/EsK26ZcVcAEapSV.jpg</v>
      </c>
      <c r="V27" s="84" t="str">
        <f>HYPERLINK("https://pbs.twimg.com/media/EsK26ZcVcAEapSV.jpg")</f>
        <v>https://pbs.twimg.com/media/EsK26ZcVcAEapSV.jpg</v>
      </c>
      <c r="W27" s="82">
        <v>44218.403495370374</v>
      </c>
      <c r="X27" s="86">
        <v>44218</v>
      </c>
      <c r="Y27" s="88" t="s">
        <v>473</v>
      </c>
      <c r="Z27" s="84" t="str">
        <f>HYPERLINK("https://twitter.com/m_rueth/status/1352551841687609351")</f>
        <v>https://twitter.com/m_rueth/status/1352551841687609351</v>
      </c>
      <c r="AA27" s="80"/>
      <c r="AB27" s="80"/>
      <c r="AC27" s="88" t="s">
        <v>624</v>
      </c>
      <c r="AD27" s="80"/>
      <c r="AE27" s="80" t="b">
        <v>0</v>
      </c>
      <c r="AF27" s="80">
        <v>0</v>
      </c>
      <c r="AG27" s="88" t="s">
        <v>763</v>
      </c>
      <c r="AH27" s="80" t="b">
        <v>0</v>
      </c>
      <c r="AI27" s="80" t="s">
        <v>764</v>
      </c>
      <c r="AJ27" s="80"/>
      <c r="AK27" s="88" t="s">
        <v>763</v>
      </c>
      <c r="AL27" s="80" t="b">
        <v>0</v>
      </c>
      <c r="AM27" s="80">
        <v>3</v>
      </c>
      <c r="AN27" s="88" t="s">
        <v>655</v>
      </c>
      <c r="AO27" s="80" t="s">
        <v>765</v>
      </c>
      <c r="AP27" s="80" t="b">
        <v>0</v>
      </c>
      <c r="AQ27" s="88" t="s">
        <v>655</v>
      </c>
      <c r="AR27" s="80" t="s">
        <v>197</v>
      </c>
      <c r="AS27" s="80">
        <v>0</v>
      </c>
      <c r="AT27" s="80">
        <v>0</v>
      </c>
      <c r="AU27" s="80"/>
      <c r="AV27" s="80"/>
      <c r="AW27" s="80"/>
      <c r="AX27" s="80"/>
      <c r="AY27" s="80"/>
      <c r="AZ27" s="80"/>
      <c r="BA27" s="80"/>
      <c r="BB27" s="80"/>
      <c r="BC27">
        <v>1</v>
      </c>
      <c r="BD27" s="79" t="str">
        <f>REPLACE(INDEX(GroupVertices[Group],MATCH(Edges[[#This Row],[Vertex 1]],GroupVertices[Vertex],0)),1,1,"")</f>
        <v>3</v>
      </c>
      <c r="BE27" s="79" t="str">
        <f>REPLACE(INDEX(GroupVertices[Group],MATCH(Edges[[#This Row],[Vertex 2]],GroupVertices[Vertex],0)),1,1,"")</f>
        <v>3</v>
      </c>
      <c r="BF27" s="49">
        <v>0</v>
      </c>
      <c r="BG27" s="50">
        <v>0</v>
      </c>
      <c r="BH27" s="49">
        <v>0</v>
      </c>
      <c r="BI27" s="50">
        <v>0</v>
      </c>
      <c r="BJ27" s="49">
        <v>0</v>
      </c>
      <c r="BK27" s="50">
        <v>0</v>
      </c>
      <c r="BL27" s="49">
        <v>30</v>
      </c>
      <c r="BM27" s="50">
        <v>100</v>
      </c>
      <c r="BN27" s="49">
        <v>30</v>
      </c>
    </row>
    <row r="28" spans="1:66" ht="15">
      <c r="A28" s="65" t="s">
        <v>247</v>
      </c>
      <c r="B28" s="65" t="s">
        <v>271</v>
      </c>
      <c r="C28" s="66" t="s">
        <v>2153</v>
      </c>
      <c r="D28" s="67">
        <v>3</v>
      </c>
      <c r="E28" s="66" t="s">
        <v>132</v>
      </c>
      <c r="F28" s="69">
        <v>32</v>
      </c>
      <c r="G28" s="66"/>
      <c r="H28" s="70"/>
      <c r="I28" s="71"/>
      <c r="J28" s="71"/>
      <c r="K28" s="35" t="s">
        <v>65</v>
      </c>
      <c r="L28" s="72">
        <v>28</v>
      </c>
      <c r="M28" s="72"/>
      <c r="N28" s="73"/>
      <c r="O28" s="80" t="s">
        <v>351</v>
      </c>
      <c r="P28" s="82">
        <v>44218.403495370374</v>
      </c>
      <c r="Q28" s="80" t="s">
        <v>360</v>
      </c>
      <c r="R28" s="84" t="str">
        <f>HYPERLINK("https://www.tiess.online/registration?utm_source=SM&amp;utm_medium=Vincent&amp;utm_campaign=TIESS&amp;utm_term=018")</f>
        <v>https://www.tiess.online/registration?utm_source=SM&amp;utm_medium=Vincent&amp;utm_campaign=TIESS&amp;utm_term=018</v>
      </c>
      <c r="S28" s="80" t="s">
        <v>444</v>
      </c>
      <c r="T28" s="80" t="s">
        <v>450</v>
      </c>
      <c r="U28" s="84" t="str">
        <f>HYPERLINK("https://pbs.twimg.com/media/EsK26ZcVcAEapSV.jpg")</f>
        <v>https://pbs.twimg.com/media/EsK26ZcVcAEapSV.jpg</v>
      </c>
      <c r="V28" s="84" t="str">
        <f>HYPERLINK("https://pbs.twimg.com/media/EsK26ZcVcAEapSV.jpg")</f>
        <v>https://pbs.twimg.com/media/EsK26ZcVcAEapSV.jpg</v>
      </c>
      <c r="W28" s="82">
        <v>44218.403495370374</v>
      </c>
      <c r="X28" s="86">
        <v>44218</v>
      </c>
      <c r="Y28" s="88" t="s">
        <v>473</v>
      </c>
      <c r="Z28" s="84" t="str">
        <f>HYPERLINK("https://twitter.com/m_rueth/status/1352551841687609351")</f>
        <v>https://twitter.com/m_rueth/status/1352551841687609351</v>
      </c>
      <c r="AA28" s="80"/>
      <c r="AB28" s="80"/>
      <c r="AC28" s="88" t="s">
        <v>624</v>
      </c>
      <c r="AD28" s="80"/>
      <c r="AE28" s="80" t="b">
        <v>0</v>
      </c>
      <c r="AF28" s="80">
        <v>0</v>
      </c>
      <c r="AG28" s="88" t="s">
        <v>763</v>
      </c>
      <c r="AH28" s="80" t="b">
        <v>0</v>
      </c>
      <c r="AI28" s="80" t="s">
        <v>764</v>
      </c>
      <c r="AJ28" s="80"/>
      <c r="AK28" s="88" t="s">
        <v>763</v>
      </c>
      <c r="AL28" s="80" t="b">
        <v>0</v>
      </c>
      <c r="AM28" s="80">
        <v>3</v>
      </c>
      <c r="AN28" s="88" t="s">
        <v>655</v>
      </c>
      <c r="AO28" s="80" t="s">
        <v>765</v>
      </c>
      <c r="AP28" s="80" t="b">
        <v>0</v>
      </c>
      <c r="AQ28" s="88" t="s">
        <v>655</v>
      </c>
      <c r="AR28" s="80" t="s">
        <v>197</v>
      </c>
      <c r="AS28" s="80">
        <v>0</v>
      </c>
      <c r="AT28" s="80">
        <v>0</v>
      </c>
      <c r="AU28" s="80"/>
      <c r="AV28" s="80"/>
      <c r="AW28" s="80"/>
      <c r="AX28" s="80"/>
      <c r="AY28" s="80"/>
      <c r="AZ28" s="80"/>
      <c r="BA28" s="80"/>
      <c r="BB28" s="80"/>
      <c r="BC28">
        <v>1</v>
      </c>
      <c r="BD28" s="79" t="str">
        <f>REPLACE(INDEX(GroupVertices[Group],MATCH(Edges[[#This Row],[Vertex 1]],GroupVertices[Vertex],0)),1,1,"")</f>
        <v>3</v>
      </c>
      <c r="BE28" s="79" t="str">
        <f>REPLACE(INDEX(GroupVertices[Group],MATCH(Edges[[#This Row],[Vertex 2]],GroupVertices[Vertex],0)),1,1,"")</f>
        <v>1</v>
      </c>
      <c r="BF28" s="49"/>
      <c r="BG28" s="50"/>
      <c r="BH28" s="49"/>
      <c r="BI28" s="50"/>
      <c r="BJ28" s="49"/>
      <c r="BK28" s="50"/>
      <c r="BL28" s="49"/>
      <c r="BM28" s="50"/>
      <c r="BN28" s="49"/>
    </row>
    <row r="29" spans="1:66" ht="15">
      <c r="A29" s="65" t="s">
        <v>248</v>
      </c>
      <c r="B29" s="65" t="s">
        <v>307</v>
      </c>
      <c r="C29" s="66" t="s">
        <v>2153</v>
      </c>
      <c r="D29" s="67">
        <v>3</v>
      </c>
      <c r="E29" s="66" t="s">
        <v>132</v>
      </c>
      <c r="F29" s="69">
        <v>32</v>
      </c>
      <c r="G29" s="66"/>
      <c r="H29" s="70"/>
      <c r="I29" s="71"/>
      <c r="J29" s="71"/>
      <c r="K29" s="35" t="s">
        <v>65</v>
      </c>
      <c r="L29" s="72">
        <v>29</v>
      </c>
      <c r="M29" s="72"/>
      <c r="N29" s="73"/>
      <c r="O29" s="80" t="s">
        <v>352</v>
      </c>
      <c r="P29" s="82">
        <v>44218.46949074074</v>
      </c>
      <c r="Q29" s="80" t="s">
        <v>361</v>
      </c>
      <c r="R29" s="84" t="str">
        <f>HYPERLINK("https://www.tiess.online/registration?utm_source=TIESS&amp;utm_medium=Amity&amp;utm_campaign=TIESS&amp;utm_term=010")</f>
        <v>https://www.tiess.online/registration?utm_source=TIESS&amp;utm_medium=Amity&amp;utm_campaign=TIESS&amp;utm_term=010</v>
      </c>
      <c r="S29" s="80" t="s">
        <v>444</v>
      </c>
      <c r="T29" s="80" t="s">
        <v>449</v>
      </c>
      <c r="U29" s="84" t="str">
        <f>HYPERLINK("https://pbs.twimg.com/media/EsUyST3U0AA3Z4O.jpg")</f>
        <v>https://pbs.twimg.com/media/EsUyST3U0AA3Z4O.jpg</v>
      </c>
      <c r="V29" s="84" t="str">
        <f>HYPERLINK("https://pbs.twimg.com/media/EsUyST3U0AA3Z4O.jpg")</f>
        <v>https://pbs.twimg.com/media/EsUyST3U0AA3Z4O.jpg</v>
      </c>
      <c r="W29" s="82">
        <v>44218.46949074074</v>
      </c>
      <c r="X29" s="86">
        <v>44218</v>
      </c>
      <c r="Y29" s="88" t="s">
        <v>474</v>
      </c>
      <c r="Z29" s="84" t="str">
        <f>HYPERLINK("https://twitter.com/noidaagbs/status/1352575755960520704")</f>
        <v>https://twitter.com/noidaagbs/status/1352575755960520704</v>
      </c>
      <c r="AA29" s="80"/>
      <c r="AB29" s="80"/>
      <c r="AC29" s="88" t="s">
        <v>625</v>
      </c>
      <c r="AD29" s="80"/>
      <c r="AE29" s="80" t="b">
        <v>0</v>
      </c>
      <c r="AF29" s="80">
        <v>0</v>
      </c>
      <c r="AG29" s="88" t="s">
        <v>763</v>
      </c>
      <c r="AH29" s="80" t="b">
        <v>0</v>
      </c>
      <c r="AI29" s="80" t="s">
        <v>764</v>
      </c>
      <c r="AJ29" s="80"/>
      <c r="AK29" s="88" t="s">
        <v>763</v>
      </c>
      <c r="AL29" s="80" t="b">
        <v>0</v>
      </c>
      <c r="AM29" s="80">
        <v>7</v>
      </c>
      <c r="AN29" s="88" t="s">
        <v>677</v>
      </c>
      <c r="AO29" s="80" t="s">
        <v>766</v>
      </c>
      <c r="AP29" s="80" t="b">
        <v>0</v>
      </c>
      <c r="AQ29" s="88" t="s">
        <v>677</v>
      </c>
      <c r="AR29" s="80" t="s">
        <v>197</v>
      </c>
      <c r="AS29" s="80">
        <v>0</v>
      </c>
      <c r="AT29" s="80">
        <v>0</v>
      </c>
      <c r="AU29" s="80"/>
      <c r="AV29" s="80"/>
      <c r="AW29" s="80"/>
      <c r="AX29" s="80"/>
      <c r="AY29" s="80"/>
      <c r="AZ29" s="80"/>
      <c r="BA29" s="80"/>
      <c r="BB29" s="80"/>
      <c r="BC29">
        <v>1</v>
      </c>
      <c r="BD29" s="79" t="str">
        <f>REPLACE(INDEX(GroupVertices[Group],MATCH(Edges[[#This Row],[Vertex 1]],GroupVertices[Vertex],0)),1,1,"")</f>
        <v>4</v>
      </c>
      <c r="BE29" s="79" t="str">
        <f>REPLACE(INDEX(GroupVertices[Group],MATCH(Edges[[#This Row],[Vertex 2]],GroupVertices[Vertex],0)),1,1,"")</f>
        <v>4</v>
      </c>
      <c r="BF29" s="49">
        <v>3</v>
      </c>
      <c r="BG29" s="50">
        <v>9.67741935483871</v>
      </c>
      <c r="BH29" s="49">
        <v>0</v>
      </c>
      <c r="BI29" s="50">
        <v>0</v>
      </c>
      <c r="BJ29" s="49">
        <v>0</v>
      </c>
      <c r="BK29" s="50">
        <v>0</v>
      </c>
      <c r="BL29" s="49">
        <v>28</v>
      </c>
      <c r="BM29" s="50">
        <v>90.3225806451613</v>
      </c>
      <c r="BN29" s="49">
        <v>31</v>
      </c>
    </row>
    <row r="30" spans="1:66" ht="15">
      <c r="A30" s="65" t="s">
        <v>248</v>
      </c>
      <c r="B30" s="65" t="s">
        <v>271</v>
      </c>
      <c r="C30" s="66" t="s">
        <v>2153</v>
      </c>
      <c r="D30" s="67">
        <v>3</v>
      </c>
      <c r="E30" s="66" t="s">
        <v>132</v>
      </c>
      <c r="F30" s="69">
        <v>32</v>
      </c>
      <c r="G30" s="66"/>
      <c r="H30" s="70"/>
      <c r="I30" s="71"/>
      <c r="J30" s="71"/>
      <c r="K30" s="35" t="s">
        <v>65</v>
      </c>
      <c r="L30" s="72">
        <v>30</v>
      </c>
      <c r="M30" s="72"/>
      <c r="N30" s="73"/>
      <c r="O30" s="80" t="s">
        <v>351</v>
      </c>
      <c r="P30" s="82">
        <v>44218.46949074074</v>
      </c>
      <c r="Q30" s="80" t="s">
        <v>361</v>
      </c>
      <c r="R30" s="84" t="str">
        <f>HYPERLINK("https://www.tiess.online/registration?utm_source=TIESS&amp;utm_medium=Amity&amp;utm_campaign=TIESS&amp;utm_term=010")</f>
        <v>https://www.tiess.online/registration?utm_source=TIESS&amp;utm_medium=Amity&amp;utm_campaign=TIESS&amp;utm_term=010</v>
      </c>
      <c r="S30" s="80" t="s">
        <v>444</v>
      </c>
      <c r="T30" s="80" t="s">
        <v>449</v>
      </c>
      <c r="U30" s="84" t="str">
        <f>HYPERLINK("https://pbs.twimg.com/media/EsUyST3U0AA3Z4O.jpg")</f>
        <v>https://pbs.twimg.com/media/EsUyST3U0AA3Z4O.jpg</v>
      </c>
      <c r="V30" s="84" t="str">
        <f>HYPERLINK("https://pbs.twimg.com/media/EsUyST3U0AA3Z4O.jpg")</f>
        <v>https://pbs.twimg.com/media/EsUyST3U0AA3Z4O.jpg</v>
      </c>
      <c r="W30" s="82">
        <v>44218.46949074074</v>
      </c>
      <c r="X30" s="86">
        <v>44218</v>
      </c>
      <c r="Y30" s="88" t="s">
        <v>474</v>
      </c>
      <c r="Z30" s="84" t="str">
        <f>HYPERLINK("https://twitter.com/noidaagbs/status/1352575755960520704")</f>
        <v>https://twitter.com/noidaagbs/status/1352575755960520704</v>
      </c>
      <c r="AA30" s="80"/>
      <c r="AB30" s="80"/>
      <c r="AC30" s="88" t="s">
        <v>625</v>
      </c>
      <c r="AD30" s="80"/>
      <c r="AE30" s="80" t="b">
        <v>0</v>
      </c>
      <c r="AF30" s="80">
        <v>0</v>
      </c>
      <c r="AG30" s="88" t="s">
        <v>763</v>
      </c>
      <c r="AH30" s="80" t="b">
        <v>0</v>
      </c>
      <c r="AI30" s="80" t="s">
        <v>764</v>
      </c>
      <c r="AJ30" s="80"/>
      <c r="AK30" s="88" t="s">
        <v>763</v>
      </c>
      <c r="AL30" s="80" t="b">
        <v>0</v>
      </c>
      <c r="AM30" s="80">
        <v>7</v>
      </c>
      <c r="AN30" s="88" t="s">
        <v>677</v>
      </c>
      <c r="AO30" s="80" t="s">
        <v>766</v>
      </c>
      <c r="AP30" s="80" t="b">
        <v>0</v>
      </c>
      <c r="AQ30" s="88" t="s">
        <v>677</v>
      </c>
      <c r="AR30" s="80" t="s">
        <v>197</v>
      </c>
      <c r="AS30" s="80">
        <v>0</v>
      </c>
      <c r="AT30" s="80">
        <v>0</v>
      </c>
      <c r="AU30" s="80"/>
      <c r="AV30" s="80"/>
      <c r="AW30" s="80"/>
      <c r="AX30" s="80"/>
      <c r="AY30" s="80"/>
      <c r="AZ30" s="80"/>
      <c r="BA30" s="80"/>
      <c r="BB30" s="80"/>
      <c r="BC30">
        <v>1</v>
      </c>
      <c r="BD30" s="79" t="str">
        <f>REPLACE(INDEX(GroupVertices[Group],MATCH(Edges[[#This Row],[Vertex 1]],GroupVertices[Vertex],0)),1,1,"")</f>
        <v>4</v>
      </c>
      <c r="BE30" s="79" t="str">
        <f>REPLACE(INDEX(GroupVertices[Group],MATCH(Edges[[#This Row],[Vertex 2]],GroupVertices[Vertex],0)),1,1,"")</f>
        <v>1</v>
      </c>
      <c r="BF30" s="49"/>
      <c r="BG30" s="50"/>
      <c r="BH30" s="49"/>
      <c r="BI30" s="50"/>
      <c r="BJ30" s="49"/>
      <c r="BK30" s="50"/>
      <c r="BL30" s="49"/>
      <c r="BM30" s="50"/>
      <c r="BN30" s="49"/>
    </row>
    <row r="31" spans="1:66" ht="15">
      <c r="A31" s="65" t="s">
        <v>249</v>
      </c>
      <c r="B31" s="65" t="s">
        <v>279</v>
      </c>
      <c r="C31" s="66" t="s">
        <v>2153</v>
      </c>
      <c r="D31" s="67">
        <v>3</v>
      </c>
      <c r="E31" s="66" t="s">
        <v>132</v>
      </c>
      <c r="F31" s="69">
        <v>32</v>
      </c>
      <c r="G31" s="66"/>
      <c r="H31" s="70"/>
      <c r="I31" s="71"/>
      <c r="J31" s="71"/>
      <c r="K31" s="35" t="s">
        <v>65</v>
      </c>
      <c r="L31" s="72">
        <v>31</v>
      </c>
      <c r="M31" s="72"/>
      <c r="N31" s="73"/>
      <c r="O31" s="80" t="s">
        <v>352</v>
      </c>
      <c r="P31" s="82">
        <v>44218.48142361111</v>
      </c>
      <c r="Q31" s="80" t="s">
        <v>357</v>
      </c>
      <c r="R31" s="84" t="str">
        <f>HYPERLINK("https://www.tiess.online/registration?utm_source=SM&amp;utm_medium=Swaroop&amp;utm_campaign=TIESS&amp;utm_term=015")</f>
        <v>https://www.tiess.online/registration?utm_source=SM&amp;utm_medium=Swaroop&amp;utm_campaign=TIESS&amp;utm_term=015</v>
      </c>
      <c r="S31" s="80" t="s">
        <v>444</v>
      </c>
      <c r="T31" s="80" t="s">
        <v>450</v>
      </c>
      <c r="U31" s="84" t="str">
        <f>HYPERLINK("https://pbs.twimg.com/media/EsPS8swVEAEm_LK.jpg")</f>
        <v>https://pbs.twimg.com/media/EsPS8swVEAEm_LK.jpg</v>
      </c>
      <c r="V31" s="84" t="str">
        <f>HYPERLINK("https://pbs.twimg.com/media/EsPS8swVEAEm_LK.jpg")</f>
        <v>https://pbs.twimg.com/media/EsPS8swVEAEm_LK.jpg</v>
      </c>
      <c r="W31" s="82">
        <v>44218.48142361111</v>
      </c>
      <c r="X31" s="86">
        <v>44218</v>
      </c>
      <c r="Y31" s="88" t="s">
        <v>475</v>
      </c>
      <c r="Z31" s="84" t="str">
        <f>HYPERLINK("https://twitter.com/adatewithcocoa/status/1352580081382785026")</f>
        <v>https://twitter.com/adatewithcocoa/status/1352580081382785026</v>
      </c>
      <c r="AA31" s="80"/>
      <c r="AB31" s="80"/>
      <c r="AC31" s="88" t="s">
        <v>626</v>
      </c>
      <c r="AD31" s="80"/>
      <c r="AE31" s="80" t="b">
        <v>0</v>
      </c>
      <c r="AF31" s="80">
        <v>0</v>
      </c>
      <c r="AG31" s="88" t="s">
        <v>763</v>
      </c>
      <c r="AH31" s="80" t="b">
        <v>0</v>
      </c>
      <c r="AI31" s="80" t="s">
        <v>764</v>
      </c>
      <c r="AJ31" s="80"/>
      <c r="AK31" s="88" t="s">
        <v>763</v>
      </c>
      <c r="AL31" s="80" t="b">
        <v>0</v>
      </c>
      <c r="AM31" s="80">
        <v>5</v>
      </c>
      <c r="AN31" s="88" t="s">
        <v>667</v>
      </c>
      <c r="AO31" s="80" t="s">
        <v>767</v>
      </c>
      <c r="AP31" s="80" t="b">
        <v>0</v>
      </c>
      <c r="AQ31" s="88" t="s">
        <v>667</v>
      </c>
      <c r="AR31" s="80" t="s">
        <v>197</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249</v>
      </c>
      <c r="B32" s="65" t="s">
        <v>271</v>
      </c>
      <c r="C32" s="66" t="s">
        <v>2153</v>
      </c>
      <c r="D32" s="67">
        <v>3</v>
      </c>
      <c r="E32" s="66" t="s">
        <v>132</v>
      </c>
      <c r="F32" s="69">
        <v>32</v>
      </c>
      <c r="G32" s="66"/>
      <c r="H32" s="70"/>
      <c r="I32" s="71"/>
      <c r="J32" s="71"/>
      <c r="K32" s="35" t="s">
        <v>65</v>
      </c>
      <c r="L32" s="72">
        <v>32</v>
      </c>
      <c r="M32" s="72"/>
      <c r="N32" s="73"/>
      <c r="O32" s="80" t="s">
        <v>351</v>
      </c>
      <c r="P32" s="82">
        <v>44218.48142361111</v>
      </c>
      <c r="Q32" s="80" t="s">
        <v>357</v>
      </c>
      <c r="R32" s="84" t="str">
        <f>HYPERLINK("https://www.tiess.online/registration?utm_source=SM&amp;utm_medium=Swaroop&amp;utm_campaign=TIESS&amp;utm_term=015")</f>
        <v>https://www.tiess.online/registration?utm_source=SM&amp;utm_medium=Swaroop&amp;utm_campaign=TIESS&amp;utm_term=015</v>
      </c>
      <c r="S32" s="80" t="s">
        <v>444</v>
      </c>
      <c r="T32" s="80" t="s">
        <v>450</v>
      </c>
      <c r="U32" s="84" t="str">
        <f>HYPERLINK("https://pbs.twimg.com/media/EsPS8swVEAEm_LK.jpg")</f>
        <v>https://pbs.twimg.com/media/EsPS8swVEAEm_LK.jpg</v>
      </c>
      <c r="V32" s="84" t="str">
        <f>HYPERLINK("https://pbs.twimg.com/media/EsPS8swVEAEm_LK.jpg")</f>
        <v>https://pbs.twimg.com/media/EsPS8swVEAEm_LK.jpg</v>
      </c>
      <c r="W32" s="82">
        <v>44218.48142361111</v>
      </c>
      <c r="X32" s="86">
        <v>44218</v>
      </c>
      <c r="Y32" s="88" t="s">
        <v>475</v>
      </c>
      <c r="Z32" s="84" t="str">
        <f>HYPERLINK("https://twitter.com/adatewithcocoa/status/1352580081382785026")</f>
        <v>https://twitter.com/adatewithcocoa/status/1352580081382785026</v>
      </c>
      <c r="AA32" s="80"/>
      <c r="AB32" s="80"/>
      <c r="AC32" s="88" t="s">
        <v>626</v>
      </c>
      <c r="AD32" s="80"/>
      <c r="AE32" s="80" t="b">
        <v>0</v>
      </c>
      <c r="AF32" s="80">
        <v>0</v>
      </c>
      <c r="AG32" s="88" t="s">
        <v>763</v>
      </c>
      <c r="AH32" s="80" t="b">
        <v>0</v>
      </c>
      <c r="AI32" s="80" t="s">
        <v>764</v>
      </c>
      <c r="AJ32" s="80"/>
      <c r="AK32" s="88" t="s">
        <v>763</v>
      </c>
      <c r="AL32" s="80" t="b">
        <v>0</v>
      </c>
      <c r="AM32" s="80">
        <v>5</v>
      </c>
      <c r="AN32" s="88" t="s">
        <v>667</v>
      </c>
      <c r="AO32" s="80" t="s">
        <v>767</v>
      </c>
      <c r="AP32" s="80" t="b">
        <v>0</v>
      </c>
      <c r="AQ32" s="88" t="s">
        <v>667</v>
      </c>
      <c r="AR32" s="80" t="s">
        <v>197</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9">
        <v>1</v>
      </c>
      <c r="BG32" s="50">
        <v>3.0303030303030303</v>
      </c>
      <c r="BH32" s="49">
        <v>0</v>
      </c>
      <c r="BI32" s="50">
        <v>0</v>
      </c>
      <c r="BJ32" s="49">
        <v>0</v>
      </c>
      <c r="BK32" s="50">
        <v>0</v>
      </c>
      <c r="BL32" s="49">
        <v>32</v>
      </c>
      <c r="BM32" s="50">
        <v>96.96969696969697</v>
      </c>
      <c r="BN32" s="49">
        <v>33</v>
      </c>
    </row>
    <row r="33" spans="1:66" ht="15">
      <c r="A33" s="65" t="s">
        <v>250</v>
      </c>
      <c r="B33" s="65" t="s">
        <v>307</v>
      </c>
      <c r="C33" s="66" t="s">
        <v>2153</v>
      </c>
      <c r="D33" s="67">
        <v>3</v>
      </c>
      <c r="E33" s="66" t="s">
        <v>132</v>
      </c>
      <c r="F33" s="69">
        <v>32</v>
      </c>
      <c r="G33" s="66"/>
      <c r="H33" s="70"/>
      <c r="I33" s="71"/>
      <c r="J33" s="71"/>
      <c r="K33" s="35" t="s">
        <v>65</v>
      </c>
      <c r="L33" s="72">
        <v>33</v>
      </c>
      <c r="M33" s="72"/>
      <c r="N33" s="73"/>
      <c r="O33" s="80" t="s">
        <v>352</v>
      </c>
      <c r="P33" s="82">
        <v>44218.56685185185</v>
      </c>
      <c r="Q33" s="80" t="s">
        <v>361</v>
      </c>
      <c r="R33" s="84" t="str">
        <f>HYPERLINK("https://www.tiess.online/registration?utm_source=TIESS&amp;utm_medium=Amity&amp;utm_campaign=TIESS&amp;utm_term=010")</f>
        <v>https://www.tiess.online/registration?utm_source=TIESS&amp;utm_medium=Amity&amp;utm_campaign=TIESS&amp;utm_term=010</v>
      </c>
      <c r="S33" s="80" t="s">
        <v>444</v>
      </c>
      <c r="T33" s="80" t="s">
        <v>449</v>
      </c>
      <c r="U33" s="84" t="str">
        <f>HYPERLINK("https://pbs.twimg.com/media/EsUyST3U0AA3Z4O.jpg")</f>
        <v>https://pbs.twimg.com/media/EsUyST3U0AA3Z4O.jpg</v>
      </c>
      <c r="V33" s="84" t="str">
        <f>HYPERLINK("https://pbs.twimg.com/media/EsUyST3U0AA3Z4O.jpg")</f>
        <v>https://pbs.twimg.com/media/EsUyST3U0AA3Z4O.jpg</v>
      </c>
      <c r="W33" s="82">
        <v>44218.56685185185</v>
      </c>
      <c r="X33" s="86">
        <v>44218</v>
      </c>
      <c r="Y33" s="88" t="s">
        <v>476</v>
      </c>
      <c r="Z33" s="84" t="str">
        <f>HYPERLINK("https://twitter.com/amityuni/status/1352611038970036226")</f>
        <v>https://twitter.com/amityuni/status/1352611038970036226</v>
      </c>
      <c r="AA33" s="80"/>
      <c r="AB33" s="80"/>
      <c r="AC33" s="88" t="s">
        <v>627</v>
      </c>
      <c r="AD33" s="80"/>
      <c r="AE33" s="80" t="b">
        <v>0</v>
      </c>
      <c r="AF33" s="80">
        <v>0</v>
      </c>
      <c r="AG33" s="88" t="s">
        <v>763</v>
      </c>
      <c r="AH33" s="80" t="b">
        <v>0</v>
      </c>
      <c r="AI33" s="80" t="s">
        <v>764</v>
      </c>
      <c r="AJ33" s="80"/>
      <c r="AK33" s="88" t="s">
        <v>763</v>
      </c>
      <c r="AL33" s="80" t="b">
        <v>0</v>
      </c>
      <c r="AM33" s="80">
        <v>7</v>
      </c>
      <c r="AN33" s="88" t="s">
        <v>677</v>
      </c>
      <c r="AO33" s="80" t="s">
        <v>767</v>
      </c>
      <c r="AP33" s="80" t="b">
        <v>0</v>
      </c>
      <c r="AQ33" s="88" t="s">
        <v>677</v>
      </c>
      <c r="AR33" s="80" t="s">
        <v>197</v>
      </c>
      <c r="AS33" s="80">
        <v>0</v>
      </c>
      <c r="AT33" s="80">
        <v>0</v>
      </c>
      <c r="AU33" s="80"/>
      <c r="AV33" s="80"/>
      <c r="AW33" s="80"/>
      <c r="AX33" s="80"/>
      <c r="AY33" s="80"/>
      <c r="AZ33" s="80"/>
      <c r="BA33" s="80"/>
      <c r="BB33" s="80"/>
      <c r="BC33">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250</v>
      </c>
      <c r="B34" s="65" t="s">
        <v>271</v>
      </c>
      <c r="C34" s="66" t="s">
        <v>2153</v>
      </c>
      <c r="D34" s="67">
        <v>3</v>
      </c>
      <c r="E34" s="66" t="s">
        <v>132</v>
      </c>
      <c r="F34" s="69">
        <v>32</v>
      </c>
      <c r="G34" s="66"/>
      <c r="H34" s="70"/>
      <c r="I34" s="71"/>
      <c r="J34" s="71"/>
      <c r="K34" s="35" t="s">
        <v>65</v>
      </c>
      <c r="L34" s="72">
        <v>34</v>
      </c>
      <c r="M34" s="72"/>
      <c r="N34" s="73"/>
      <c r="O34" s="80" t="s">
        <v>351</v>
      </c>
      <c r="P34" s="82">
        <v>44218.56685185185</v>
      </c>
      <c r="Q34" s="80" t="s">
        <v>361</v>
      </c>
      <c r="R34" s="84" t="str">
        <f>HYPERLINK("https://www.tiess.online/registration?utm_source=TIESS&amp;utm_medium=Amity&amp;utm_campaign=TIESS&amp;utm_term=010")</f>
        <v>https://www.tiess.online/registration?utm_source=TIESS&amp;utm_medium=Amity&amp;utm_campaign=TIESS&amp;utm_term=010</v>
      </c>
      <c r="S34" s="80" t="s">
        <v>444</v>
      </c>
      <c r="T34" s="80" t="s">
        <v>449</v>
      </c>
      <c r="U34" s="84" t="str">
        <f>HYPERLINK("https://pbs.twimg.com/media/EsUyST3U0AA3Z4O.jpg")</f>
        <v>https://pbs.twimg.com/media/EsUyST3U0AA3Z4O.jpg</v>
      </c>
      <c r="V34" s="84" t="str">
        <f>HYPERLINK("https://pbs.twimg.com/media/EsUyST3U0AA3Z4O.jpg")</f>
        <v>https://pbs.twimg.com/media/EsUyST3U0AA3Z4O.jpg</v>
      </c>
      <c r="W34" s="82">
        <v>44218.56685185185</v>
      </c>
      <c r="X34" s="86">
        <v>44218</v>
      </c>
      <c r="Y34" s="88" t="s">
        <v>476</v>
      </c>
      <c r="Z34" s="84" t="str">
        <f>HYPERLINK("https://twitter.com/amityuni/status/1352611038970036226")</f>
        <v>https://twitter.com/amityuni/status/1352611038970036226</v>
      </c>
      <c r="AA34" s="80"/>
      <c r="AB34" s="80"/>
      <c r="AC34" s="88" t="s">
        <v>627</v>
      </c>
      <c r="AD34" s="80"/>
      <c r="AE34" s="80" t="b">
        <v>0</v>
      </c>
      <c r="AF34" s="80">
        <v>0</v>
      </c>
      <c r="AG34" s="88" t="s">
        <v>763</v>
      </c>
      <c r="AH34" s="80" t="b">
        <v>0</v>
      </c>
      <c r="AI34" s="80" t="s">
        <v>764</v>
      </c>
      <c r="AJ34" s="80"/>
      <c r="AK34" s="88" t="s">
        <v>763</v>
      </c>
      <c r="AL34" s="80" t="b">
        <v>0</v>
      </c>
      <c r="AM34" s="80">
        <v>7</v>
      </c>
      <c r="AN34" s="88" t="s">
        <v>677</v>
      </c>
      <c r="AO34" s="80" t="s">
        <v>767</v>
      </c>
      <c r="AP34" s="80" t="b">
        <v>0</v>
      </c>
      <c r="AQ34" s="88" t="s">
        <v>677</v>
      </c>
      <c r="AR34" s="80" t="s">
        <v>197</v>
      </c>
      <c r="AS34" s="80">
        <v>0</v>
      </c>
      <c r="AT34" s="80">
        <v>0</v>
      </c>
      <c r="AU34" s="80"/>
      <c r="AV34" s="80"/>
      <c r="AW34" s="80"/>
      <c r="AX34" s="80"/>
      <c r="AY34" s="80"/>
      <c r="AZ34" s="80"/>
      <c r="BA34" s="80"/>
      <c r="BB34" s="80"/>
      <c r="BC34">
        <v>1</v>
      </c>
      <c r="BD34" s="79" t="str">
        <f>REPLACE(INDEX(GroupVertices[Group],MATCH(Edges[[#This Row],[Vertex 1]],GroupVertices[Vertex],0)),1,1,"")</f>
        <v>4</v>
      </c>
      <c r="BE34" s="79" t="str">
        <f>REPLACE(INDEX(GroupVertices[Group],MATCH(Edges[[#This Row],[Vertex 2]],GroupVertices[Vertex],0)),1,1,"")</f>
        <v>1</v>
      </c>
      <c r="BF34" s="49">
        <v>3</v>
      </c>
      <c r="BG34" s="50">
        <v>9.67741935483871</v>
      </c>
      <c r="BH34" s="49">
        <v>0</v>
      </c>
      <c r="BI34" s="50">
        <v>0</v>
      </c>
      <c r="BJ34" s="49">
        <v>0</v>
      </c>
      <c r="BK34" s="50">
        <v>0</v>
      </c>
      <c r="BL34" s="49">
        <v>28</v>
      </c>
      <c r="BM34" s="50">
        <v>90.3225806451613</v>
      </c>
      <c r="BN34" s="49">
        <v>31</v>
      </c>
    </row>
    <row r="35" spans="1:66" ht="15">
      <c r="A35" s="65" t="s">
        <v>251</v>
      </c>
      <c r="B35" s="65" t="s">
        <v>307</v>
      </c>
      <c r="C35" s="66" t="s">
        <v>2153</v>
      </c>
      <c r="D35" s="67">
        <v>3</v>
      </c>
      <c r="E35" s="66" t="s">
        <v>132</v>
      </c>
      <c r="F35" s="69">
        <v>32</v>
      </c>
      <c r="G35" s="66"/>
      <c r="H35" s="70"/>
      <c r="I35" s="71"/>
      <c r="J35" s="71"/>
      <c r="K35" s="35" t="s">
        <v>65</v>
      </c>
      <c r="L35" s="72">
        <v>35</v>
      </c>
      <c r="M35" s="72"/>
      <c r="N35" s="73"/>
      <c r="O35" s="80" t="s">
        <v>352</v>
      </c>
      <c r="P35" s="82">
        <v>44218.644479166665</v>
      </c>
      <c r="Q35" s="80" t="s">
        <v>361</v>
      </c>
      <c r="R35" s="84" t="str">
        <f>HYPERLINK("https://www.tiess.online/registration?utm_source=TIESS&amp;utm_medium=Amity&amp;utm_campaign=TIESS&amp;utm_term=010")</f>
        <v>https://www.tiess.online/registration?utm_source=TIESS&amp;utm_medium=Amity&amp;utm_campaign=TIESS&amp;utm_term=010</v>
      </c>
      <c r="S35" s="80" t="s">
        <v>444</v>
      </c>
      <c r="T35" s="80" t="s">
        <v>449</v>
      </c>
      <c r="U35" s="84" t="str">
        <f>HYPERLINK("https://pbs.twimg.com/media/EsUyST3U0AA3Z4O.jpg")</f>
        <v>https://pbs.twimg.com/media/EsUyST3U0AA3Z4O.jpg</v>
      </c>
      <c r="V35" s="84" t="str">
        <f>HYPERLINK("https://pbs.twimg.com/media/EsUyST3U0AA3Z4O.jpg")</f>
        <v>https://pbs.twimg.com/media/EsUyST3U0AA3Z4O.jpg</v>
      </c>
      <c r="W35" s="82">
        <v>44218.644479166665</v>
      </c>
      <c r="X35" s="86">
        <v>44218</v>
      </c>
      <c r="Y35" s="88" t="s">
        <v>477</v>
      </c>
      <c r="Z35" s="84" t="str">
        <f>HYPERLINK("https://twitter.com/anjani_kb/status/1352639169378406401")</f>
        <v>https://twitter.com/anjani_kb/status/1352639169378406401</v>
      </c>
      <c r="AA35" s="80"/>
      <c r="AB35" s="80"/>
      <c r="AC35" s="88" t="s">
        <v>628</v>
      </c>
      <c r="AD35" s="80"/>
      <c r="AE35" s="80" t="b">
        <v>0</v>
      </c>
      <c r="AF35" s="80">
        <v>0</v>
      </c>
      <c r="AG35" s="88" t="s">
        <v>763</v>
      </c>
      <c r="AH35" s="80" t="b">
        <v>0</v>
      </c>
      <c r="AI35" s="80" t="s">
        <v>764</v>
      </c>
      <c r="AJ35" s="80"/>
      <c r="AK35" s="88" t="s">
        <v>763</v>
      </c>
      <c r="AL35" s="80" t="b">
        <v>0</v>
      </c>
      <c r="AM35" s="80">
        <v>7</v>
      </c>
      <c r="AN35" s="88" t="s">
        <v>677</v>
      </c>
      <c r="AO35" s="80" t="s">
        <v>766</v>
      </c>
      <c r="AP35" s="80" t="b">
        <v>0</v>
      </c>
      <c r="AQ35" s="88" t="s">
        <v>677</v>
      </c>
      <c r="AR35" s="80" t="s">
        <v>197</v>
      </c>
      <c r="AS35" s="80">
        <v>0</v>
      </c>
      <c r="AT35" s="80">
        <v>0</v>
      </c>
      <c r="AU35" s="80"/>
      <c r="AV35" s="80"/>
      <c r="AW35" s="80"/>
      <c r="AX35" s="80"/>
      <c r="AY35" s="80"/>
      <c r="AZ35" s="80"/>
      <c r="BA35" s="80"/>
      <c r="BB35" s="80"/>
      <c r="BC35">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251</v>
      </c>
      <c r="B36" s="65" t="s">
        <v>271</v>
      </c>
      <c r="C36" s="66" t="s">
        <v>2153</v>
      </c>
      <c r="D36" s="67">
        <v>3</v>
      </c>
      <c r="E36" s="66" t="s">
        <v>132</v>
      </c>
      <c r="F36" s="69">
        <v>32</v>
      </c>
      <c r="G36" s="66"/>
      <c r="H36" s="70"/>
      <c r="I36" s="71"/>
      <c r="J36" s="71"/>
      <c r="K36" s="35" t="s">
        <v>65</v>
      </c>
      <c r="L36" s="72">
        <v>36</v>
      </c>
      <c r="M36" s="72"/>
      <c r="N36" s="73"/>
      <c r="O36" s="80" t="s">
        <v>351</v>
      </c>
      <c r="P36" s="82">
        <v>44218.644479166665</v>
      </c>
      <c r="Q36" s="80" t="s">
        <v>361</v>
      </c>
      <c r="R36" s="84" t="str">
        <f>HYPERLINK("https://www.tiess.online/registration?utm_source=TIESS&amp;utm_medium=Amity&amp;utm_campaign=TIESS&amp;utm_term=010")</f>
        <v>https://www.tiess.online/registration?utm_source=TIESS&amp;utm_medium=Amity&amp;utm_campaign=TIESS&amp;utm_term=010</v>
      </c>
      <c r="S36" s="80" t="s">
        <v>444</v>
      </c>
      <c r="T36" s="80" t="s">
        <v>449</v>
      </c>
      <c r="U36" s="84" t="str">
        <f>HYPERLINK("https://pbs.twimg.com/media/EsUyST3U0AA3Z4O.jpg")</f>
        <v>https://pbs.twimg.com/media/EsUyST3U0AA3Z4O.jpg</v>
      </c>
      <c r="V36" s="84" t="str">
        <f>HYPERLINK("https://pbs.twimg.com/media/EsUyST3U0AA3Z4O.jpg")</f>
        <v>https://pbs.twimg.com/media/EsUyST3U0AA3Z4O.jpg</v>
      </c>
      <c r="W36" s="82">
        <v>44218.644479166665</v>
      </c>
      <c r="X36" s="86">
        <v>44218</v>
      </c>
      <c r="Y36" s="88" t="s">
        <v>477</v>
      </c>
      <c r="Z36" s="84" t="str">
        <f>HYPERLINK("https://twitter.com/anjani_kb/status/1352639169378406401")</f>
        <v>https://twitter.com/anjani_kb/status/1352639169378406401</v>
      </c>
      <c r="AA36" s="80"/>
      <c r="AB36" s="80"/>
      <c r="AC36" s="88" t="s">
        <v>628</v>
      </c>
      <c r="AD36" s="80"/>
      <c r="AE36" s="80" t="b">
        <v>0</v>
      </c>
      <c r="AF36" s="80">
        <v>0</v>
      </c>
      <c r="AG36" s="88" t="s">
        <v>763</v>
      </c>
      <c r="AH36" s="80" t="b">
        <v>0</v>
      </c>
      <c r="AI36" s="80" t="s">
        <v>764</v>
      </c>
      <c r="AJ36" s="80"/>
      <c r="AK36" s="88" t="s">
        <v>763</v>
      </c>
      <c r="AL36" s="80" t="b">
        <v>0</v>
      </c>
      <c r="AM36" s="80">
        <v>7</v>
      </c>
      <c r="AN36" s="88" t="s">
        <v>677</v>
      </c>
      <c r="AO36" s="80" t="s">
        <v>766</v>
      </c>
      <c r="AP36" s="80" t="b">
        <v>0</v>
      </c>
      <c r="AQ36" s="88" t="s">
        <v>677</v>
      </c>
      <c r="AR36" s="80" t="s">
        <v>197</v>
      </c>
      <c r="AS36" s="80">
        <v>0</v>
      </c>
      <c r="AT36" s="80">
        <v>0</v>
      </c>
      <c r="AU36" s="80"/>
      <c r="AV36" s="80"/>
      <c r="AW36" s="80"/>
      <c r="AX36" s="80"/>
      <c r="AY36" s="80"/>
      <c r="AZ36" s="80"/>
      <c r="BA36" s="80"/>
      <c r="BB36" s="80"/>
      <c r="BC36">
        <v>1</v>
      </c>
      <c r="BD36" s="79" t="str">
        <f>REPLACE(INDEX(GroupVertices[Group],MATCH(Edges[[#This Row],[Vertex 1]],GroupVertices[Vertex],0)),1,1,"")</f>
        <v>4</v>
      </c>
      <c r="BE36" s="79" t="str">
        <f>REPLACE(INDEX(GroupVertices[Group],MATCH(Edges[[#This Row],[Vertex 2]],GroupVertices[Vertex],0)),1,1,"")</f>
        <v>1</v>
      </c>
      <c r="BF36" s="49">
        <v>3</v>
      </c>
      <c r="BG36" s="50">
        <v>9.67741935483871</v>
      </c>
      <c r="BH36" s="49">
        <v>0</v>
      </c>
      <c r="BI36" s="50">
        <v>0</v>
      </c>
      <c r="BJ36" s="49">
        <v>0</v>
      </c>
      <c r="BK36" s="50">
        <v>0</v>
      </c>
      <c r="BL36" s="49">
        <v>28</v>
      </c>
      <c r="BM36" s="50">
        <v>90.3225806451613</v>
      </c>
      <c r="BN36" s="49">
        <v>31</v>
      </c>
    </row>
    <row r="37" spans="1:66" ht="15">
      <c r="A37" s="65" t="s">
        <v>252</v>
      </c>
      <c r="B37" s="65" t="s">
        <v>307</v>
      </c>
      <c r="C37" s="66" t="s">
        <v>2153</v>
      </c>
      <c r="D37" s="67">
        <v>3</v>
      </c>
      <c r="E37" s="66" t="s">
        <v>132</v>
      </c>
      <c r="F37" s="69">
        <v>32</v>
      </c>
      <c r="G37" s="66"/>
      <c r="H37" s="70"/>
      <c r="I37" s="71"/>
      <c r="J37" s="71"/>
      <c r="K37" s="35" t="s">
        <v>65</v>
      </c>
      <c r="L37" s="72">
        <v>37</v>
      </c>
      <c r="M37" s="72"/>
      <c r="N37" s="73"/>
      <c r="O37" s="80" t="s">
        <v>352</v>
      </c>
      <c r="P37" s="82">
        <v>44218.65589120371</v>
      </c>
      <c r="Q37" s="80" t="s">
        <v>361</v>
      </c>
      <c r="R37" s="84" t="str">
        <f>HYPERLINK("https://www.tiess.online/registration?utm_source=TIESS&amp;utm_medium=Amity&amp;utm_campaign=TIESS&amp;utm_term=010")</f>
        <v>https://www.tiess.online/registration?utm_source=TIESS&amp;utm_medium=Amity&amp;utm_campaign=TIESS&amp;utm_term=010</v>
      </c>
      <c r="S37" s="80" t="s">
        <v>444</v>
      </c>
      <c r="T37" s="80" t="s">
        <v>449</v>
      </c>
      <c r="U37" s="84" t="str">
        <f>HYPERLINK("https://pbs.twimg.com/media/EsUyST3U0AA3Z4O.jpg")</f>
        <v>https://pbs.twimg.com/media/EsUyST3U0AA3Z4O.jpg</v>
      </c>
      <c r="V37" s="84" t="str">
        <f>HYPERLINK("https://pbs.twimg.com/media/EsUyST3U0AA3Z4O.jpg")</f>
        <v>https://pbs.twimg.com/media/EsUyST3U0AA3Z4O.jpg</v>
      </c>
      <c r="W37" s="82">
        <v>44218.65589120371</v>
      </c>
      <c r="X37" s="86">
        <v>44218</v>
      </c>
      <c r="Y37" s="88" t="s">
        <v>478</v>
      </c>
      <c r="Z37" s="84" t="str">
        <f>HYPERLINK("https://twitter.com/fonsstoelinga/status/1352643306338086916")</f>
        <v>https://twitter.com/fonsstoelinga/status/1352643306338086916</v>
      </c>
      <c r="AA37" s="80"/>
      <c r="AB37" s="80"/>
      <c r="AC37" s="88" t="s">
        <v>629</v>
      </c>
      <c r="AD37" s="80"/>
      <c r="AE37" s="80" t="b">
        <v>0</v>
      </c>
      <c r="AF37" s="80">
        <v>0</v>
      </c>
      <c r="AG37" s="88" t="s">
        <v>763</v>
      </c>
      <c r="AH37" s="80" t="b">
        <v>0</v>
      </c>
      <c r="AI37" s="80" t="s">
        <v>764</v>
      </c>
      <c r="AJ37" s="80"/>
      <c r="AK37" s="88" t="s">
        <v>763</v>
      </c>
      <c r="AL37" s="80" t="b">
        <v>0</v>
      </c>
      <c r="AM37" s="80">
        <v>7</v>
      </c>
      <c r="AN37" s="88" t="s">
        <v>677</v>
      </c>
      <c r="AO37" s="80" t="s">
        <v>767</v>
      </c>
      <c r="AP37" s="80" t="b">
        <v>0</v>
      </c>
      <c r="AQ37" s="88" t="s">
        <v>677</v>
      </c>
      <c r="AR37" s="80" t="s">
        <v>197</v>
      </c>
      <c r="AS37" s="80">
        <v>0</v>
      </c>
      <c r="AT37" s="80">
        <v>0</v>
      </c>
      <c r="AU37" s="80"/>
      <c r="AV37" s="80"/>
      <c r="AW37" s="80"/>
      <c r="AX37" s="80"/>
      <c r="AY37" s="80"/>
      <c r="AZ37" s="80"/>
      <c r="BA37" s="80"/>
      <c r="BB37" s="80"/>
      <c r="BC37">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252</v>
      </c>
      <c r="B38" s="65" t="s">
        <v>271</v>
      </c>
      <c r="C38" s="66" t="s">
        <v>2153</v>
      </c>
      <c r="D38" s="67">
        <v>3</v>
      </c>
      <c r="E38" s="66" t="s">
        <v>132</v>
      </c>
      <c r="F38" s="69">
        <v>32</v>
      </c>
      <c r="G38" s="66"/>
      <c r="H38" s="70"/>
      <c r="I38" s="71"/>
      <c r="J38" s="71"/>
      <c r="K38" s="35" t="s">
        <v>65</v>
      </c>
      <c r="L38" s="72">
        <v>38</v>
      </c>
      <c r="M38" s="72"/>
      <c r="N38" s="73"/>
      <c r="O38" s="80" t="s">
        <v>351</v>
      </c>
      <c r="P38" s="82">
        <v>44218.65589120371</v>
      </c>
      <c r="Q38" s="80" t="s">
        <v>361</v>
      </c>
      <c r="R38" s="84" t="str">
        <f>HYPERLINK("https://www.tiess.online/registration?utm_source=TIESS&amp;utm_medium=Amity&amp;utm_campaign=TIESS&amp;utm_term=010")</f>
        <v>https://www.tiess.online/registration?utm_source=TIESS&amp;utm_medium=Amity&amp;utm_campaign=TIESS&amp;utm_term=010</v>
      </c>
      <c r="S38" s="80" t="s">
        <v>444</v>
      </c>
      <c r="T38" s="80" t="s">
        <v>449</v>
      </c>
      <c r="U38" s="84" t="str">
        <f>HYPERLINK("https://pbs.twimg.com/media/EsUyST3U0AA3Z4O.jpg")</f>
        <v>https://pbs.twimg.com/media/EsUyST3U0AA3Z4O.jpg</v>
      </c>
      <c r="V38" s="84" t="str">
        <f>HYPERLINK("https://pbs.twimg.com/media/EsUyST3U0AA3Z4O.jpg")</f>
        <v>https://pbs.twimg.com/media/EsUyST3U0AA3Z4O.jpg</v>
      </c>
      <c r="W38" s="82">
        <v>44218.65589120371</v>
      </c>
      <c r="X38" s="86">
        <v>44218</v>
      </c>
      <c r="Y38" s="88" t="s">
        <v>478</v>
      </c>
      <c r="Z38" s="84" t="str">
        <f>HYPERLINK("https://twitter.com/fonsstoelinga/status/1352643306338086916")</f>
        <v>https://twitter.com/fonsstoelinga/status/1352643306338086916</v>
      </c>
      <c r="AA38" s="80"/>
      <c r="AB38" s="80"/>
      <c r="AC38" s="88" t="s">
        <v>629</v>
      </c>
      <c r="AD38" s="80"/>
      <c r="AE38" s="80" t="b">
        <v>0</v>
      </c>
      <c r="AF38" s="80">
        <v>0</v>
      </c>
      <c r="AG38" s="88" t="s">
        <v>763</v>
      </c>
      <c r="AH38" s="80" t="b">
        <v>0</v>
      </c>
      <c r="AI38" s="80" t="s">
        <v>764</v>
      </c>
      <c r="AJ38" s="80"/>
      <c r="AK38" s="88" t="s">
        <v>763</v>
      </c>
      <c r="AL38" s="80" t="b">
        <v>0</v>
      </c>
      <c r="AM38" s="80">
        <v>7</v>
      </c>
      <c r="AN38" s="88" t="s">
        <v>677</v>
      </c>
      <c r="AO38" s="80" t="s">
        <v>767</v>
      </c>
      <c r="AP38" s="80" t="b">
        <v>0</v>
      </c>
      <c r="AQ38" s="88" t="s">
        <v>677</v>
      </c>
      <c r="AR38" s="80" t="s">
        <v>197</v>
      </c>
      <c r="AS38" s="80">
        <v>0</v>
      </c>
      <c r="AT38" s="80">
        <v>0</v>
      </c>
      <c r="AU38" s="80"/>
      <c r="AV38" s="80"/>
      <c r="AW38" s="80"/>
      <c r="AX38" s="80"/>
      <c r="AY38" s="80"/>
      <c r="AZ38" s="80"/>
      <c r="BA38" s="80"/>
      <c r="BB38" s="80"/>
      <c r="BC38">
        <v>1</v>
      </c>
      <c r="BD38" s="79" t="str">
        <f>REPLACE(INDEX(GroupVertices[Group],MATCH(Edges[[#This Row],[Vertex 1]],GroupVertices[Vertex],0)),1,1,"")</f>
        <v>4</v>
      </c>
      <c r="BE38" s="79" t="str">
        <f>REPLACE(INDEX(GroupVertices[Group],MATCH(Edges[[#This Row],[Vertex 2]],GroupVertices[Vertex],0)),1,1,"")</f>
        <v>1</v>
      </c>
      <c r="BF38" s="49">
        <v>3</v>
      </c>
      <c r="BG38" s="50">
        <v>9.67741935483871</v>
      </c>
      <c r="BH38" s="49">
        <v>0</v>
      </c>
      <c r="BI38" s="50">
        <v>0</v>
      </c>
      <c r="BJ38" s="49">
        <v>0</v>
      </c>
      <c r="BK38" s="50">
        <v>0</v>
      </c>
      <c r="BL38" s="49">
        <v>28</v>
      </c>
      <c r="BM38" s="50">
        <v>90.3225806451613</v>
      </c>
      <c r="BN38" s="49">
        <v>31</v>
      </c>
    </row>
    <row r="39" spans="1:66" ht="15">
      <c r="A39" s="65" t="s">
        <v>253</v>
      </c>
      <c r="B39" s="65" t="s">
        <v>308</v>
      </c>
      <c r="C39" s="66" t="s">
        <v>2153</v>
      </c>
      <c r="D39" s="67">
        <v>3</v>
      </c>
      <c r="E39" s="66" t="s">
        <v>132</v>
      </c>
      <c r="F39" s="69">
        <v>32</v>
      </c>
      <c r="G39" s="66"/>
      <c r="H39" s="70"/>
      <c r="I39" s="71"/>
      <c r="J39" s="71"/>
      <c r="K39" s="35" t="s">
        <v>65</v>
      </c>
      <c r="L39" s="72">
        <v>39</v>
      </c>
      <c r="M39" s="72"/>
      <c r="N39" s="73"/>
      <c r="O39" s="80" t="s">
        <v>352</v>
      </c>
      <c r="P39" s="82">
        <v>44218.689467592594</v>
      </c>
      <c r="Q39" s="80" t="s">
        <v>362</v>
      </c>
      <c r="R39" s="84" t="str">
        <f>HYPERLINK("https://www.tiess.online/registration?utm_source=SM&amp;utm_medium=Ramanan&amp;utm_campaign=TIESS&amp;utm_term=011")</f>
        <v>https://www.tiess.online/registration?utm_source=SM&amp;utm_medium=Ramanan&amp;utm_campaign=TIESS&amp;utm_term=011</v>
      </c>
      <c r="S39" s="80" t="s">
        <v>444</v>
      </c>
      <c r="T39" s="80" t="s">
        <v>451</v>
      </c>
      <c r="U39" s="84" t="str">
        <f>HYPERLINK("https://pbs.twimg.com/media/EsWHGdcVcAE-c4p.jpg")</f>
        <v>https://pbs.twimg.com/media/EsWHGdcVcAE-c4p.jpg</v>
      </c>
      <c r="V39" s="84" t="str">
        <f>HYPERLINK("https://pbs.twimg.com/media/EsWHGdcVcAE-c4p.jpg")</f>
        <v>https://pbs.twimg.com/media/EsWHGdcVcAE-c4p.jpg</v>
      </c>
      <c r="W39" s="82">
        <v>44218.689467592594</v>
      </c>
      <c r="X39" s="86">
        <v>44218</v>
      </c>
      <c r="Y39" s="88" t="s">
        <v>479</v>
      </c>
      <c r="Z39" s="84" t="str">
        <f>HYPERLINK("https://twitter.com/aimtoinnovate/status/1352655470876622856")</f>
        <v>https://twitter.com/aimtoinnovate/status/1352655470876622856</v>
      </c>
      <c r="AA39" s="80"/>
      <c r="AB39" s="80"/>
      <c r="AC39" s="88" t="s">
        <v>630</v>
      </c>
      <c r="AD39" s="80"/>
      <c r="AE39" s="80" t="b">
        <v>0</v>
      </c>
      <c r="AF39" s="80">
        <v>0</v>
      </c>
      <c r="AG39" s="88" t="s">
        <v>763</v>
      </c>
      <c r="AH39" s="80" t="b">
        <v>0</v>
      </c>
      <c r="AI39" s="80" t="s">
        <v>764</v>
      </c>
      <c r="AJ39" s="80"/>
      <c r="AK39" s="88" t="s">
        <v>763</v>
      </c>
      <c r="AL39" s="80" t="b">
        <v>0</v>
      </c>
      <c r="AM39" s="80">
        <v>3</v>
      </c>
      <c r="AN39" s="88" t="s">
        <v>695</v>
      </c>
      <c r="AO39" s="80" t="s">
        <v>767</v>
      </c>
      <c r="AP39" s="80" t="b">
        <v>0</v>
      </c>
      <c r="AQ39" s="88" t="s">
        <v>695</v>
      </c>
      <c r="AR39" s="80" t="s">
        <v>197</v>
      </c>
      <c r="AS39" s="80">
        <v>0</v>
      </c>
      <c r="AT39" s="80">
        <v>0</v>
      </c>
      <c r="AU39" s="80"/>
      <c r="AV39" s="80"/>
      <c r="AW39" s="80"/>
      <c r="AX39" s="80"/>
      <c r="AY39" s="80"/>
      <c r="AZ39" s="80"/>
      <c r="BA39" s="80"/>
      <c r="BB39" s="80"/>
      <c r="BC39">
        <v>1</v>
      </c>
      <c r="BD39" s="79" t="str">
        <f>REPLACE(INDEX(GroupVertices[Group],MATCH(Edges[[#This Row],[Vertex 1]],GroupVertices[Vertex],0)),1,1,"")</f>
        <v>6</v>
      </c>
      <c r="BE39" s="79" t="str">
        <f>REPLACE(INDEX(GroupVertices[Group],MATCH(Edges[[#This Row],[Vertex 2]],GroupVertices[Vertex],0)),1,1,"")</f>
        <v>6</v>
      </c>
      <c r="BF39" s="49"/>
      <c r="BG39" s="50"/>
      <c r="BH39" s="49"/>
      <c r="BI39" s="50"/>
      <c r="BJ39" s="49"/>
      <c r="BK39" s="50"/>
      <c r="BL39" s="49"/>
      <c r="BM39" s="50"/>
      <c r="BN39" s="49"/>
    </row>
    <row r="40" spans="1:66" ht="15">
      <c r="A40" s="65" t="s">
        <v>253</v>
      </c>
      <c r="B40" s="65" t="s">
        <v>309</v>
      </c>
      <c r="C40" s="66" t="s">
        <v>2153</v>
      </c>
      <c r="D40" s="67">
        <v>3</v>
      </c>
      <c r="E40" s="66" t="s">
        <v>132</v>
      </c>
      <c r="F40" s="69">
        <v>32</v>
      </c>
      <c r="G40" s="66"/>
      <c r="H40" s="70"/>
      <c r="I40" s="71"/>
      <c r="J40" s="71"/>
      <c r="K40" s="35" t="s">
        <v>65</v>
      </c>
      <c r="L40" s="72">
        <v>40</v>
      </c>
      <c r="M40" s="72"/>
      <c r="N40" s="73"/>
      <c r="O40" s="80" t="s">
        <v>352</v>
      </c>
      <c r="P40" s="82">
        <v>44218.689467592594</v>
      </c>
      <c r="Q40" s="80" t="s">
        <v>362</v>
      </c>
      <c r="R40" s="84" t="str">
        <f>HYPERLINK("https://www.tiess.online/registration?utm_source=SM&amp;utm_medium=Ramanan&amp;utm_campaign=TIESS&amp;utm_term=011")</f>
        <v>https://www.tiess.online/registration?utm_source=SM&amp;utm_medium=Ramanan&amp;utm_campaign=TIESS&amp;utm_term=011</v>
      </c>
      <c r="S40" s="80" t="s">
        <v>444</v>
      </c>
      <c r="T40" s="80" t="s">
        <v>451</v>
      </c>
      <c r="U40" s="84" t="str">
        <f>HYPERLINK("https://pbs.twimg.com/media/EsWHGdcVcAE-c4p.jpg")</f>
        <v>https://pbs.twimg.com/media/EsWHGdcVcAE-c4p.jpg</v>
      </c>
      <c r="V40" s="84" t="str">
        <f>HYPERLINK("https://pbs.twimg.com/media/EsWHGdcVcAE-c4p.jpg")</f>
        <v>https://pbs.twimg.com/media/EsWHGdcVcAE-c4p.jpg</v>
      </c>
      <c r="W40" s="82">
        <v>44218.689467592594</v>
      </c>
      <c r="X40" s="86">
        <v>44218</v>
      </c>
      <c r="Y40" s="88" t="s">
        <v>479</v>
      </c>
      <c r="Z40" s="84" t="str">
        <f>HYPERLINK("https://twitter.com/aimtoinnovate/status/1352655470876622856")</f>
        <v>https://twitter.com/aimtoinnovate/status/1352655470876622856</v>
      </c>
      <c r="AA40" s="80"/>
      <c r="AB40" s="80"/>
      <c r="AC40" s="88" t="s">
        <v>630</v>
      </c>
      <c r="AD40" s="80"/>
      <c r="AE40" s="80" t="b">
        <v>0</v>
      </c>
      <c r="AF40" s="80">
        <v>0</v>
      </c>
      <c r="AG40" s="88" t="s">
        <v>763</v>
      </c>
      <c r="AH40" s="80" t="b">
        <v>0</v>
      </c>
      <c r="AI40" s="80" t="s">
        <v>764</v>
      </c>
      <c r="AJ40" s="80"/>
      <c r="AK40" s="88" t="s">
        <v>763</v>
      </c>
      <c r="AL40" s="80" t="b">
        <v>0</v>
      </c>
      <c r="AM40" s="80">
        <v>3</v>
      </c>
      <c r="AN40" s="88" t="s">
        <v>695</v>
      </c>
      <c r="AO40" s="80" t="s">
        <v>767</v>
      </c>
      <c r="AP40" s="80" t="b">
        <v>0</v>
      </c>
      <c r="AQ40" s="88" t="s">
        <v>695</v>
      </c>
      <c r="AR40" s="80" t="s">
        <v>197</v>
      </c>
      <c r="AS40" s="80">
        <v>0</v>
      </c>
      <c r="AT40" s="80">
        <v>0</v>
      </c>
      <c r="AU40" s="80"/>
      <c r="AV40" s="80"/>
      <c r="AW40" s="80"/>
      <c r="AX40" s="80"/>
      <c r="AY40" s="80"/>
      <c r="AZ40" s="80"/>
      <c r="BA40" s="80"/>
      <c r="BB40" s="80"/>
      <c r="BC40">
        <v>1</v>
      </c>
      <c r="BD40" s="79" t="str">
        <f>REPLACE(INDEX(GroupVertices[Group],MATCH(Edges[[#This Row],[Vertex 1]],GroupVertices[Vertex],0)),1,1,"")</f>
        <v>6</v>
      </c>
      <c r="BE40" s="79" t="str">
        <f>REPLACE(INDEX(GroupVertices[Group],MATCH(Edges[[#This Row],[Vertex 2]],GroupVertices[Vertex],0)),1,1,"")</f>
        <v>6</v>
      </c>
      <c r="BF40" s="49">
        <v>1</v>
      </c>
      <c r="BG40" s="50">
        <v>2.7777777777777777</v>
      </c>
      <c r="BH40" s="49">
        <v>0</v>
      </c>
      <c r="BI40" s="50">
        <v>0</v>
      </c>
      <c r="BJ40" s="49">
        <v>0</v>
      </c>
      <c r="BK40" s="50">
        <v>0</v>
      </c>
      <c r="BL40" s="49">
        <v>35</v>
      </c>
      <c r="BM40" s="50">
        <v>97.22222222222223</v>
      </c>
      <c r="BN40" s="49">
        <v>36</v>
      </c>
    </row>
    <row r="41" spans="1:66" ht="15">
      <c r="A41" s="65" t="s">
        <v>253</v>
      </c>
      <c r="B41" s="65" t="s">
        <v>271</v>
      </c>
      <c r="C41" s="66" t="s">
        <v>2153</v>
      </c>
      <c r="D41" s="67">
        <v>3</v>
      </c>
      <c r="E41" s="66" t="s">
        <v>132</v>
      </c>
      <c r="F41" s="69">
        <v>32</v>
      </c>
      <c r="G41" s="66"/>
      <c r="H41" s="70"/>
      <c r="I41" s="71"/>
      <c r="J41" s="71"/>
      <c r="K41" s="35" t="s">
        <v>65</v>
      </c>
      <c r="L41" s="72">
        <v>41</v>
      </c>
      <c r="M41" s="72"/>
      <c r="N41" s="73"/>
      <c r="O41" s="80" t="s">
        <v>351</v>
      </c>
      <c r="P41" s="82">
        <v>44218.689467592594</v>
      </c>
      <c r="Q41" s="80" t="s">
        <v>362</v>
      </c>
      <c r="R41" s="84" t="str">
        <f>HYPERLINK("https://www.tiess.online/registration?utm_source=SM&amp;utm_medium=Ramanan&amp;utm_campaign=TIESS&amp;utm_term=011")</f>
        <v>https://www.tiess.online/registration?utm_source=SM&amp;utm_medium=Ramanan&amp;utm_campaign=TIESS&amp;utm_term=011</v>
      </c>
      <c r="S41" s="80" t="s">
        <v>444</v>
      </c>
      <c r="T41" s="80" t="s">
        <v>451</v>
      </c>
      <c r="U41" s="84" t="str">
        <f>HYPERLINK("https://pbs.twimg.com/media/EsWHGdcVcAE-c4p.jpg")</f>
        <v>https://pbs.twimg.com/media/EsWHGdcVcAE-c4p.jpg</v>
      </c>
      <c r="V41" s="84" t="str">
        <f>HYPERLINK("https://pbs.twimg.com/media/EsWHGdcVcAE-c4p.jpg")</f>
        <v>https://pbs.twimg.com/media/EsWHGdcVcAE-c4p.jpg</v>
      </c>
      <c r="W41" s="82">
        <v>44218.689467592594</v>
      </c>
      <c r="X41" s="86">
        <v>44218</v>
      </c>
      <c r="Y41" s="88" t="s">
        <v>479</v>
      </c>
      <c r="Z41" s="84" t="str">
        <f>HYPERLINK("https://twitter.com/aimtoinnovate/status/1352655470876622856")</f>
        <v>https://twitter.com/aimtoinnovate/status/1352655470876622856</v>
      </c>
      <c r="AA41" s="80"/>
      <c r="AB41" s="80"/>
      <c r="AC41" s="88" t="s">
        <v>630</v>
      </c>
      <c r="AD41" s="80"/>
      <c r="AE41" s="80" t="b">
        <v>0</v>
      </c>
      <c r="AF41" s="80">
        <v>0</v>
      </c>
      <c r="AG41" s="88" t="s">
        <v>763</v>
      </c>
      <c r="AH41" s="80" t="b">
        <v>0</v>
      </c>
      <c r="AI41" s="80" t="s">
        <v>764</v>
      </c>
      <c r="AJ41" s="80"/>
      <c r="AK41" s="88" t="s">
        <v>763</v>
      </c>
      <c r="AL41" s="80" t="b">
        <v>0</v>
      </c>
      <c r="AM41" s="80">
        <v>3</v>
      </c>
      <c r="AN41" s="88" t="s">
        <v>695</v>
      </c>
      <c r="AO41" s="80" t="s">
        <v>767</v>
      </c>
      <c r="AP41" s="80" t="b">
        <v>0</v>
      </c>
      <c r="AQ41" s="88" t="s">
        <v>695</v>
      </c>
      <c r="AR41" s="80" t="s">
        <v>197</v>
      </c>
      <c r="AS41" s="80">
        <v>0</v>
      </c>
      <c r="AT41" s="80">
        <v>0</v>
      </c>
      <c r="AU41" s="80"/>
      <c r="AV41" s="80"/>
      <c r="AW41" s="80"/>
      <c r="AX41" s="80"/>
      <c r="AY41" s="80"/>
      <c r="AZ41" s="80"/>
      <c r="BA41" s="80"/>
      <c r="BB41" s="80"/>
      <c r="BC41">
        <v>1</v>
      </c>
      <c r="BD41" s="79" t="str">
        <f>REPLACE(INDEX(GroupVertices[Group],MATCH(Edges[[#This Row],[Vertex 1]],GroupVertices[Vertex],0)),1,1,"")</f>
        <v>6</v>
      </c>
      <c r="BE41" s="79" t="str">
        <f>REPLACE(INDEX(GroupVertices[Group],MATCH(Edges[[#This Row],[Vertex 2]],GroupVertices[Vertex],0)),1,1,"")</f>
        <v>1</v>
      </c>
      <c r="BF41" s="49"/>
      <c r="BG41" s="50"/>
      <c r="BH41" s="49"/>
      <c r="BI41" s="50"/>
      <c r="BJ41" s="49"/>
      <c r="BK41" s="50"/>
      <c r="BL41" s="49"/>
      <c r="BM41" s="50"/>
      <c r="BN41" s="49"/>
    </row>
    <row r="42" spans="1:66" ht="15">
      <c r="A42" s="65" t="s">
        <v>254</v>
      </c>
      <c r="B42" s="65" t="s">
        <v>308</v>
      </c>
      <c r="C42" s="66" t="s">
        <v>2153</v>
      </c>
      <c r="D42" s="67">
        <v>3</v>
      </c>
      <c r="E42" s="66" t="s">
        <v>132</v>
      </c>
      <c r="F42" s="69">
        <v>32</v>
      </c>
      <c r="G42" s="66"/>
      <c r="H42" s="70"/>
      <c r="I42" s="71"/>
      <c r="J42" s="71"/>
      <c r="K42" s="35" t="s">
        <v>65</v>
      </c>
      <c r="L42" s="72">
        <v>42</v>
      </c>
      <c r="M42" s="72"/>
      <c r="N42" s="73"/>
      <c r="O42" s="80" t="s">
        <v>352</v>
      </c>
      <c r="P42" s="82">
        <v>44218.71372685185</v>
      </c>
      <c r="Q42" s="80" t="s">
        <v>362</v>
      </c>
      <c r="R42" s="84" t="str">
        <f>HYPERLINK("https://www.tiess.online/registration?utm_source=SM&amp;utm_medium=Ramanan&amp;utm_campaign=TIESS&amp;utm_term=011")</f>
        <v>https://www.tiess.online/registration?utm_source=SM&amp;utm_medium=Ramanan&amp;utm_campaign=TIESS&amp;utm_term=011</v>
      </c>
      <c r="S42" s="80" t="s">
        <v>444</v>
      </c>
      <c r="T42" s="80" t="s">
        <v>451</v>
      </c>
      <c r="U42" s="84" t="str">
        <f>HYPERLINK("https://pbs.twimg.com/media/EsWHGdcVcAE-c4p.jpg")</f>
        <v>https://pbs.twimg.com/media/EsWHGdcVcAE-c4p.jpg</v>
      </c>
      <c r="V42" s="84" t="str">
        <f>HYPERLINK("https://pbs.twimg.com/media/EsWHGdcVcAE-c4p.jpg")</f>
        <v>https://pbs.twimg.com/media/EsWHGdcVcAE-c4p.jpg</v>
      </c>
      <c r="W42" s="82">
        <v>44218.71372685185</v>
      </c>
      <c r="X42" s="86">
        <v>44218</v>
      </c>
      <c r="Y42" s="88" t="s">
        <v>480</v>
      </c>
      <c r="Z42" s="84" t="str">
        <f>HYPERLINK("https://twitter.com/bhilai/status/1352664264851419136")</f>
        <v>https://twitter.com/bhilai/status/1352664264851419136</v>
      </c>
      <c r="AA42" s="80"/>
      <c r="AB42" s="80"/>
      <c r="AC42" s="88" t="s">
        <v>631</v>
      </c>
      <c r="AD42" s="80"/>
      <c r="AE42" s="80" t="b">
        <v>0</v>
      </c>
      <c r="AF42" s="80">
        <v>0</v>
      </c>
      <c r="AG42" s="88" t="s">
        <v>763</v>
      </c>
      <c r="AH42" s="80" t="b">
        <v>0</v>
      </c>
      <c r="AI42" s="80" t="s">
        <v>764</v>
      </c>
      <c r="AJ42" s="80"/>
      <c r="AK42" s="88" t="s">
        <v>763</v>
      </c>
      <c r="AL42" s="80" t="b">
        <v>0</v>
      </c>
      <c r="AM42" s="80">
        <v>3</v>
      </c>
      <c r="AN42" s="88" t="s">
        <v>695</v>
      </c>
      <c r="AO42" s="80" t="s">
        <v>765</v>
      </c>
      <c r="AP42" s="80" t="b">
        <v>0</v>
      </c>
      <c r="AQ42" s="88" t="s">
        <v>695</v>
      </c>
      <c r="AR42" s="80" t="s">
        <v>197</v>
      </c>
      <c r="AS42" s="80">
        <v>0</v>
      </c>
      <c r="AT42" s="80">
        <v>0</v>
      </c>
      <c r="AU42" s="80"/>
      <c r="AV42" s="80"/>
      <c r="AW42" s="80"/>
      <c r="AX42" s="80"/>
      <c r="AY42" s="80"/>
      <c r="AZ42" s="80"/>
      <c r="BA42" s="80"/>
      <c r="BB42" s="80"/>
      <c r="BC42">
        <v>1</v>
      </c>
      <c r="BD42" s="79" t="str">
        <f>REPLACE(INDEX(GroupVertices[Group],MATCH(Edges[[#This Row],[Vertex 1]],GroupVertices[Vertex],0)),1,1,"")</f>
        <v>6</v>
      </c>
      <c r="BE42" s="79" t="str">
        <f>REPLACE(INDEX(GroupVertices[Group],MATCH(Edges[[#This Row],[Vertex 2]],GroupVertices[Vertex],0)),1,1,"")</f>
        <v>6</v>
      </c>
      <c r="BF42" s="49"/>
      <c r="BG42" s="50"/>
      <c r="BH42" s="49"/>
      <c r="BI42" s="50"/>
      <c r="BJ42" s="49"/>
      <c r="BK42" s="50"/>
      <c r="BL42" s="49"/>
      <c r="BM42" s="50"/>
      <c r="BN42" s="49"/>
    </row>
    <row r="43" spans="1:66" ht="15">
      <c r="A43" s="65" t="s">
        <v>254</v>
      </c>
      <c r="B43" s="65" t="s">
        <v>309</v>
      </c>
      <c r="C43" s="66" t="s">
        <v>2153</v>
      </c>
      <c r="D43" s="67">
        <v>3</v>
      </c>
      <c r="E43" s="66" t="s">
        <v>132</v>
      </c>
      <c r="F43" s="69">
        <v>32</v>
      </c>
      <c r="G43" s="66"/>
      <c r="H43" s="70"/>
      <c r="I43" s="71"/>
      <c r="J43" s="71"/>
      <c r="K43" s="35" t="s">
        <v>65</v>
      </c>
      <c r="L43" s="72">
        <v>43</v>
      </c>
      <c r="M43" s="72"/>
      <c r="N43" s="73"/>
      <c r="O43" s="80" t="s">
        <v>352</v>
      </c>
      <c r="P43" s="82">
        <v>44218.71372685185</v>
      </c>
      <c r="Q43" s="80" t="s">
        <v>362</v>
      </c>
      <c r="R43" s="84" t="str">
        <f>HYPERLINK("https://www.tiess.online/registration?utm_source=SM&amp;utm_medium=Ramanan&amp;utm_campaign=TIESS&amp;utm_term=011")</f>
        <v>https://www.tiess.online/registration?utm_source=SM&amp;utm_medium=Ramanan&amp;utm_campaign=TIESS&amp;utm_term=011</v>
      </c>
      <c r="S43" s="80" t="s">
        <v>444</v>
      </c>
      <c r="T43" s="80" t="s">
        <v>451</v>
      </c>
      <c r="U43" s="84" t="str">
        <f>HYPERLINK("https://pbs.twimg.com/media/EsWHGdcVcAE-c4p.jpg")</f>
        <v>https://pbs.twimg.com/media/EsWHGdcVcAE-c4p.jpg</v>
      </c>
      <c r="V43" s="84" t="str">
        <f>HYPERLINK("https://pbs.twimg.com/media/EsWHGdcVcAE-c4p.jpg")</f>
        <v>https://pbs.twimg.com/media/EsWHGdcVcAE-c4p.jpg</v>
      </c>
      <c r="W43" s="82">
        <v>44218.71372685185</v>
      </c>
      <c r="X43" s="86">
        <v>44218</v>
      </c>
      <c r="Y43" s="88" t="s">
        <v>480</v>
      </c>
      <c r="Z43" s="84" t="str">
        <f>HYPERLINK("https://twitter.com/bhilai/status/1352664264851419136")</f>
        <v>https://twitter.com/bhilai/status/1352664264851419136</v>
      </c>
      <c r="AA43" s="80"/>
      <c r="AB43" s="80"/>
      <c r="AC43" s="88" t="s">
        <v>631</v>
      </c>
      <c r="AD43" s="80"/>
      <c r="AE43" s="80" t="b">
        <v>0</v>
      </c>
      <c r="AF43" s="80">
        <v>0</v>
      </c>
      <c r="AG43" s="88" t="s">
        <v>763</v>
      </c>
      <c r="AH43" s="80" t="b">
        <v>0</v>
      </c>
      <c r="AI43" s="80" t="s">
        <v>764</v>
      </c>
      <c r="AJ43" s="80"/>
      <c r="AK43" s="88" t="s">
        <v>763</v>
      </c>
      <c r="AL43" s="80" t="b">
        <v>0</v>
      </c>
      <c r="AM43" s="80">
        <v>3</v>
      </c>
      <c r="AN43" s="88" t="s">
        <v>695</v>
      </c>
      <c r="AO43" s="80" t="s">
        <v>765</v>
      </c>
      <c r="AP43" s="80" t="b">
        <v>0</v>
      </c>
      <c r="AQ43" s="88" t="s">
        <v>695</v>
      </c>
      <c r="AR43" s="80" t="s">
        <v>197</v>
      </c>
      <c r="AS43" s="80">
        <v>0</v>
      </c>
      <c r="AT43" s="80">
        <v>0</v>
      </c>
      <c r="AU43" s="80"/>
      <c r="AV43" s="80"/>
      <c r="AW43" s="80"/>
      <c r="AX43" s="80"/>
      <c r="AY43" s="80"/>
      <c r="AZ43" s="80"/>
      <c r="BA43" s="80"/>
      <c r="BB43" s="80"/>
      <c r="BC43">
        <v>1</v>
      </c>
      <c r="BD43" s="79" t="str">
        <f>REPLACE(INDEX(GroupVertices[Group],MATCH(Edges[[#This Row],[Vertex 1]],GroupVertices[Vertex],0)),1,1,"")</f>
        <v>6</v>
      </c>
      <c r="BE43" s="79" t="str">
        <f>REPLACE(INDEX(GroupVertices[Group],MATCH(Edges[[#This Row],[Vertex 2]],GroupVertices[Vertex],0)),1,1,"")</f>
        <v>6</v>
      </c>
      <c r="BF43" s="49"/>
      <c r="BG43" s="50"/>
      <c r="BH43" s="49"/>
      <c r="BI43" s="50"/>
      <c r="BJ43" s="49"/>
      <c r="BK43" s="50"/>
      <c r="BL43" s="49"/>
      <c r="BM43" s="50"/>
      <c r="BN43" s="49"/>
    </row>
    <row r="44" spans="1:66" ht="15">
      <c r="A44" s="65" t="s">
        <v>254</v>
      </c>
      <c r="B44" s="65" t="s">
        <v>271</v>
      </c>
      <c r="C44" s="66" t="s">
        <v>2153</v>
      </c>
      <c r="D44" s="67">
        <v>3</v>
      </c>
      <c r="E44" s="66" t="s">
        <v>132</v>
      </c>
      <c r="F44" s="69">
        <v>32</v>
      </c>
      <c r="G44" s="66"/>
      <c r="H44" s="70"/>
      <c r="I44" s="71"/>
      <c r="J44" s="71"/>
      <c r="K44" s="35" t="s">
        <v>65</v>
      </c>
      <c r="L44" s="72">
        <v>44</v>
      </c>
      <c r="M44" s="72"/>
      <c r="N44" s="73"/>
      <c r="O44" s="80" t="s">
        <v>351</v>
      </c>
      <c r="P44" s="82">
        <v>44218.71372685185</v>
      </c>
      <c r="Q44" s="80" t="s">
        <v>362</v>
      </c>
      <c r="R44" s="84" t="str">
        <f>HYPERLINK("https://www.tiess.online/registration?utm_source=SM&amp;utm_medium=Ramanan&amp;utm_campaign=TIESS&amp;utm_term=011")</f>
        <v>https://www.tiess.online/registration?utm_source=SM&amp;utm_medium=Ramanan&amp;utm_campaign=TIESS&amp;utm_term=011</v>
      </c>
      <c r="S44" s="80" t="s">
        <v>444</v>
      </c>
      <c r="T44" s="80" t="s">
        <v>451</v>
      </c>
      <c r="U44" s="84" t="str">
        <f>HYPERLINK("https://pbs.twimg.com/media/EsWHGdcVcAE-c4p.jpg")</f>
        <v>https://pbs.twimg.com/media/EsWHGdcVcAE-c4p.jpg</v>
      </c>
      <c r="V44" s="84" t="str">
        <f>HYPERLINK("https://pbs.twimg.com/media/EsWHGdcVcAE-c4p.jpg")</f>
        <v>https://pbs.twimg.com/media/EsWHGdcVcAE-c4p.jpg</v>
      </c>
      <c r="W44" s="82">
        <v>44218.71372685185</v>
      </c>
      <c r="X44" s="86">
        <v>44218</v>
      </c>
      <c r="Y44" s="88" t="s">
        <v>480</v>
      </c>
      <c r="Z44" s="84" t="str">
        <f>HYPERLINK("https://twitter.com/bhilai/status/1352664264851419136")</f>
        <v>https://twitter.com/bhilai/status/1352664264851419136</v>
      </c>
      <c r="AA44" s="80"/>
      <c r="AB44" s="80"/>
      <c r="AC44" s="88" t="s">
        <v>631</v>
      </c>
      <c r="AD44" s="80"/>
      <c r="AE44" s="80" t="b">
        <v>0</v>
      </c>
      <c r="AF44" s="80">
        <v>0</v>
      </c>
      <c r="AG44" s="88" t="s">
        <v>763</v>
      </c>
      <c r="AH44" s="80" t="b">
        <v>0</v>
      </c>
      <c r="AI44" s="80" t="s">
        <v>764</v>
      </c>
      <c r="AJ44" s="80"/>
      <c r="AK44" s="88" t="s">
        <v>763</v>
      </c>
      <c r="AL44" s="80" t="b">
        <v>0</v>
      </c>
      <c r="AM44" s="80">
        <v>3</v>
      </c>
      <c r="AN44" s="88" t="s">
        <v>695</v>
      </c>
      <c r="AO44" s="80" t="s">
        <v>765</v>
      </c>
      <c r="AP44" s="80" t="b">
        <v>0</v>
      </c>
      <c r="AQ44" s="88" t="s">
        <v>695</v>
      </c>
      <c r="AR44" s="80" t="s">
        <v>197</v>
      </c>
      <c r="AS44" s="80">
        <v>0</v>
      </c>
      <c r="AT44" s="80">
        <v>0</v>
      </c>
      <c r="AU44" s="80"/>
      <c r="AV44" s="80"/>
      <c r="AW44" s="80"/>
      <c r="AX44" s="80"/>
      <c r="AY44" s="80"/>
      <c r="AZ44" s="80"/>
      <c r="BA44" s="80"/>
      <c r="BB44" s="80"/>
      <c r="BC44">
        <v>1</v>
      </c>
      <c r="BD44" s="79" t="str">
        <f>REPLACE(INDEX(GroupVertices[Group],MATCH(Edges[[#This Row],[Vertex 1]],GroupVertices[Vertex],0)),1,1,"")</f>
        <v>6</v>
      </c>
      <c r="BE44" s="79" t="str">
        <f>REPLACE(INDEX(GroupVertices[Group],MATCH(Edges[[#This Row],[Vertex 2]],GroupVertices[Vertex],0)),1,1,"")</f>
        <v>1</v>
      </c>
      <c r="BF44" s="49">
        <v>1</v>
      </c>
      <c r="BG44" s="50">
        <v>2.7777777777777777</v>
      </c>
      <c r="BH44" s="49">
        <v>0</v>
      </c>
      <c r="BI44" s="50">
        <v>0</v>
      </c>
      <c r="BJ44" s="49">
        <v>0</v>
      </c>
      <c r="BK44" s="50">
        <v>0</v>
      </c>
      <c r="BL44" s="49">
        <v>35</v>
      </c>
      <c r="BM44" s="50">
        <v>97.22222222222223</v>
      </c>
      <c r="BN44" s="49">
        <v>36</v>
      </c>
    </row>
    <row r="45" spans="1:66" ht="15">
      <c r="A45" s="65" t="s">
        <v>255</v>
      </c>
      <c r="B45" s="65" t="s">
        <v>307</v>
      </c>
      <c r="C45" s="66" t="s">
        <v>2153</v>
      </c>
      <c r="D45" s="67">
        <v>3</v>
      </c>
      <c r="E45" s="66" t="s">
        <v>132</v>
      </c>
      <c r="F45" s="69">
        <v>32</v>
      </c>
      <c r="G45" s="66"/>
      <c r="H45" s="70"/>
      <c r="I45" s="71"/>
      <c r="J45" s="71"/>
      <c r="K45" s="35" t="s">
        <v>65</v>
      </c>
      <c r="L45" s="72">
        <v>45</v>
      </c>
      <c r="M45" s="72"/>
      <c r="N45" s="73"/>
      <c r="O45" s="80" t="s">
        <v>352</v>
      </c>
      <c r="P45" s="82">
        <v>44219.27847222222</v>
      </c>
      <c r="Q45" s="80" t="s">
        <v>361</v>
      </c>
      <c r="R45" s="84" t="str">
        <f>HYPERLINK("https://www.tiess.online/registration?utm_source=TIESS&amp;utm_medium=Amity&amp;utm_campaign=TIESS&amp;utm_term=010")</f>
        <v>https://www.tiess.online/registration?utm_source=TIESS&amp;utm_medium=Amity&amp;utm_campaign=TIESS&amp;utm_term=010</v>
      </c>
      <c r="S45" s="80" t="s">
        <v>444</v>
      </c>
      <c r="T45" s="80" t="s">
        <v>449</v>
      </c>
      <c r="U45" s="84" t="str">
        <f>HYPERLINK("https://pbs.twimg.com/media/EsUyST3U0AA3Z4O.jpg")</f>
        <v>https://pbs.twimg.com/media/EsUyST3U0AA3Z4O.jpg</v>
      </c>
      <c r="V45" s="84" t="str">
        <f>HYPERLINK("https://pbs.twimg.com/media/EsUyST3U0AA3Z4O.jpg")</f>
        <v>https://pbs.twimg.com/media/EsUyST3U0AA3Z4O.jpg</v>
      </c>
      <c r="W45" s="82">
        <v>44219.27847222222</v>
      </c>
      <c r="X45" s="86">
        <v>44219</v>
      </c>
      <c r="Y45" s="88" t="s">
        <v>481</v>
      </c>
      <c r="Z45" s="84" t="str">
        <f>HYPERLINK("https://twitter.com/imgauravsood/status/1352868919334191104")</f>
        <v>https://twitter.com/imgauravsood/status/1352868919334191104</v>
      </c>
      <c r="AA45" s="80"/>
      <c r="AB45" s="80"/>
      <c r="AC45" s="88" t="s">
        <v>632</v>
      </c>
      <c r="AD45" s="80"/>
      <c r="AE45" s="80" t="b">
        <v>0</v>
      </c>
      <c r="AF45" s="80">
        <v>0</v>
      </c>
      <c r="AG45" s="88" t="s">
        <v>763</v>
      </c>
      <c r="AH45" s="80" t="b">
        <v>0</v>
      </c>
      <c r="AI45" s="80" t="s">
        <v>764</v>
      </c>
      <c r="AJ45" s="80"/>
      <c r="AK45" s="88" t="s">
        <v>763</v>
      </c>
      <c r="AL45" s="80" t="b">
        <v>0</v>
      </c>
      <c r="AM45" s="80">
        <v>7</v>
      </c>
      <c r="AN45" s="88" t="s">
        <v>677</v>
      </c>
      <c r="AO45" s="80" t="s">
        <v>767</v>
      </c>
      <c r="AP45" s="80" t="b">
        <v>0</v>
      </c>
      <c r="AQ45" s="88" t="s">
        <v>677</v>
      </c>
      <c r="AR45" s="80" t="s">
        <v>197</v>
      </c>
      <c r="AS45" s="80">
        <v>0</v>
      </c>
      <c r="AT45" s="80">
        <v>0</v>
      </c>
      <c r="AU45" s="80"/>
      <c r="AV45" s="80"/>
      <c r="AW45" s="80"/>
      <c r="AX45" s="80"/>
      <c r="AY45" s="80"/>
      <c r="AZ45" s="80"/>
      <c r="BA45" s="80"/>
      <c r="BB45" s="80"/>
      <c r="BC45">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255</v>
      </c>
      <c r="B46" s="65" t="s">
        <v>271</v>
      </c>
      <c r="C46" s="66" t="s">
        <v>2153</v>
      </c>
      <c r="D46" s="67">
        <v>3</v>
      </c>
      <c r="E46" s="66" t="s">
        <v>132</v>
      </c>
      <c r="F46" s="69">
        <v>32</v>
      </c>
      <c r="G46" s="66"/>
      <c r="H46" s="70"/>
      <c r="I46" s="71"/>
      <c r="J46" s="71"/>
      <c r="K46" s="35" t="s">
        <v>65</v>
      </c>
      <c r="L46" s="72">
        <v>46</v>
      </c>
      <c r="M46" s="72"/>
      <c r="N46" s="73"/>
      <c r="O46" s="80" t="s">
        <v>351</v>
      </c>
      <c r="P46" s="82">
        <v>44219.27847222222</v>
      </c>
      <c r="Q46" s="80" t="s">
        <v>361</v>
      </c>
      <c r="R46" s="84" t="str">
        <f>HYPERLINK("https://www.tiess.online/registration?utm_source=TIESS&amp;utm_medium=Amity&amp;utm_campaign=TIESS&amp;utm_term=010")</f>
        <v>https://www.tiess.online/registration?utm_source=TIESS&amp;utm_medium=Amity&amp;utm_campaign=TIESS&amp;utm_term=010</v>
      </c>
      <c r="S46" s="80" t="s">
        <v>444</v>
      </c>
      <c r="T46" s="80" t="s">
        <v>449</v>
      </c>
      <c r="U46" s="84" t="str">
        <f>HYPERLINK("https://pbs.twimg.com/media/EsUyST3U0AA3Z4O.jpg")</f>
        <v>https://pbs.twimg.com/media/EsUyST3U0AA3Z4O.jpg</v>
      </c>
      <c r="V46" s="84" t="str">
        <f>HYPERLINK("https://pbs.twimg.com/media/EsUyST3U0AA3Z4O.jpg")</f>
        <v>https://pbs.twimg.com/media/EsUyST3U0AA3Z4O.jpg</v>
      </c>
      <c r="W46" s="82">
        <v>44219.27847222222</v>
      </c>
      <c r="X46" s="86">
        <v>44219</v>
      </c>
      <c r="Y46" s="88" t="s">
        <v>481</v>
      </c>
      <c r="Z46" s="84" t="str">
        <f>HYPERLINK("https://twitter.com/imgauravsood/status/1352868919334191104")</f>
        <v>https://twitter.com/imgauravsood/status/1352868919334191104</v>
      </c>
      <c r="AA46" s="80"/>
      <c r="AB46" s="80"/>
      <c r="AC46" s="88" t="s">
        <v>632</v>
      </c>
      <c r="AD46" s="80"/>
      <c r="AE46" s="80" t="b">
        <v>0</v>
      </c>
      <c r="AF46" s="80">
        <v>0</v>
      </c>
      <c r="AG46" s="88" t="s">
        <v>763</v>
      </c>
      <c r="AH46" s="80" t="b">
        <v>0</v>
      </c>
      <c r="AI46" s="80" t="s">
        <v>764</v>
      </c>
      <c r="AJ46" s="80"/>
      <c r="AK46" s="88" t="s">
        <v>763</v>
      </c>
      <c r="AL46" s="80" t="b">
        <v>0</v>
      </c>
      <c r="AM46" s="80">
        <v>7</v>
      </c>
      <c r="AN46" s="88" t="s">
        <v>677</v>
      </c>
      <c r="AO46" s="80" t="s">
        <v>767</v>
      </c>
      <c r="AP46" s="80" t="b">
        <v>0</v>
      </c>
      <c r="AQ46" s="88" t="s">
        <v>677</v>
      </c>
      <c r="AR46" s="80" t="s">
        <v>197</v>
      </c>
      <c r="AS46" s="80">
        <v>0</v>
      </c>
      <c r="AT46" s="80">
        <v>0</v>
      </c>
      <c r="AU46" s="80"/>
      <c r="AV46" s="80"/>
      <c r="AW46" s="80"/>
      <c r="AX46" s="80"/>
      <c r="AY46" s="80"/>
      <c r="AZ46" s="80"/>
      <c r="BA46" s="80"/>
      <c r="BB46" s="80"/>
      <c r="BC46">
        <v>1</v>
      </c>
      <c r="BD46" s="79" t="str">
        <f>REPLACE(INDEX(GroupVertices[Group],MATCH(Edges[[#This Row],[Vertex 1]],GroupVertices[Vertex],0)),1,1,"")</f>
        <v>4</v>
      </c>
      <c r="BE46" s="79" t="str">
        <f>REPLACE(INDEX(GroupVertices[Group],MATCH(Edges[[#This Row],[Vertex 2]],GroupVertices[Vertex],0)),1,1,"")</f>
        <v>1</v>
      </c>
      <c r="BF46" s="49">
        <v>3</v>
      </c>
      <c r="BG46" s="50">
        <v>9.67741935483871</v>
      </c>
      <c r="BH46" s="49">
        <v>0</v>
      </c>
      <c r="BI46" s="50">
        <v>0</v>
      </c>
      <c r="BJ46" s="49">
        <v>0</v>
      </c>
      <c r="BK46" s="50">
        <v>0</v>
      </c>
      <c r="BL46" s="49">
        <v>28</v>
      </c>
      <c r="BM46" s="50">
        <v>90.3225806451613</v>
      </c>
      <c r="BN46" s="49">
        <v>31</v>
      </c>
    </row>
    <row r="47" spans="1:66" ht="15">
      <c r="A47" s="65" t="s">
        <v>256</v>
      </c>
      <c r="B47" s="65" t="s">
        <v>287</v>
      </c>
      <c r="C47" s="66" t="s">
        <v>2153</v>
      </c>
      <c r="D47" s="67">
        <v>3</v>
      </c>
      <c r="E47" s="66" t="s">
        <v>132</v>
      </c>
      <c r="F47" s="69">
        <v>32</v>
      </c>
      <c r="G47" s="66"/>
      <c r="H47" s="70"/>
      <c r="I47" s="71"/>
      <c r="J47" s="71"/>
      <c r="K47" s="35" t="s">
        <v>65</v>
      </c>
      <c r="L47" s="72">
        <v>47</v>
      </c>
      <c r="M47" s="72"/>
      <c r="N47" s="73"/>
      <c r="O47" s="80" t="s">
        <v>351</v>
      </c>
      <c r="P47" s="82">
        <v>44219.53996527778</v>
      </c>
      <c r="Q47" s="80" t="s">
        <v>363</v>
      </c>
      <c r="R47" s="84" t="str">
        <f>HYPERLINK("https://www.tiess.online/registration?utm_source=Ollie&amp;utm_medium=SM&amp;utm_campaign=TIESS&amp;utm_term=029")</f>
        <v>https://www.tiess.online/registration?utm_source=Ollie&amp;utm_medium=SM&amp;utm_campaign=TIESS&amp;utm_term=029</v>
      </c>
      <c r="S47" s="80" t="s">
        <v>444</v>
      </c>
      <c r="T47" s="80" t="s">
        <v>449</v>
      </c>
      <c r="U47" s="84" t="str">
        <f>HYPERLINK("https://pbs.twimg.com/media/EsZvwrMVEAAm51K.jpg")</f>
        <v>https://pbs.twimg.com/media/EsZvwrMVEAAm51K.jpg</v>
      </c>
      <c r="V47" s="84" t="str">
        <f>HYPERLINK("https://pbs.twimg.com/media/EsZvwrMVEAAm51K.jpg")</f>
        <v>https://pbs.twimg.com/media/EsZvwrMVEAAm51K.jpg</v>
      </c>
      <c r="W47" s="82">
        <v>44219.53996527778</v>
      </c>
      <c r="X47" s="86">
        <v>44219</v>
      </c>
      <c r="Y47" s="88" t="s">
        <v>482</v>
      </c>
      <c r="Z47" s="84" t="str">
        <f>HYPERLINK("https://twitter.com/muriel21400928/status/1352963682049863680")</f>
        <v>https://twitter.com/muriel21400928/status/1352963682049863680</v>
      </c>
      <c r="AA47" s="80"/>
      <c r="AB47" s="80"/>
      <c r="AC47" s="88" t="s">
        <v>633</v>
      </c>
      <c r="AD47" s="80"/>
      <c r="AE47" s="80" t="b">
        <v>0</v>
      </c>
      <c r="AF47" s="80">
        <v>0</v>
      </c>
      <c r="AG47" s="88" t="s">
        <v>763</v>
      </c>
      <c r="AH47" s="80" t="b">
        <v>1</v>
      </c>
      <c r="AI47" s="80" t="s">
        <v>764</v>
      </c>
      <c r="AJ47" s="80"/>
      <c r="AK47" s="88" t="s">
        <v>704</v>
      </c>
      <c r="AL47" s="80" t="b">
        <v>0</v>
      </c>
      <c r="AM47" s="80">
        <v>1</v>
      </c>
      <c r="AN47" s="88" t="s">
        <v>703</v>
      </c>
      <c r="AO47" s="80" t="s">
        <v>766</v>
      </c>
      <c r="AP47" s="80" t="b">
        <v>0</v>
      </c>
      <c r="AQ47" s="88" t="s">
        <v>703</v>
      </c>
      <c r="AR47" s="80" t="s">
        <v>197</v>
      </c>
      <c r="AS47" s="80">
        <v>0</v>
      </c>
      <c r="AT47" s="80">
        <v>0</v>
      </c>
      <c r="AU47" s="80"/>
      <c r="AV47" s="80"/>
      <c r="AW47" s="80"/>
      <c r="AX47" s="80"/>
      <c r="AY47" s="80"/>
      <c r="AZ47" s="80"/>
      <c r="BA47" s="80"/>
      <c r="BB47" s="80"/>
      <c r="BC47">
        <v>1</v>
      </c>
      <c r="BD47" s="79" t="str">
        <f>REPLACE(INDEX(GroupVertices[Group],MATCH(Edges[[#This Row],[Vertex 1]],GroupVertices[Vertex],0)),1,1,"")</f>
        <v>13</v>
      </c>
      <c r="BE47" s="79" t="str">
        <f>REPLACE(INDEX(GroupVertices[Group],MATCH(Edges[[#This Row],[Vertex 2]],GroupVertices[Vertex],0)),1,1,"")</f>
        <v>13</v>
      </c>
      <c r="BF47" s="49">
        <v>0</v>
      </c>
      <c r="BG47" s="50">
        <v>0</v>
      </c>
      <c r="BH47" s="49">
        <v>0</v>
      </c>
      <c r="BI47" s="50">
        <v>0</v>
      </c>
      <c r="BJ47" s="49">
        <v>0</v>
      </c>
      <c r="BK47" s="50">
        <v>0</v>
      </c>
      <c r="BL47" s="49">
        <v>12</v>
      </c>
      <c r="BM47" s="50">
        <v>100</v>
      </c>
      <c r="BN47" s="49">
        <v>12</v>
      </c>
    </row>
    <row r="48" spans="1:66" ht="15">
      <c r="A48" s="65" t="s">
        <v>257</v>
      </c>
      <c r="B48" s="65" t="s">
        <v>307</v>
      </c>
      <c r="C48" s="66" t="s">
        <v>2153</v>
      </c>
      <c r="D48" s="67">
        <v>3</v>
      </c>
      <c r="E48" s="66" t="s">
        <v>132</v>
      </c>
      <c r="F48" s="69">
        <v>32</v>
      </c>
      <c r="G48" s="66"/>
      <c r="H48" s="70"/>
      <c r="I48" s="71"/>
      <c r="J48" s="71"/>
      <c r="K48" s="35" t="s">
        <v>65</v>
      </c>
      <c r="L48" s="72">
        <v>48</v>
      </c>
      <c r="M48" s="72"/>
      <c r="N48" s="73"/>
      <c r="O48" s="80" t="s">
        <v>352</v>
      </c>
      <c r="P48" s="82">
        <v>44219.551145833335</v>
      </c>
      <c r="Q48" s="80" t="s">
        <v>361</v>
      </c>
      <c r="R48" s="84" t="str">
        <f>HYPERLINK("https://www.tiess.online/registration?utm_source=TIESS&amp;utm_medium=Amity&amp;utm_campaign=TIESS&amp;utm_term=010")</f>
        <v>https://www.tiess.online/registration?utm_source=TIESS&amp;utm_medium=Amity&amp;utm_campaign=TIESS&amp;utm_term=010</v>
      </c>
      <c r="S48" s="80" t="s">
        <v>444</v>
      </c>
      <c r="T48" s="80" t="s">
        <v>449</v>
      </c>
      <c r="U48" s="84" t="str">
        <f>HYPERLINK("https://pbs.twimg.com/media/EsUyST3U0AA3Z4O.jpg")</f>
        <v>https://pbs.twimg.com/media/EsUyST3U0AA3Z4O.jpg</v>
      </c>
      <c r="V48" s="84" t="str">
        <f>HYPERLINK("https://pbs.twimg.com/media/EsUyST3U0AA3Z4O.jpg")</f>
        <v>https://pbs.twimg.com/media/EsUyST3U0AA3Z4O.jpg</v>
      </c>
      <c r="W48" s="82">
        <v>44219.551145833335</v>
      </c>
      <c r="X48" s="86">
        <v>44219</v>
      </c>
      <c r="Y48" s="88" t="s">
        <v>483</v>
      </c>
      <c r="Z48" s="84" t="str">
        <f>HYPERLINK("https://twitter.com/drsantanugupta/status/1352967736616382464")</f>
        <v>https://twitter.com/drsantanugupta/status/1352967736616382464</v>
      </c>
      <c r="AA48" s="80"/>
      <c r="AB48" s="80"/>
      <c r="AC48" s="88" t="s">
        <v>634</v>
      </c>
      <c r="AD48" s="80"/>
      <c r="AE48" s="80" t="b">
        <v>0</v>
      </c>
      <c r="AF48" s="80">
        <v>0</v>
      </c>
      <c r="AG48" s="88" t="s">
        <v>763</v>
      </c>
      <c r="AH48" s="80" t="b">
        <v>0</v>
      </c>
      <c r="AI48" s="80" t="s">
        <v>764</v>
      </c>
      <c r="AJ48" s="80"/>
      <c r="AK48" s="88" t="s">
        <v>763</v>
      </c>
      <c r="AL48" s="80" t="b">
        <v>0</v>
      </c>
      <c r="AM48" s="80">
        <v>7</v>
      </c>
      <c r="AN48" s="88" t="s">
        <v>677</v>
      </c>
      <c r="AO48" s="80" t="s">
        <v>766</v>
      </c>
      <c r="AP48" s="80" t="b">
        <v>0</v>
      </c>
      <c r="AQ48" s="88" t="s">
        <v>677</v>
      </c>
      <c r="AR48" s="80" t="s">
        <v>197</v>
      </c>
      <c r="AS48" s="80">
        <v>0</v>
      </c>
      <c r="AT48" s="80">
        <v>0</v>
      </c>
      <c r="AU48" s="80"/>
      <c r="AV48" s="80"/>
      <c r="AW48" s="80"/>
      <c r="AX48" s="80"/>
      <c r="AY48" s="80"/>
      <c r="AZ48" s="80"/>
      <c r="BA48" s="80"/>
      <c r="BB48" s="80"/>
      <c r="BC48">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257</v>
      </c>
      <c r="B49" s="65" t="s">
        <v>271</v>
      </c>
      <c r="C49" s="66" t="s">
        <v>2153</v>
      </c>
      <c r="D49" s="67">
        <v>3</v>
      </c>
      <c r="E49" s="66" t="s">
        <v>132</v>
      </c>
      <c r="F49" s="69">
        <v>32</v>
      </c>
      <c r="G49" s="66"/>
      <c r="H49" s="70"/>
      <c r="I49" s="71"/>
      <c r="J49" s="71"/>
      <c r="K49" s="35" t="s">
        <v>65</v>
      </c>
      <c r="L49" s="72">
        <v>49</v>
      </c>
      <c r="M49" s="72"/>
      <c r="N49" s="73"/>
      <c r="O49" s="80" t="s">
        <v>351</v>
      </c>
      <c r="P49" s="82">
        <v>44219.551145833335</v>
      </c>
      <c r="Q49" s="80" t="s">
        <v>361</v>
      </c>
      <c r="R49" s="84" t="str">
        <f>HYPERLINK("https://www.tiess.online/registration?utm_source=TIESS&amp;utm_medium=Amity&amp;utm_campaign=TIESS&amp;utm_term=010")</f>
        <v>https://www.tiess.online/registration?utm_source=TIESS&amp;utm_medium=Amity&amp;utm_campaign=TIESS&amp;utm_term=010</v>
      </c>
      <c r="S49" s="80" t="s">
        <v>444</v>
      </c>
      <c r="T49" s="80" t="s">
        <v>449</v>
      </c>
      <c r="U49" s="84" t="str">
        <f>HYPERLINK("https://pbs.twimg.com/media/EsUyST3U0AA3Z4O.jpg")</f>
        <v>https://pbs.twimg.com/media/EsUyST3U0AA3Z4O.jpg</v>
      </c>
      <c r="V49" s="84" t="str">
        <f>HYPERLINK("https://pbs.twimg.com/media/EsUyST3U0AA3Z4O.jpg")</f>
        <v>https://pbs.twimg.com/media/EsUyST3U0AA3Z4O.jpg</v>
      </c>
      <c r="W49" s="82">
        <v>44219.551145833335</v>
      </c>
      <c r="X49" s="86">
        <v>44219</v>
      </c>
      <c r="Y49" s="88" t="s">
        <v>483</v>
      </c>
      <c r="Z49" s="84" t="str">
        <f>HYPERLINK("https://twitter.com/drsantanugupta/status/1352967736616382464")</f>
        <v>https://twitter.com/drsantanugupta/status/1352967736616382464</v>
      </c>
      <c r="AA49" s="80"/>
      <c r="AB49" s="80"/>
      <c r="AC49" s="88" t="s">
        <v>634</v>
      </c>
      <c r="AD49" s="80"/>
      <c r="AE49" s="80" t="b">
        <v>0</v>
      </c>
      <c r="AF49" s="80">
        <v>0</v>
      </c>
      <c r="AG49" s="88" t="s">
        <v>763</v>
      </c>
      <c r="AH49" s="80" t="b">
        <v>0</v>
      </c>
      <c r="AI49" s="80" t="s">
        <v>764</v>
      </c>
      <c r="AJ49" s="80"/>
      <c r="AK49" s="88" t="s">
        <v>763</v>
      </c>
      <c r="AL49" s="80" t="b">
        <v>0</v>
      </c>
      <c r="AM49" s="80">
        <v>7</v>
      </c>
      <c r="AN49" s="88" t="s">
        <v>677</v>
      </c>
      <c r="AO49" s="80" t="s">
        <v>766</v>
      </c>
      <c r="AP49" s="80" t="b">
        <v>0</v>
      </c>
      <c r="AQ49" s="88" t="s">
        <v>677</v>
      </c>
      <c r="AR49" s="80" t="s">
        <v>197</v>
      </c>
      <c r="AS49" s="80">
        <v>0</v>
      </c>
      <c r="AT49" s="80">
        <v>0</v>
      </c>
      <c r="AU49" s="80"/>
      <c r="AV49" s="80"/>
      <c r="AW49" s="80"/>
      <c r="AX49" s="80"/>
      <c r="AY49" s="80"/>
      <c r="AZ49" s="80"/>
      <c r="BA49" s="80"/>
      <c r="BB49" s="80"/>
      <c r="BC49">
        <v>1</v>
      </c>
      <c r="BD49" s="79" t="str">
        <f>REPLACE(INDEX(GroupVertices[Group],MATCH(Edges[[#This Row],[Vertex 1]],GroupVertices[Vertex],0)),1,1,"")</f>
        <v>4</v>
      </c>
      <c r="BE49" s="79" t="str">
        <f>REPLACE(INDEX(GroupVertices[Group],MATCH(Edges[[#This Row],[Vertex 2]],GroupVertices[Vertex],0)),1,1,"")</f>
        <v>1</v>
      </c>
      <c r="BF49" s="49">
        <v>3</v>
      </c>
      <c r="BG49" s="50">
        <v>9.67741935483871</v>
      </c>
      <c r="BH49" s="49">
        <v>0</v>
      </c>
      <c r="BI49" s="50">
        <v>0</v>
      </c>
      <c r="BJ49" s="49">
        <v>0</v>
      </c>
      <c r="BK49" s="50">
        <v>0</v>
      </c>
      <c r="BL49" s="49">
        <v>28</v>
      </c>
      <c r="BM49" s="50">
        <v>90.3225806451613</v>
      </c>
      <c r="BN49" s="49">
        <v>31</v>
      </c>
    </row>
    <row r="50" spans="1:66" ht="15">
      <c r="A50" s="65" t="s">
        <v>258</v>
      </c>
      <c r="B50" s="65" t="s">
        <v>307</v>
      </c>
      <c r="C50" s="66" t="s">
        <v>2153</v>
      </c>
      <c r="D50" s="67">
        <v>3</v>
      </c>
      <c r="E50" s="66" t="s">
        <v>132</v>
      </c>
      <c r="F50" s="69">
        <v>32</v>
      </c>
      <c r="G50" s="66"/>
      <c r="H50" s="70"/>
      <c r="I50" s="71"/>
      <c r="J50" s="71"/>
      <c r="K50" s="35" t="s">
        <v>65</v>
      </c>
      <c r="L50" s="72">
        <v>50</v>
      </c>
      <c r="M50" s="72"/>
      <c r="N50" s="73"/>
      <c r="O50" s="80" t="s">
        <v>352</v>
      </c>
      <c r="P50" s="82">
        <v>44219.577199074076</v>
      </c>
      <c r="Q50" s="80" t="s">
        <v>361</v>
      </c>
      <c r="R50" s="84" t="str">
        <f>HYPERLINK("https://www.tiess.online/registration?utm_source=TIESS&amp;utm_medium=Amity&amp;utm_campaign=TIESS&amp;utm_term=010")</f>
        <v>https://www.tiess.online/registration?utm_source=TIESS&amp;utm_medium=Amity&amp;utm_campaign=TIESS&amp;utm_term=010</v>
      </c>
      <c r="S50" s="80" t="s">
        <v>444</v>
      </c>
      <c r="T50" s="80" t="s">
        <v>449</v>
      </c>
      <c r="U50" s="84" t="str">
        <f>HYPERLINK("https://pbs.twimg.com/media/EsUyST3U0AA3Z4O.jpg")</f>
        <v>https://pbs.twimg.com/media/EsUyST3U0AA3Z4O.jpg</v>
      </c>
      <c r="V50" s="84" t="str">
        <f>HYPERLINK("https://pbs.twimg.com/media/EsUyST3U0AA3Z4O.jpg")</f>
        <v>https://pbs.twimg.com/media/EsUyST3U0AA3Z4O.jpg</v>
      </c>
      <c r="W50" s="82">
        <v>44219.577199074076</v>
      </c>
      <c r="X50" s="86">
        <v>44219</v>
      </c>
      <c r="Y50" s="88" t="s">
        <v>484</v>
      </c>
      <c r="Z50" s="84" t="str">
        <f>HYPERLINK("https://twitter.com/aizadkhursheed/status/1352977174513389568")</f>
        <v>https://twitter.com/aizadkhursheed/status/1352977174513389568</v>
      </c>
      <c r="AA50" s="80"/>
      <c r="AB50" s="80"/>
      <c r="AC50" s="88" t="s">
        <v>635</v>
      </c>
      <c r="AD50" s="80"/>
      <c r="AE50" s="80" t="b">
        <v>0</v>
      </c>
      <c r="AF50" s="80">
        <v>0</v>
      </c>
      <c r="AG50" s="88" t="s">
        <v>763</v>
      </c>
      <c r="AH50" s="80" t="b">
        <v>0</v>
      </c>
      <c r="AI50" s="80" t="s">
        <v>764</v>
      </c>
      <c r="AJ50" s="80"/>
      <c r="AK50" s="88" t="s">
        <v>763</v>
      </c>
      <c r="AL50" s="80" t="b">
        <v>0</v>
      </c>
      <c r="AM50" s="80">
        <v>7</v>
      </c>
      <c r="AN50" s="88" t="s">
        <v>677</v>
      </c>
      <c r="AO50" s="80" t="s">
        <v>766</v>
      </c>
      <c r="AP50" s="80" t="b">
        <v>0</v>
      </c>
      <c r="AQ50" s="88" t="s">
        <v>677</v>
      </c>
      <c r="AR50" s="80" t="s">
        <v>197</v>
      </c>
      <c r="AS50" s="80">
        <v>0</v>
      </c>
      <c r="AT50" s="80">
        <v>0</v>
      </c>
      <c r="AU50" s="80"/>
      <c r="AV50" s="80"/>
      <c r="AW50" s="80"/>
      <c r="AX50" s="80"/>
      <c r="AY50" s="80"/>
      <c r="AZ50" s="80"/>
      <c r="BA50" s="80"/>
      <c r="BB50" s="80"/>
      <c r="BC50">
        <v>1</v>
      </c>
      <c r="BD50" s="79" t="str">
        <f>REPLACE(INDEX(GroupVertices[Group],MATCH(Edges[[#This Row],[Vertex 1]],GroupVertices[Vertex],0)),1,1,"")</f>
        <v>4</v>
      </c>
      <c r="BE50" s="79" t="str">
        <f>REPLACE(INDEX(GroupVertices[Group],MATCH(Edges[[#This Row],[Vertex 2]],GroupVertices[Vertex],0)),1,1,"")</f>
        <v>4</v>
      </c>
      <c r="BF50" s="49"/>
      <c r="BG50" s="50"/>
      <c r="BH50" s="49"/>
      <c r="BI50" s="50"/>
      <c r="BJ50" s="49"/>
      <c r="BK50" s="50"/>
      <c r="BL50" s="49"/>
      <c r="BM50" s="50"/>
      <c r="BN50" s="49"/>
    </row>
    <row r="51" spans="1:66" ht="15">
      <c r="A51" s="65" t="s">
        <v>258</v>
      </c>
      <c r="B51" s="65" t="s">
        <v>271</v>
      </c>
      <c r="C51" s="66" t="s">
        <v>2153</v>
      </c>
      <c r="D51" s="67">
        <v>3</v>
      </c>
      <c r="E51" s="66" t="s">
        <v>132</v>
      </c>
      <c r="F51" s="69">
        <v>32</v>
      </c>
      <c r="G51" s="66"/>
      <c r="H51" s="70"/>
      <c r="I51" s="71"/>
      <c r="J51" s="71"/>
      <c r="K51" s="35" t="s">
        <v>65</v>
      </c>
      <c r="L51" s="72">
        <v>51</v>
      </c>
      <c r="M51" s="72"/>
      <c r="N51" s="73"/>
      <c r="O51" s="80" t="s">
        <v>351</v>
      </c>
      <c r="P51" s="82">
        <v>44219.577199074076</v>
      </c>
      <c r="Q51" s="80" t="s">
        <v>361</v>
      </c>
      <c r="R51" s="84" t="str">
        <f>HYPERLINK("https://www.tiess.online/registration?utm_source=TIESS&amp;utm_medium=Amity&amp;utm_campaign=TIESS&amp;utm_term=010")</f>
        <v>https://www.tiess.online/registration?utm_source=TIESS&amp;utm_medium=Amity&amp;utm_campaign=TIESS&amp;utm_term=010</v>
      </c>
      <c r="S51" s="80" t="s">
        <v>444</v>
      </c>
      <c r="T51" s="80" t="s">
        <v>449</v>
      </c>
      <c r="U51" s="84" t="str">
        <f>HYPERLINK("https://pbs.twimg.com/media/EsUyST3U0AA3Z4O.jpg")</f>
        <v>https://pbs.twimg.com/media/EsUyST3U0AA3Z4O.jpg</v>
      </c>
      <c r="V51" s="84" t="str">
        <f>HYPERLINK("https://pbs.twimg.com/media/EsUyST3U0AA3Z4O.jpg")</f>
        <v>https://pbs.twimg.com/media/EsUyST3U0AA3Z4O.jpg</v>
      </c>
      <c r="W51" s="82">
        <v>44219.577199074076</v>
      </c>
      <c r="X51" s="86">
        <v>44219</v>
      </c>
      <c r="Y51" s="88" t="s">
        <v>484</v>
      </c>
      <c r="Z51" s="84" t="str">
        <f>HYPERLINK("https://twitter.com/aizadkhursheed/status/1352977174513389568")</f>
        <v>https://twitter.com/aizadkhursheed/status/1352977174513389568</v>
      </c>
      <c r="AA51" s="80"/>
      <c r="AB51" s="80"/>
      <c r="AC51" s="88" t="s">
        <v>635</v>
      </c>
      <c r="AD51" s="80"/>
      <c r="AE51" s="80" t="b">
        <v>0</v>
      </c>
      <c r="AF51" s="80">
        <v>0</v>
      </c>
      <c r="AG51" s="88" t="s">
        <v>763</v>
      </c>
      <c r="AH51" s="80" t="b">
        <v>0</v>
      </c>
      <c r="AI51" s="80" t="s">
        <v>764</v>
      </c>
      <c r="AJ51" s="80"/>
      <c r="AK51" s="88" t="s">
        <v>763</v>
      </c>
      <c r="AL51" s="80" t="b">
        <v>0</v>
      </c>
      <c r="AM51" s="80">
        <v>7</v>
      </c>
      <c r="AN51" s="88" t="s">
        <v>677</v>
      </c>
      <c r="AO51" s="80" t="s">
        <v>766</v>
      </c>
      <c r="AP51" s="80" t="b">
        <v>0</v>
      </c>
      <c r="AQ51" s="88" t="s">
        <v>677</v>
      </c>
      <c r="AR51" s="80" t="s">
        <v>197</v>
      </c>
      <c r="AS51" s="80">
        <v>0</v>
      </c>
      <c r="AT51" s="80">
        <v>0</v>
      </c>
      <c r="AU51" s="80"/>
      <c r="AV51" s="80"/>
      <c r="AW51" s="80"/>
      <c r="AX51" s="80"/>
      <c r="AY51" s="80"/>
      <c r="AZ51" s="80"/>
      <c r="BA51" s="80"/>
      <c r="BB51" s="80"/>
      <c r="BC51">
        <v>1</v>
      </c>
      <c r="BD51" s="79" t="str">
        <f>REPLACE(INDEX(GroupVertices[Group],MATCH(Edges[[#This Row],[Vertex 1]],GroupVertices[Vertex],0)),1,1,"")</f>
        <v>4</v>
      </c>
      <c r="BE51" s="79" t="str">
        <f>REPLACE(INDEX(GroupVertices[Group],MATCH(Edges[[#This Row],[Vertex 2]],GroupVertices[Vertex],0)),1,1,"")</f>
        <v>1</v>
      </c>
      <c r="BF51" s="49">
        <v>3</v>
      </c>
      <c r="BG51" s="50">
        <v>9.67741935483871</v>
      </c>
      <c r="BH51" s="49">
        <v>0</v>
      </c>
      <c r="BI51" s="50">
        <v>0</v>
      </c>
      <c r="BJ51" s="49">
        <v>0</v>
      </c>
      <c r="BK51" s="50">
        <v>0</v>
      </c>
      <c r="BL51" s="49">
        <v>28</v>
      </c>
      <c r="BM51" s="50">
        <v>90.3225806451613</v>
      </c>
      <c r="BN51" s="49">
        <v>31</v>
      </c>
    </row>
    <row r="52" spans="1:66" ht="15">
      <c r="A52" s="65" t="s">
        <v>259</v>
      </c>
      <c r="B52" s="65" t="s">
        <v>284</v>
      </c>
      <c r="C52" s="66" t="s">
        <v>2153</v>
      </c>
      <c r="D52" s="67">
        <v>3</v>
      </c>
      <c r="E52" s="66" t="s">
        <v>132</v>
      </c>
      <c r="F52" s="69">
        <v>32</v>
      </c>
      <c r="G52" s="66"/>
      <c r="H52" s="70"/>
      <c r="I52" s="71"/>
      <c r="J52" s="71"/>
      <c r="K52" s="35" t="s">
        <v>65</v>
      </c>
      <c r="L52" s="72">
        <v>52</v>
      </c>
      <c r="M52" s="72"/>
      <c r="N52" s="73"/>
      <c r="O52" s="80" t="s">
        <v>352</v>
      </c>
      <c r="P52" s="82">
        <v>44220.12322916667</v>
      </c>
      <c r="Q52" s="80" t="s">
        <v>364</v>
      </c>
      <c r="R52" s="84" t="str">
        <f>HYPERLINK("https://www.tiess.online/registration?utm_source=SM&amp;utm_medium=Raghavan&amp;utm_campaign=TIESS&amp;utm_term=023")</f>
        <v>https://www.tiess.online/registration?utm_source=SM&amp;utm_medium=Raghavan&amp;utm_campaign=TIESS&amp;utm_term=023</v>
      </c>
      <c r="S52" s="80" t="s">
        <v>444</v>
      </c>
      <c r="T52" s="80" t="s">
        <v>449</v>
      </c>
      <c r="U52" s="84" t="str">
        <f>HYPERLINK("https://pbs.twimg.com/media/EsWDr3BU4AAvApB.jpg")</f>
        <v>https://pbs.twimg.com/media/EsWDr3BU4AAvApB.jpg</v>
      </c>
      <c r="V52" s="84" t="str">
        <f>HYPERLINK("https://pbs.twimg.com/media/EsWDr3BU4AAvApB.jpg")</f>
        <v>https://pbs.twimg.com/media/EsWDr3BU4AAvApB.jpg</v>
      </c>
      <c r="W52" s="82">
        <v>44220.12322916667</v>
      </c>
      <c r="X52" s="86">
        <v>44220</v>
      </c>
      <c r="Y52" s="88" t="s">
        <v>485</v>
      </c>
      <c r="Z52" s="84" t="str">
        <f>HYPERLINK("https://twitter.com/mehulch06582077/status/1353175050661158913")</f>
        <v>https://twitter.com/mehulch06582077/status/1353175050661158913</v>
      </c>
      <c r="AA52" s="80"/>
      <c r="AB52" s="80"/>
      <c r="AC52" s="88" t="s">
        <v>636</v>
      </c>
      <c r="AD52" s="80"/>
      <c r="AE52" s="80" t="b">
        <v>0</v>
      </c>
      <c r="AF52" s="80">
        <v>0</v>
      </c>
      <c r="AG52" s="88" t="s">
        <v>763</v>
      </c>
      <c r="AH52" s="80" t="b">
        <v>0</v>
      </c>
      <c r="AI52" s="80" t="s">
        <v>764</v>
      </c>
      <c r="AJ52" s="80"/>
      <c r="AK52" s="88" t="s">
        <v>763</v>
      </c>
      <c r="AL52" s="80" t="b">
        <v>0</v>
      </c>
      <c r="AM52" s="80">
        <v>4</v>
      </c>
      <c r="AN52" s="88" t="s">
        <v>694</v>
      </c>
      <c r="AO52" s="80" t="s">
        <v>766</v>
      </c>
      <c r="AP52" s="80" t="b">
        <v>0</v>
      </c>
      <c r="AQ52" s="88" t="s">
        <v>694</v>
      </c>
      <c r="AR52" s="80" t="s">
        <v>197</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9">
        <v>0</v>
      </c>
      <c r="BG52" s="50">
        <v>0</v>
      </c>
      <c r="BH52" s="49">
        <v>0</v>
      </c>
      <c r="BI52" s="50">
        <v>0</v>
      </c>
      <c r="BJ52" s="49">
        <v>0</v>
      </c>
      <c r="BK52" s="50">
        <v>0</v>
      </c>
      <c r="BL52" s="49">
        <v>32</v>
      </c>
      <c r="BM52" s="50">
        <v>100</v>
      </c>
      <c r="BN52" s="49">
        <v>32</v>
      </c>
    </row>
    <row r="53" spans="1:66" ht="15">
      <c r="A53" s="65" t="s">
        <v>259</v>
      </c>
      <c r="B53" s="65" t="s">
        <v>271</v>
      </c>
      <c r="C53" s="66" t="s">
        <v>2153</v>
      </c>
      <c r="D53" s="67">
        <v>3</v>
      </c>
      <c r="E53" s="66" t="s">
        <v>132</v>
      </c>
      <c r="F53" s="69">
        <v>32</v>
      </c>
      <c r="G53" s="66"/>
      <c r="H53" s="70"/>
      <c r="I53" s="71"/>
      <c r="J53" s="71"/>
      <c r="K53" s="35" t="s">
        <v>65</v>
      </c>
      <c r="L53" s="72">
        <v>53</v>
      </c>
      <c r="M53" s="72"/>
      <c r="N53" s="73"/>
      <c r="O53" s="80" t="s">
        <v>351</v>
      </c>
      <c r="P53" s="82">
        <v>44220.12322916667</v>
      </c>
      <c r="Q53" s="80" t="s">
        <v>364</v>
      </c>
      <c r="R53" s="84" t="str">
        <f>HYPERLINK("https://www.tiess.online/registration?utm_source=SM&amp;utm_medium=Raghavan&amp;utm_campaign=TIESS&amp;utm_term=023")</f>
        <v>https://www.tiess.online/registration?utm_source=SM&amp;utm_medium=Raghavan&amp;utm_campaign=TIESS&amp;utm_term=023</v>
      </c>
      <c r="S53" s="80" t="s">
        <v>444</v>
      </c>
      <c r="T53" s="80" t="s">
        <v>449</v>
      </c>
      <c r="U53" s="84" t="str">
        <f>HYPERLINK("https://pbs.twimg.com/media/EsWDr3BU4AAvApB.jpg")</f>
        <v>https://pbs.twimg.com/media/EsWDr3BU4AAvApB.jpg</v>
      </c>
      <c r="V53" s="84" t="str">
        <f>HYPERLINK("https://pbs.twimg.com/media/EsWDr3BU4AAvApB.jpg")</f>
        <v>https://pbs.twimg.com/media/EsWDr3BU4AAvApB.jpg</v>
      </c>
      <c r="W53" s="82">
        <v>44220.12322916667</v>
      </c>
      <c r="X53" s="86">
        <v>44220</v>
      </c>
      <c r="Y53" s="88" t="s">
        <v>485</v>
      </c>
      <c r="Z53" s="84" t="str">
        <f>HYPERLINK("https://twitter.com/mehulch06582077/status/1353175050661158913")</f>
        <v>https://twitter.com/mehulch06582077/status/1353175050661158913</v>
      </c>
      <c r="AA53" s="80"/>
      <c r="AB53" s="80"/>
      <c r="AC53" s="88" t="s">
        <v>636</v>
      </c>
      <c r="AD53" s="80"/>
      <c r="AE53" s="80" t="b">
        <v>0</v>
      </c>
      <c r="AF53" s="80">
        <v>0</v>
      </c>
      <c r="AG53" s="88" t="s">
        <v>763</v>
      </c>
      <c r="AH53" s="80" t="b">
        <v>0</v>
      </c>
      <c r="AI53" s="80" t="s">
        <v>764</v>
      </c>
      <c r="AJ53" s="80"/>
      <c r="AK53" s="88" t="s">
        <v>763</v>
      </c>
      <c r="AL53" s="80" t="b">
        <v>0</v>
      </c>
      <c r="AM53" s="80">
        <v>4</v>
      </c>
      <c r="AN53" s="88" t="s">
        <v>694</v>
      </c>
      <c r="AO53" s="80" t="s">
        <v>766</v>
      </c>
      <c r="AP53" s="80" t="b">
        <v>0</v>
      </c>
      <c r="AQ53" s="88" t="s">
        <v>694</v>
      </c>
      <c r="AR53" s="80" t="s">
        <v>197</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260</v>
      </c>
      <c r="B54" s="65" t="s">
        <v>284</v>
      </c>
      <c r="C54" s="66" t="s">
        <v>2153</v>
      </c>
      <c r="D54" s="67">
        <v>3</v>
      </c>
      <c r="E54" s="66" t="s">
        <v>132</v>
      </c>
      <c r="F54" s="69">
        <v>32</v>
      </c>
      <c r="G54" s="66"/>
      <c r="H54" s="70"/>
      <c r="I54" s="71"/>
      <c r="J54" s="71"/>
      <c r="K54" s="35" t="s">
        <v>65</v>
      </c>
      <c r="L54" s="72">
        <v>54</v>
      </c>
      <c r="M54" s="72"/>
      <c r="N54" s="73"/>
      <c r="O54" s="80" t="s">
        <v>352</v>
      </c>
      <c r="P54" s="82">
        <v>44220.202835648146</v>
      </c>
      <c r="Q54" s="80" t="s">
        <v>364</v>
      </c>
      <c r="R54" s="84" t="str">
        <f>HYPERLINK("https://www.tiess.online/registration?utm_source=SM&amp;utm_medium=Raghavan&amp;utm_campaign=TIESS&amp;utm_term=023")</f>
        <v>https://www.tiess.online/registration?utm_source=SM&amp;utm_medium=Raghavan&amp;utm_campaign=TIESS&amp;utm_term=023</v>
      </c>
      <c r="S54" s="80" t="s">
        <v>444</v>
      </c>
      <c r="T54" s="80" t="s">
        <v>449</v>
      </c>
      <c r="U54" s="84" t="str">
        <f>HYPERLINK("https://pbs.twimg.com/media/EsWDr3BU4AAvApB.jpg")</f>
        <v>https://pbs.twimg.com/media/EsWDr3BU4AAvApB.jpg</v>
      </c>
      <c r="V54" s="84" t="str">
        <f>HYPERLINK("https://pbs.twimg.com/media/EsWDr3BU4AAvApB.jpg")</f>
        <v>https://pbs.twimg.com/media/EsWDr3BU4AAvApB.jpg</v>
      </c>
      <c r="W54" s="82">
        <v>44220.202835648146</v>
      </c>
      <c r="X54" s="86">
        <v>44220</v>
      </c>
      <c r="Y54" s="88" t="s">
        <v>486</v>
      </c>
      <c r="Z54" s="84" t="str">
        <f>HYPERLINK("https://twitter.com/mukesh49963098/status/1353203897716772864")</f>
        <v>https://twitter.com/mukesh49963098/status/1353203897716772864</v>
      </c>
      <c r="AA54" s="80"/>
      <c r="AB54" s="80"/>
      <c r="AC54" s="88" t="s">
        <v>637</v>
      </c>
      <c r="AD54" s="80"/>
      <c r="AE54" s="80" t="b">
        <v>0</v>
      </c>
      <c r="AF54" s="80">
        <v>0</v>
      </c>
      <c r="AG54" s="88" t="s">
        <v>763</v>
      </c>
      <c r="AH54" s="80" t="b">
        <v>0</v>
      </c>
      <c r="AI54" s="80" t="s">
        <v>764</v>
      </c>
      <c r="AJ54" s="80"/>
      <c r="AK54" s="88" t="s">
        <v>763</v>
      </c>
      <c r="AL54" s="80" t="b">
        <v>0</v>
      </c>
      <c r="AM54" s="80">
        <v>4</v>
      </c>
      <c r="AN54" s="88" t="s">
        <v>694</v>
      </c>
      <c r="AO54" s="80" t="s">
        <v>766</v>
      </c>
      <c r="AP54" s="80" t="b">
        <v>0</v>
      </c>
      <c r="AQ54" s="88" t="s">
        <v>694</v>
      </c>
      <c r="AR54" s="80" t="s">
        <v>197</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260</v>
      </c>
      <c r="B55" s="65" t="s">
        <v>271</v>
      </c>
      <c r="C55" s="66" t="s">
        <v>2153</v>
      </c>
      <c r="D55" s="67">
        <v>3</v>
      </c>
      <c r="E55" s="66" t="s">
        <v>132</v>
      </c>
      <c r="F55" s="69">
        <v>32</v>
      </c>
      <c r="G55" s="66"/>
      <c r="H55" s="70"/>
      <c r="I55" s="71"/>
      <c r="J55" s="71"/>
      <c r="K55" s="35" t="s">
        <v>65</v>
      </c>
      <c r="L55" s="72">
        <v>55</v>
      </c>
      <c r="M55" s="72"/>
      <c r="N55" s="73"/>
      <c r="O55" s="80" t="s">
        <v>351</v>
      </c>
      <c r="P55" s="82">
        <v>44220.202835648146</v>
      </c>
      <c r="Q55" s="80" t="s">
        <v>364</v>
      </c>
      <c r="R55" s="84" t="str">
        <f>HYPERLINK("https://www.tiess.online/registration?utm_source=SM&amp;utm_medium=Raghavan&amp;utm_campaign=TIESS&amp;utm_term=023")</f>
        <v>https://www.tiess.online/registration?utm_source=SM&amp;utm_medium=Raghavan&amp;utm_campaign=TIESS&amp;utm_term=023</v>
      </c>
      <c r="S55" s="80" t="s">
        <v>444</v>
      </c>
      <c r="T55" s="80" t="s">
        <v>449</v>
      </c>
      <c r="U55" s="84" t="str">
        <f>HYPERLINK("https://pbs.twimg.com/media/EsWDr3BU4AAvApB.jpg")</f>
        <v>https://pbs.twimg.com/media/EsWDr3BU4AAvApB.jpg</v>
      </c>
      <c r="V55" s="84" t="str">
        <f>HYPERLINK("https://pbs.twimg.com/media/EsWDr3BU4AAvApB.jpg")</f>
        <v>https://pbs.twimg.com/media/EsWDr3BU4AAvApB.jpg</v>
      </c>
      <c r="W55" s="82">
        <v>44220.202835648146</v>
      </c>
      <c r="X55" s="86">
        <v>44220</v>
      </c>
      <c r="Y55" s="88" t="s">
        <v>486</v>
      </c>
      <c r="Z55" s="84" t="str">
        <f>HYPERLINK("https://twitter.com/mukesh49963098/status/1353203897716772864")</f>
        <v>https://twitter.com/mukesh49963098/status/1353203897716772864</v>
      </c>
      <c r="AA55" s="80"/>
      <c r="AB55" s="80"/>
      <c r="AC55" s="88" t="s">
        <v>637</v>
      </c>
      <c r="AD55" s="80"/>
      <c r="AE55" s="80" t="b">
        <v>0</v>
      </c>
      <c r="AF55" s="80">
        <v>0</v>
      </c>
      <c r="AG55" s="88" t="s">
        <v>763</v>
      </c>
      <c r="AH55" s="80" t="b">
        <v>0</v>
      </c>
      <c r="AI55" s="80" t="s">
        <v>764</v>
      </c>
      <c r="AJ55" s="80"/>
      <c r="AK55" s="88" t="s">
        <v>763</v>
      </c>
      <c r="AL55" s="80" t="b">
        <v>0</v>
      </c>
      <c r="AM55" s="80">
        <v>4</v>
      </c>
      <c r="AN55" s="88" t="s">
        <v>694</v>
      </c>
      <c r="AO55" s="80" t="s">
        <v>766</v>
      </c>
      <c r="AP55" s="80" t="b">
        <v>0</v>
      </c>
      <c r="AQ55" s="88" t="s">
        <v>694</v>
      </c>
      <c r="AR55" s="80" t="s">
        <v>197</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32</v>
      </c>
      <c r="BM55" s="50">
        <v>100</v>
      </c>
      <c r="BN55" s="49">
        <v>32</v>
      </c>
    </row>
    <row r="56" spans="1:66" ht="15">
      <c r="A56" s="65" t="s">
        <v>261</v>
      </c>
      <c r="B56" s="65" t="s">
        <v>308</v>
      </c>
      <c r="C56" s="66" t="s">
        <v>2153</v>
      </c>
      <c r="D56" s="67">
        <v>3</v>
      </c>
      <c r="E56" s="66" t="s">
        <v>132</v>
      </c>
      <c r="F56" s="69">
        <v>32</v>
      </c>
      <c r="G56" s="66"/>
      <c r="H56" s="70"/>
      <c r="I56" s="71"/>
      <c r="J56" s="71"/>
      <c r="K56" s="35" t="s">
        <v>65</v>
      </c>
      <c r="L56" s="72">
        <v>56</v>
      </c>
      <c r="M56" s="72"/>
      <c r="N56" s="73"/>
      <c r="O56" s="80" t="s">
        <v>352</v>
      </c>
      <c r="P56" s="82">
        <v>44220.68375</v>
      </c>
      <c r="Q56" s="80" t="s">
        <v>362</v>
      </c>
      <c r="R56" s="84" t="str">
        <f>HYPERLINK("https://www.tiess.online/registration?utm_source=SM&amp;utm_medium=Ramanan&amp;utm_campaign=TIESS&amp;utm_term=011")</f>
        <v>https://www.tiess.online/registration?utm_source=SM&amp;utm_medium=Ramanan&amp;utm_campaign=TIESS&amp;utm_term=011</v>
      </c>
      <c r="S56" s="80" t="s">
        <v>444</v>
      </c>
      <c r="T56" s="80" t="s">
        <v>451</v>
      </c>
      <c r="U56" s="84" t="str">
        <f>HYPERLINK("https://pbs.twimg.com/media/EsWHGdcVcAE-c4p.jpg")</f>
        <v>https://pbs.twimg.com/media/EsWHGdcVcAE-c4p.jpg</v>
      </c>
      <c r="V56" s="84" t="str">
        <f>HYPERLINK("https://pbs.twimg.com/media/EsWHGdcVcAE-c4p.jpg")</f>
        <v>https://pbs.twimg.com/media/EsWHGdcVcAE-c4p.jpg</v>
      </c>
      <c r="W56" s="82">
        <v>44220.68375</v>
      </c>
      <c r="X56" s="86">
        <v>44220</v>
      </c>
      <c r="Y56" s="88" t="s">
        <v>487</v>
      </c>
      <c r="Z56" s="84" t="str">
        <f>HYPERLINK("https://twitter.com/sanatan96735902/status/1353378177737875459")</f>
        <v>https://twitter.com/sanatan96735902/status/1353378177737875459</v>
      </c>
      <c r="AA56" s="80"/>
      <c r="AB56" s="80"/>
      <c r="AC56" s="88" t="s">
        <v>638</v>
      </c>
      <c r="AD56" s="80"/>
      <c r="AE56" s="80" t="b">
        <v>0</v>
      </c>
      <c r="AF56" s="80">
        <v>0</v>
      </c>
      <c r="AG56" s="88" t="s">
        <v>763</v>
      </c>
      <c r="AH56" s="80" t="b">
        <v>0</v>
      </c>
      <c r="AI56" s="80" t="s">
        <v>764</v>
      </c>
      <c r="AJ56" s="80"/>
      <c r="AK56" s="88" t="s">
        <v>763</v>
      </c>
      <c r="AL56" s="80" t="b">
        <v>0</v>
      </c>
      <c r="AM56" s="80">
        <v>3</v>
      </c>
      <c r="AN56" s="88" t="s">
        <v>695</v>
      </c>
      <c r="AO56" s="80" t="s">
        <v>766</v>
      </c>
      <c r="AP56" s="80" t="b">
        <v>0</v>
      </c>
      <c r="AQ56" s="88" t="s">
        <v>695</v>
      </c>
      <c r="AR56" s="80" t="s">
        <v>197</v>
      </c>
      <c r="AS56" s="80">
        <v>0</v>
      </c>
      <c r="AT56" s="80">
        <v>0</v>
      </c>
      <c r="AU56" s="80"/>
      <c r="AV56" s="80"/>
      <c r="AW56" s="80"/>
      <c r="AX56" s="80"/>
      <c r="AY56" s="80"/>
      <c r="AZ56" s="80"/>
      <c r="BA56" s="80"/>
      <c r="BB56" s="80"/>
      <c r="BC56">
        <v>1</v>
      </c>
      <c r="BD56" s="79" t="str">
        <f>REPLACE(INDEX(GroupVertices[Group],MATCH(Edges[[#This Row],[Vertex 1]],GroupVertices[Vertex],0)),1,1,"")</f>
        <v>6</v>
      </c>
      <c r="BE56" s="79" t="str">
        <f>REPLACE(INDEX(GroupVertices[Group],MATCH(Edges[[#This Row],[Vertex 2]],GroupVertices[Vertex],0)),1,1,"")</f>
        <v>6</v>
      </c>
      <c r="BF56" s="49"/>
      <c r="BG56" s="50"/>
      <c r="BH56" s="49"/>
      <c r="BI56" s="50"/>
      <c r="BJ56" s="49"/>
      <c r="BK56" s="50"/>
      <c r="BL56" s="49"/>
      <c r="BM56" s="50"/>
      <c r="BN56" s="49"/>
    </row>
    <row r="57" spans="1:66" ht="15">
      <c r="A57" s="65" t="s">
        <v>261</v>
      </c>
      <c r="B57" s="65" t="s">
        <v>309</v>
      </c>
      <c r="C57" s="66" t="s">
        <v>2153</v>
      </c>
      <c r="D57" s="67">
        <v>3</v>
      </c>
      <c r="E57" s="66" t="s">
        <v>132</v>
      </c>
      <c r="F57" s="69">
        <v>32</v>
      </c>
      <c r="G57" s="66"/>
      <c r="H57" s="70"/>
      <c r="I57" s="71"/>
      <c r="J57" s="71"/>
      <c r="K57" s="35" t="s">
        <v>65</v>
      </c>
      <c r="L57" s="72">
        <v>57</v>
      </c>
      <c r="M57" s="72"/>
      <c r="N57" s="73"/>
      <c r="O57" s="80" t="s">
        <v>352</v>
      </c>
      <c r="P57" s="82">
        <v>44220.68375</v>
      </c>
      <c r="Q57" s="80" t="s">
        <v>362</v>
      </c>
      <c r="R57" s="84" t="str">
        <f>HYPERLINK("https://www.tiess.online/registration?utm_source=SM&amp;utm_medium=Ramanan&amp;utm_campaign=TIESS&amp;utm_term=011")</f>
        <v>https://www.tiess.online/registration?utm_source=SM&amp;utm_medium=Ramanan&amp;utm_campaign=TIESS&amp;utm_term=011</v>
      </c>
      <c r="S57" s="80" t="s">
        <v>444</v>
      </c>
      <c r="T57" s="80" t="s">
        <v>451</v>
      </c>
      <c r="U57" s="84" t="str">
        <f>HYPERLINK("https://pbs.twimg.com/media/EsWHGdcVcAE-c4p.jpg")</f>
        <v>https://pbs.twimg.com/media/EsWHGdcVcAE-c4p.jpg</v>
      </c>
      <c r="V57" s="84" t="str">
        <f>HYPERLINK("https://pbs.twimg.com/media/EsWHGdcVcAE-c4p.jpg")</f>
        <v>https://pbs.twimg.com/media/EsWHGdcVcAE-c4p.jpg</v>
      </c>
      <c r="W57" s="82">
        <v>44220.68375</v>
      </c>
      <c r="X57" s="86">
        <v>44220</v>
      </c>
      <c r="Y57" s="88" t="s">
        <v>487</v>
      </c>
      <c r="Z57" s="84" t="str">
        <f>HYPERLINK("https://twitter.com/sanatan96735902/status/1353378177737875459")</f>
        <v>https://twitter.com/sanatan96735902/status/1353378177737875459</v>
      </c>
      <c r="AA57" s="80"/>
      <c r="AB57" s="80"/>
      <c r="AC57" s="88" t="s">
        <v>638</v>
      </c>
      <c r="AD57" s="80"/>
      <c r="AE57" s="80" t="b">
        <v>0</v>
      </c>
      <c r="AF57" s="80">
        <v>0</v>
      </c>
      <c r="AG57" s="88" t="s">
        <v>763</v>
      </c>
      <c r="AH57" s="80" t="b">
        <v>0</v>
      </c>
      <c r="AI57" s="80" t="s">
        <v>764</v>
      </c>
      <c r="AJ57" s="80"/>
      <c r="AK57" s="88" t="s">
        <v>763</v>
      </c>
      <c r="AL57" s="80" t="b">
        <v>0</v>
      </c>
      <c r="AM57" s="80">
        <v>3</v>
      </c>
      <c r="AN57" s="88" t="s">
        <v>695</v>
      </c>
      <c r="AO57" s="80" t="s">
        <v>766</v>
      </c>
      <c r="AP57" s="80" t="b">
        <v>0</v>
      </c>
      <c r="AQ57" s="88" t="s">
        <v>695</v>
      </c>
      <c r="AR57" s="80" t="s">
        <v>197</v>
      </c>
      <c r="AS57" s="80">
        <v>0</v>
      </c>
      <c r="AT57" s="80">
        <v>0</v>
      </c>
      <c r="AU57" s="80"/>
      <c r="AV57" s="80"/>
      <c r="AW57" s="80"/>
      <c r="AX57" s="80"/>
      <c r="AY57" s="80"/>
      <c r="AZ57" s="80"/>
      <c r="BA57" s="80"/>
      <c r="BB57" s="80"/>
      <c r="BC57">
        <v>1</v>
      </c>
      <c r="BD57" s="79" t="str">
        <f>REPLACE(INDEX(GroupVertices[Group],MATCH(Edges[[#This Row],[Vertex 1]],GroupVertices[Vertex],0)),1,1,"")</f>
        <v>6</v>
      </c>
      <c r="BE57" s="79" t="str">
        <f>REPLACE(INDEX(GroupVertices[Group],MATCH(Edges[[#This Row],[Vertex 2]],GroupVertices[Vertex],0)),1,1,"")</f>
        <v>6</v>
      </c>
      <c r="BF57" s="49"/>
      <c r="BG57" s="50"/>
      <c r="BH57" s="49"/>
      <c r="BI57" s="50"/>
      <c r="BJ57" s="49"/>
      <c r="BK57" s="50"/>
      <c r="BL57" s="49"/>
      <c r="BM57" s="50"/>
      <c r="BN57" s="49"/>
    </row>
    <row r="58" spans="1:66" ht="15">
      <c r="A58" s="65" t="s">
        <v>261</v>
      </c>
      <c r="B58" s="65" t="s">
        <v>271</v>
      </c>
      <c r="C58" s="66" t="s">
        <v>2153</v>
      </c>
      <c r="D58" s="67">
        <v>3</v>
      </c>
      <c r="E58" s="66" t="s">
        <v>132</v>
      </c>
      <c r="F58" s="69">
        <v>32</v>
      </c>
      <c r="G58" s="66"/>
      <c r="H58" s="70"/>
      <c r="I58" s="71"/>
      <c r="J58" s="71"/>
      <c r="K58" s="35" t="s">
        <v>65</v>
      </c>
      <c r="L58" s="72">
        <v>58</v>
      </c>
      <c r="M58" s="72"/>
      <c r="N58" s="73"/>
      <c r="O58" s="80" t="s">
        <v>351</v>
      </c>
      <c r="P58" s="82">
        <v>44220.68375</v>
      </c>
      <c r="Q58" s="80" t="s">
        <v>362</v>
      </c>
      <c r="R58" s="84" t="str">
        <f>HYPERLINK("https://www.tiess.online/registration?utm_source=SM&amp;utm_medium=Ramanan&amp;utm_campaign=TIESS&amp;utm_term=011")</f>
        <v>https://www.tiess.online/registration?utm_source=SM&amp;utm_medium=Ramanan&amp;utm_campaign=TIESS&amp;utm_term=011</v>
      </c>
      <c r="S58" s="80" t="s">
        <v>444</v>
      </c>
      <c r="T58" s="80" t="s">
        <v>451</v>
      </c>
      <c r="U58" s="84" t="str">
        <f>HYPERLINK("https://pbs.twimg.com/media/EsWHGdcVcAE-c4p.jpg")</f>
        <v>https://pbs.twimg.com/media/EsWHGdcVcAE-c4p.jpg</v>
      </c>
      <c r="V58" s="84" t="str">
        <f>HYPERLINK("https://pbs.twimg.com/media/EsWHGdcVcAE-c4p.jpg")</f>
        <v>https://pbs.twimg.com/media/EsWHGdcVcAE-c4p.jpg</v>
      </c>
      <c r="W58" s="82">
        <v>44220.68375</v>
      </c>
      <c r="X58" s="86">
        <v>44220</v>
      </c>
      <c r="Y58" s="88" t="s">
        <v>487</v>
      </c>
      <c r="Z58" s="84" t="str">
        <f>HYPERLINK("https://twitter.com/sanatan96735902/status/1353378177737875459")</f>
        <v>https://twitter.com/sanatan96735902/status/1353378177737875459</v>
      </c>
      <c r="AA58" s="80"/>
      <c r="AB58" s="80"/>
      <c r="AC58" s="88" t="s">
        <v>638</v>
      </c>
      <c r="AD58" s="80"/>
      <c r="AE58" s="80" t="b">
        <v>0</v>
      </c>
      <c r="AF58" s="80">
        <v>0</v>
      </c>
      <c r="AG58" s="88" t="s">
        <v>763</v>
      </c>
      <c r="AH58" s="80" t="b">
        <v>0</v>
      </c>
      <c r="AI58" s="80" t="s">
        <v>764</v>
      </c>
      <c r="AJ58" s="80"/>
      <c r="AK58" s="88" t="s">
        <v>763</v>
      </c>
      <c r="AL58" s="80" t="b">
        <v>0</v>
      </c>
      <c r="AM58" s="80">
        <v>3</v>
      </c>
      <c r="AN58" s="88" t="s">
        <v>695</v>
      </c>
      <c r="AO58" s="80" t="s">
        <v>766</v>
      </c>
      <c r="AP58" s="80" t="b">
        <v>0</v>
      </c>
      <c r="AQ58" s="88" t="s">
        <v>695</v>
      </c>
      <c r="AR58" s="80" t="s">
        <v>197</v>
      </c>
      <c r="AS58" s="80">
        <v>0</v>
      </c>
      <c r="AT58" s="80">
        <v>0</v>
      </c>
      <c r="AU58" s="80"/>
      <c r="AV58" s="80"/>
      <c r="AW58" s="80"/>
      <c r="AX58" s="80"/>
      <c r="AY58" s="80"/>
      <c r="AZ58" s="80"/>
      <c r="BA58" s="80"/>
      <c r="BB58" s="80"/>
      <c r="BC58">
        <v>1</v>
      </c>
      <c r="BD58" s="79" t="str">
        <f>REPLACE(INDEX(GroupVertices[Group],MATCH(Edges[[#This Row],[Vertex 1]],GroupVertices[Vertex],0)),1,1,"")</f>
        <v>6</v>
      </c>
      <c r="BE58" s="79" t="str">
        <f>REPLACE(INDEX(GroupVertices[Group],MATCH(Edges[[#This Row],[Vertex 2]],GroupVertices[Vertex],0)),1,1,"")</f>
        <v>1</v>
      </c>
      <c r="BF58" s="49">
        <v>1</v>
      </c>
      <c r="BG58" s="50">
        <v>2.7777777777777777</v>
      </c>
      <c r="BH58" s="49">
        <v>0</v>
      </c>
      <c r="BI58" s="50">
        <v>0</v>
      </c>
      <c r="BJ58" s="49">
        <v>0</v>
      </c>
      <c r="BK58" s="50">
        <v>0</v>
      </c>
      <c r="BL58" s="49">
        <v>35</v>
      </c>
      <c r="BM58" s="50">
        <v>97.22222222222223</v>
      </c>
      <c r="BN58" s="49">
        <v>36</v>
      </c>
    </row>
    <row r="59" spans="1:66" ht="15">
      <c r="A59" s="65" t="s">
        <v>262</v>
      </c>
      <c r="B59" s="65" t="s">
        <v>310</v>
      </c>
      <c r="C59" s="66" t="s">
        <v>2153</v>
      </c>
      <c r="D59" s="67">
        <v>3</v>
      </c>
      <c r="E59" s="66" t="s">
        <v>132</v>
      </c>
      <c r="F59" s="69">
        <v>32</v>
      </c>
      <c r="G59" s="66"/>
      <c r="H59" s="70"/>
      <c r="I59" s="71"/>
      <c r="J59" s="71"/>
      <c r="K59" s="35" t="s">
        <v>65</v>
      </c>
      <c r="L59" s="72">
        <v>59</v>
      </c>
      <c r="M59" s="72"/>
      <c r="N59" s="73"/>
      <c r="O59" s="80" t="s">
        <v>352</v>
      </c>
      <c r="P59" s="82">
        <v>44220.68540509259</v>
      </c>
      <c r="Q59" s="80" t="s">
        <v>365</v>
      </c>
      <c r="R59" s="84" t="str">
        <f>HYPERLINK("https://www.tiess.online/registration?utm_source=SM&amp;utm_medium=Timmers&amp;utm_campaign=TIESS&amp;utm_term=022")</f>
        <v>https://www.tiess.online/registration?utm_source=SM&amp;utm_medium=Timmers&amp;utm_campaign=TIESS&amp;utm_term=022</v>
      </c>
      <c r="S59" s="80" t="s">
        <v>444</v>
      </c>
      <c r="T59" s="80" t="s">
        <v>449</v>
      </c>
      <c r="U59" s="84" t="str">
        <f>HYPERLINK("https://pbs.twimg.com/media/EsLob21VQAAdPsn.jpg")</f>
        <v>https://pbs.twimg.com/media/EsLob21VQAAdPsn.jpg</v>
      </c>
      <c r="V59" s="84" t="str">
        <f>HYPERLINK("https://pbs.twimg.com/media/EsLob21VQAAdPsn.jpg")</f>
        <v>https://pbs.twimg.com/media/EsLob21VQAAdPsn.jpg</v>
      </c>
      <c r="W59" s="82">
        <v>44220.68540509259</v>
      </c>
      <c r="X59" s="86">
        <v>44220</v>
      </c>
      <c r="Y59" s="88" t="s">
        <v>488</v>
      </c>
      <c r="Z59" s="84" t="str">
        <f>HYPERLINK("https://twitter.com/afreen50079461/status/1353378776885944320")</f>
        <v>https://twitter.com/afreen50079461/status/1353378776885944320</v>
      </c>
      <c r="AA59" s="80"/>
      <c r="AB59" s="80"/>
      <c r="AC59" s="88" t="s">
        <v>639</v>
      </c>
      <c r="AD59" s="80"/>
      <c r="AE59" s="80" t="b">
        <v>0</v>
      </c>
      <c r="AF59" s="80">
        <v>0</v>
      </c>
      <c r="AG59" s="88" t="s">
        <v>763</v>
      </c>
      <c r="AH59" s="80" t="b">
        <v>0</v>
      </c>
      <c r="AI59" s="80" t="s">
        <v>764</v>
      </c>
      <c r="AJ59" s="80"/>
      <c r="AK59" s="88" t="s">
        <v>763</v>
      </c>
      <c r="AL59" s="80" t="b">
        <v>0</v>
      </c>
      <c r="AM59" s="80">
        <v>3</v>
      </c>
      <c r="AN59" s="88" t="s">
        <v>658</v>
      </c>
      <c r="AO59" s="80" t="s">
        <v>765</v>
      </c>
      <c r="AP59" s="80" t="b">
        <v>0</v>
      </c>
      <c r="AQ59" s="88" t="s">
        <v>658</v>
      </c>
      <c r="AR59" s="80" t="s">
        <v>197</v>
      </c>
      <c r="AS59" s="80">
        <v>0</v>
      </c>
      <c r="AT59" s="80">
        <v>0</v>
      </c>
      <c r="AU59" s="80"/>
      <c r="AV59" s="80"/>
      <c r="AW59" s="80"/>
      <c r="AX59" s="80"/>
      <c r="AY59" s="80"/>
      <c r="AZ59" s="80"/>
      <c r="BA59" s="80"/>
      <c r="BB59" s="80"/>
      <c r="BC59">
        <v>1</v>
      </c>
      <c r="BD59" s="79" t="str">
        <f>REPLACE(INDEX(GroupVertices[Group],MATCH(Edges[[#This Row],[Vertex 1]],GroupVertices[Vertex],0)),1,1,"")</f>
        <v>9</v>
      </c>
      <c r="BE59" s="79" t="str">
        <f>REPLACE(INDEX(GroupVertices[Group],MATCH(Edges[[#This Row],[Vertex 2]],GroupVertices[Vertex],0)),1,1,"")</f>
        <v>9</v>
      </c>
      <c r="BF59" s="49"/>
      <c r="BG59" s="50"/>
      <c r="BH59" s="49"/>
      <c r="BI59" s="50"/>
      <c r="BJ59" s="49"/>
      <c r="BK59" s="50"/>
      <c r="BL59" s="49"/>
      <c r="BM59" s="50"/>
      <c r="BN59" s="49"/>
    </row>
    <row r="60" spans="1:66" ht="15">
      <c r="A60" s="65" t="s">
        <v>262</v>
      </c>
      <c r="B60" s="65" t="s">
        <v>275</v>
      </c>
      <c r="C60" s="66" t="s">
        <v>2153</v>
      </c>
      <c r="D60" s="67">
        <v>3</v>
      </c>
      <c r="E60" s="66" t="s">
        <v>132</v>
      </c>
      <c r="F60" s="69">
        <v>32</v>
      </c>
      <c r="G60" s="66"/>
      <c r="H60" s="70"/>
      <c r="I60" s="71"/>
      <c r="J60" s="71"/>
      <c r="K60" s="35" t="s">
        <v>65</v>
      </c>
      <c r="L60" s="72">
        <v>60</v>
      </c>
      <c r="M60" s="72"/>
      <c r="N60" s="73"/>
      <c r="O60" s="80" t="s">
        <v>352</v>
      </c>
      <c r="P60" s="82">
        <v>44220.68540509259</v>
      </c>
      <c r="Q60" s="80" t="s">
        <v>365</v>
      </c>
      <c r="R60" s="84" t="str">
        <f>HYPERLINK("https://www.tiess.online/registration?utm_source=SM&amp;utm_medium=Timmers&amp;utm_campaign=TIESS&amp;utm_term=022")</f>
        <v>https://www.tiess.online/registration?utm_source=SM&amp;utm_medium=Timmers&amp;utm_campaign=TIESS&amp;utm_term=022</v>
      </c>
      <c r="S60" s="80" t="s">
        <v>444</v>
      </c>
      <c r="T60" s="80" t="s">
        <v>449</v>
      </c>
      <c r="U60" s="84" t="str">
        <f>HYPERLINK("https://pbs.twimg.com/media/EsLob21VQAAdPsn.jpg")</f>
        <v>https://pbs.twimg.com/media/EsLob21VQAAdPsn.jpg</v>
      </c>
      <c r="V60" s="84" t="str">
        <f>HYPERLINK("https://pbs.twimg.com/media/EsLob21VQAAdPsn.jpg")</f>
        <v>https://pbs.twimg.com/media/EsLob21VQAAdPsn.jpg</v>
      </c>
      <c r="W60" s="82">
        <v>44220.68540509259</v>
      </c>
      <c r="X60" s="86">
        <v>44220</v>
      </c>
      <c r="Y60" s="88" t="s">
        <v>488</v>
      </c>
      <c r="Z60" s="84" t="str">
        <f>HYPERLINK("https://twitter.com/afreen50079461/status/1353378776885944320")</f>
        <v>https://twitter.com/afreen50079461/status/1353378776885944320</v>
      </c>
      <c r="AA60" s="80"/>
      <c r="AB60" s="80"/>
      <c r="AC60" s="88" t="s">
        <v>639</v>
      </c>
      <c r="AD60" s="80"/>
      <c r="AE60" s="80" t="b">
        <v>0</v>
      </c>
      <c r="AF60" s="80">
        <v>0</v>
      </c>
      <c r="AG60" s="88" t="s">
        <v>763</v>
      </c>
      <c r="AH60" s="80" t="b">
        <v>0</v>
      </c>
      <c r="AI60" s="80" t="s">
        <v>764</v>
      </c>
      <c r="AJ60" s="80"/>
      <c r="AK60" s="88" t="s">
        <v>763</v>
      </c>
      <c r="AL60" s="80" t="b">
        <v>0</v>
      </c>
      <c r="AM60" s="80">
        <v>3</v>
      </c>
      <c r="AN60" s="88" t="s">
        <v>658</v>
      </c>
      <c r="AO60" s="80" t="s">
        <v>765</v>
      </c>
      <c r="AP60" s="80" t="b">
        <v>0</v>
      </c>
      <c r="AQ60" s="88" t="s">
        <v>658</v>
      </c>
      <c r="AR60" s="80" t="s">
        <v>197</v>
      </c>
      <c r="AS60" s="80">
        <v>0</v>
      </c>
      <c r="AT60" s="80">
        <v>0</v>
      </c>
      <c r="AU60" s="80"/>
      <c r="AV60" s="80"/>
      <c r="AW60" s="80"/>
      <c r="AX60" s="80"/>
      <c r="AY60" s="80"/>
      <c r="AZ60" s="80"/>
      <c r="BA60" s="80"/>
      <c r="BB60" s="80"/>
      <c r="BC60">
        <v>1</v>
      </c>
      <c r="BD60" s="79" t="str">
        <f>REPLACE(INDEX(GroupVertices[Group],MATCH(Edges[[#This Row],[Vertex 1]],GroupVertices[Vertex],0)),1,1,"")</f>
        <v>9</v>
      </c>
      <c r="BE60" s="79" t="str">
        <f>REPLACE(INDEX(GroupVertices[Group],MATCH(Edges[[#This Row],[Vertex 2]],GroupVertices[Vertex],0)),1,1,"")</f>
        <v>9</v>
      </c>
      <c r="BF60" s="49">
        <v>2</v>
      </c>
      <c r="BG60" s="50">
        <v>5.882352941176471</v>
      </c>
      <c r="BH60" s="49">
        <v>0</v>
      </c>
      <c r="BI60" s="50">
        <v>0</v>
      </c>
      <c r="BJ60" s="49">
        <v>0</v>
      </c>
      <c r="BK60" s="50">
        <v>0</v>
      </c>
      <c r="BL60" s="49">
        <v>32</v>
      </c>
      <c r="BM60" s="50">
        <v>94.11764705882354</v>
      </c>
      <c r="BN60" s="49">
        <v>34</v>
      </c>
    </row>
    <row r="61" spans="1:66" ht="15">
      <c r="A61" s="65" t="s">
        <v>262</v>
      </c>
      <c r="B61" s="65" t="s">
        <v>271</v>
      </c>
      <c r="C61" s="66" t="s">
        <v>2153</v>
      </c>
      <c r="D61" s="67">
        <v>3</v>
      </c>
      <c r="E61" s="66" t="s">
        <v>132</v>
      </c>
      <c r="F61" s="69">
        <v>32</v>
      </c>
      <c r="G61" s="66"/>
      <c r="H61" s="70"/>
      <c r="I61" s="71"/>
      <c r="J61" s="71"/>
      <c r="K61" s="35" t="s">
        <v>65</v>
      </c>
      <c r="L61" s="72">
        <v>61</v>
      </c>
      <c r="M61" s="72"/>
      <c r="N61" s="73"/>
      <c r="O61" s="80" t="s">
        <v>351</v>
      </c>
      <c r="P61" s="82">
        <v>44220.68540509259</v>
      </c>
      <c r="Q61" s="80" t="s">
        <v>365</v>
      </c>
      <c r="R61" s="84" t="str">
        <f>HYPERLINK("https://www.tiess.online/registration?utm_source=SM&amp;utm_medium=Timmers&amp;utm_campaign=TIESS&amp;utm_term=022")</f>
        <v>https://www.tiess.online/registration?utm_source=SM&amp;utm_medium=Timmers&amp;utm_campaign=TIESS&amp;utm_term=022</v>
      </c>
      <c r="S61" s="80" t="s">
        <v>444</v>
      </c>
      <c r="T61" s="80" t="s">
        <v>449</v>
      </c>
      <c r="U61" s="84" t="str">
        <f>HYPERLINK("https://pbs.twimg.com/media/EsLob21VQAAdPsn.jpg")</f>
        <v>https://pbs.twimg.com/media/EsLob21VQAAdPsn.jpg</v>
      </c>
      <c r="V61" s="84" t="str">
        <f>HYPERLINK("https://pbs.twimg.com/media/EsLob21VQAAdPsn.jpg")</f>
        <v>https://pbs.twimg.com/media/EsLob21VQAAdPsn.jpg</v>
      </c>
      <c r="W61" s="82">
        <v>44220.68540509259</v>
      </c>
      <c r="X61" s="86">
        <v>44220</v>
      </c>
      <c r="Y61" s="88" t="s">
        <v>488</v>
      </c>
      <c r="Z61" s="84" t="str">
        <f>HYPERLINK("https://twitter.com/afreen50079461/status/1353378776885944320")</f>
        <v>https://twitter.com/afreen50079461/status/1353378776885944320</v>
      </c>
      <c r="AA61" s="80"/>
      <c r="AB61" s="80"/>
      <c r="AC61" s="88" t="s">
        <v>639</v>
      </c>
      <c r="AD61" s="80"/>
      <c r="AE61" s="80" t="b">
        <v>0</v>
      </c>
      <c r="AF61" s="80">
        <v>0</v>
      </c>
      <c r="AG61" s="88" t="s">
        <v>763</v>
      </c>
      <c r="AH61" s="80" t="b">
        <v>0</v>
      </c>
      <c r="AI61" s="80" t="s">
        <v>764</v>
      </c>
      <c r="AJ61" s="80"/>
      <c r="AK61" s="88" t="s">
        <v>763</v>
      </c>
      <c r="AL61" s="80" t="b">
        <v>0</v>
      </c>
      <c r="AM61" s="80">
        <v>3</v>
      </c>
      <c r="AN61" s="88" t="s">
        <v>658</v>
      </c>
      <c r="AO61" s="80" t="s">
        <v>765</v>
      </c>
      <c r="AP61" s="80" t="b">
        <v>0</v>
      </c>
      <c r="AQ61" s="88" t="s">
        <v>658</v>
      </c>
      <c r="AR61" s="80" t="s">
        <v>197</v>
      </c>
      <c r="AS61" s="80">
        <v>0</v>
      </c>
      <c r="AT61" s="80">
        <v>0</v>
      </c>
      <c r="AU61" s="80"/>
      <c r="AV61" s="80"/>
      <c r="AW61" s="80"/>
      <c r="AX61" s="80"/>
      <c r="AY61" s="80"/>
      <c r="AZ61" s="80"/>
      <c r="BA61" s="80"/>
      <c r="BB61" s="80"/>
      <c r="BC61">
        <v>1</v>
      </c>
      <c r="BD61" s="79" t="str">
        <f>REPLACE(INDEX(GroupVertices[Group],MATCH(Edges[[#This Row],[Vertex 1]],GroupVertices[Vertex],0)),1,1,"")</f>
        <v>9</v>
      </c>
      <c r="BE61" s="79" t="str">
        <f>REPLACE(INDEX(GroupVertices[Group],MATCH(Edges[[#This Row],[Vertex 2]],GroupVertices[Vertex],0)),1,1,"")</f>
        <v>1</v>
      </c>
      <c r="BF61" s="49"/>
      <c r="BG61" s="50"/>
      <c r="BH61" s="49"/>
      <c r="BI61" s="50"/>
      <c r="BJ61" s="49"/>
      <c r="BK61" s="50"/>
      <c r="BL61" s="49"/>
      <c r="BM61" s="50"/>
      <c r="BN61" s="49"/>
    </row>
    <row r="62" spans="1:66" ht="15">
      <c r="A62" s="65" t="s">
        <v>263</v>
      </c>
      <c r="B62" s="65" t="s">
        <v>288</v>
      </c>
      <c r="C62" s="66" t="s">
        <v>2153</v>
      </c>
      <c r="D62" s="67">
        <v>3</v>
      </c>
      <c r="E62" s="66" t="s">
        <v>132</v>
      </c>
      <c r="F62" s="69">
        <v>32</v>
      </c>
      <c r="G62" s="66"/>
      <c r="H62" s="70"/>
      <c r="I62" s="71"/>
      <c r="J62" s="71"/>
      <c r="K62" s="35" t="s">
        <v>65</v>
      </c>
      <c r="L62" s="72">
        <v>62</v>
      </c>
      <c r="M62" s="72"/>
      <c r="N62" s="73"/>
      <c r="O62" s="80" t="s">
        <v>352</v>
      </c>
      <c r="P62" s="82">
        <v>44220.772685185184</v>
      </c>
      <c r="Q62" s="80" t="s">
        <v>366</v>
      </c>
      <c r="R62" s="84" t="str">
        <f>HYPERLINK("https://www.tiess.online/registration?utm_source=Manjula&amp;utm_medium=SM&amp;utm_campaign=TIESS&amp;utm_term=035")</f>
        <v>https://www.tiess.online/registration?utm_source=Manjula&amp;utm_medium=SM&amp;utm_campaign=TIESS&amp;utm_term=035</v>
      </c>
      <c r="S62" s="80" t="s">
        <v>444</v>
      </c>
      <c r="T62" s="80" t="s">
        <v>450</v>
      </c>
      <c r="U62" s="84" t="str">
        <f>HYPERLINK("https://pbs.twimg.com/media/EsaYJWbUUAEqSrE.jpg")</f>
        <v>https://pbs.twimg.com/media/EsaYJWbUUAEqSrE.jpg</v>
      </c>
      <c r="V62" s="84" t="str">
        <f>HYPERLINK("https://pbs.twimg.com/media/EsaYJWbUUAEqSrE.jpg")</f>
        <v>https://pbs.twimg.com/media/EsaYJWbUUAEqSrE.jpg</v>
      </c>
      <c r="W62" s="82">
        <v>44220.772685185184</v>
      </c>
      <c r="X62" s="86">
        <v>44220</v>
      </c>
      <c r="Y62" s="88" t="s">
        <v>489</v>
      </c>
      <c r="Z62" s="84" t="str">
        <f>HYPERLINK("https://twitter.com/educatelanka/status/1353410403955482631")</f>
        <v>https://twitter.com/educatelanka/status/1353410403955482631</v>
      </c>
      <c r="AA62" s="80"/>
      <c r="AB62" s="80"/>
      <c r="AC62" s="88" t="s">
        <v>640</v>
      </c>
      <c r="AD62" s="80"/>
      <c r="AE62" s="80" t="b">
        <v>0</v>
      </c>
      <c r="AF62" s="80">
        <v>0</v>
      </c>
      <c r="AG62" s="88" t="s">
        <v>763</v>
      </c>
      <c r="AH62" s="80" t="b">
        <v>0</v>
      </c>
      <c r="AI62" s="80" t="s">
        <v>764</v>
      </c>
      <c r="AJ62" s="80"/>
      <c r="AK62" s="88" t="s">
        <v>763</v>
      </c>
      <c r="AL62" s="80" t="b">
        <v>0</v>
      </c>
      <c r="AM62" s="80">
        <v>2</v>
      </c>
      <c r="AN62" s="88" t="s">
        <v>707</v>
      </c>
      <c r="AO62" s="80" t="s">
        <v>765</v>
      </c>
      <c r="AP62" s="80" t="b">
        <v>0</v>
      </c>
      <c r="AQ62" s="88" t="s">
        <v>707</v>
      </c>
      <c r="AR62" s="80" t="s">
        <v>197</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9">
        <v>1</v>
      </c>
      <c r="BG62" s="50">
        <v>3.5714285714285716</v>
      </c>
      <c r="BH62" s="49">
        <v>0</v>
      </c>
      <c r="BI62" s="50">
        <v>0</v>
      </c>
      <c r="BJ62" s="49">
        <v>0</v>
      </c>
      <c r="BK62" s="50">
        <v>0</v>
      </c>
      <c r="BL62" s="49">
        <v>27</v>
      </c>
      <c r="BM62" s="50">
        <v>96.42857142857143</v>
      </c>
      <c r="BN62" s="49">
        <v>28</v>
      </c>
    </row>
    <row r="63" spans="1:66" ht="15">
      <c r="A63" s="65" t="s">
        <v>263</v>
      </c>
      <c r="B63" s="65" t="s">
        <v>271</v>
      </c>
      <c r="C63" s="66" t="s">
        <v>2153</v>
      </c>
      <c r="D63" s="67">
        <v>3</v>
      </c>
      <c r="E63" s="66" t="s">
        <v>132</v>
      </c>
      <c r="F63" s="69">
        <v>32</v>
      </c>
      <c r="G63" s="66"/>
      <c r="H63" s="70"/>
      <c r="I63" s="71"/>
      <c r="J63" s="71"/>
      <c r="K63" s="35" t="s">
        <v>65</v>
      </c>
      <c r="L63" s="72">
        <v>63</v>
      </c>
      <c r="M63" s="72"/>
      <c r="N63" s="73"/>
      <c r="O63" s="80" t="s">
        <v>351</v>
      </c>
      <c r="P63" s="82">
        <v>44220.772685185184</v>
      </c>
      <c r="Q63" s="80" t="s">
        <v>366</v>
      </c>
      <c r="R63" s="84" t="str">
        <f>HYPERLINK("https://www.tiess.online/registration?utm_source=Manjula&amp;utm_medium=SM&amp;utm_campaign=TIESS&amp;utm_term=035")</f>
        <v>https://www.tiess.online/registration?utm_source=Manjula&amp;utm_medium=SM&amp;utm_campaign=TIESS&amp;utm_term=035</v>
      </c>
      <c r="S63" s="80" t="s">
        <v>444</v>
      </c>
      <c r="T63" s="80" t="s">
        <v>450</v>
      </c>
      <c r="U63" s="84" t="str">
        <f>HYPERLINK("https://pbs.twimg.com/media/EsaYJWbUUAEqSrE.jpg")</f>
        <v>https://pbs.twimg.com/media/EsaYJWbUUAEqSrE.jpg</v>
      </c>
      <c r="V63" s="84" t="str">
        <f>HYPERLINK("https://pbs.twimg.com/media/EsaYJWbUUAEqSrE.jpg")</f>
        <v>https://pbs.twimg.com/media/EsaYJWbUUAEqSrE.jpg</v>
      </c>
      <c r="W63" s="82">
        <v>44220.772685185184</v>
      </c>
      <c r="X63" s="86">
        <v>44220</v>
      </c>
      <c r="Y63" s="88" t="s">
        <v>489</v>
      </c>
      <c r="Z63" s="84" t="str">
        <f>HYPERLINK("https://twitter.com/educatelanka/status/1353410403955482631")</f>
        <v>https://twitter.com/educatelanka/status/1353410403955482631</v>
      </c>
      <c r="AA63" s="80"/>
      <c r="AB63" s="80"/>
      <c r="AC63" s="88" t="s">
        <v>640</v>
      </c>
      <c r="AD63" s="80"/>
      <c r="AE63" s="80" t="b">
        <v>0</v>
      </c>
      <c r="AF63" s="80">
        <v>0</v>
      </c>
      <c r="AG63" s="88" t="s">
        <v>763</v>
      </c>
      <c r="AH63" s="80" t="b">
        <v>0</v>
      </c>
      <c r="AI63" s="80" t="s">
        <v>764</v>
      </c>
      <c r="AJ63" s="80"/>
      <c r="AK63" s="88" t="s">
        <v>763</v>
      </c>
      <c r="AL63" s="80" t="b">
        <v>0</v>
      </c>
      <c r="AM63" s="80">
        <v>2</v>
      </c>
      <c r="AN63" s="88" t="s">
        <v>707</v>
      </c>
      <c r="AO63" s="80" t="s">
        <v>765</v>
      </c>
      <c r="AP63" s="80" t="b">
        <v>0</v>
      </c>
      <c r="AQ63" s="88" t="s">
        <v>707</v>
      </c>
      <c r="AR63" s="80" t="s">
        <v>197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264</v>
      </c>
      <c r="B64" s="65" t="s">
        <v>311</v>
      </c>
      <c r="C64" s="66" t="s">
        <v>2153</v>
      </c>
      <c r="D64" s="67">
        <v>3</v>
      </c>
      <c r="E64" s="66" t="s">
        <v>132</v>
      </c>
      <c r="F64" s="69">
        <v>32</v>
      </c>
      <c r="G64" s="66"/>
      <c r="H64" s="70"/>
      <c r="I64" s="71"/>
      <c r="J64" s="71"/>
      <c r="K64" s="35" t="s">
        <v>65</v>
      </c>
      <c r="L64" s="72">
        <v>64</v>
      </c>
      <c r="M64" s="72"/>
      <c r="N64" s="73"/>
      <c r="O64" s="80" t="s">
        <v>353</v>
      </c>
      <c r="P64" s="82">
        <v>44221.325277777774</v>
      </c>
      <c r="Q64" s="80" t="s">
        <v>367</v>
      </c>
      <c r="R64" s="80" t="s">
        <v>441</v>
      </c>
      <c r="S64" s="80" t="s">
        <v>446</v>
      </c>
      <c r="T64" s="80" t="s">
        <v>452</v>
      </c>
      <c r="U64" s="80"/>
      <c r="V64" s="84" t="str">
        <f>HYPERLINK("https://pbs.twimg.com/profile_images/912616865574219776/s0G4kIoM_normal.jpg")</f>
        <v>https://pbs.twimg.com/profile_images/912616865574219776/s0G4kIoM_normal.jpg</v>
      </c>
      <c r="W64" s="82">
        <v>44221.325277777774</v>
      </c>
      <c r="X64" s="86">
        <v>44221</v>
      </c>
      <c r="Y64" s="88" t="s">
        <v>490</v>
      </c>
      <c r="Z64" s="84" t="str">
        <f>HYPERLINK("https://twitter.com/tcs_ion/status/1353610656533028868")</f>
        <v>https://twitter.com/tcs_ion/status/1353610656533028868</v>
      </c>
      <c r="AA64" s="80"/>
      <c r="AB64" s="80"/>
      <c r="AC64" s="88" t="s">
        <v>641</v>
      </c>
      <c r="AD64" s="80"/>
      <c r="AE64" s="80" t="b">
        <v>0</v>
      </c>
      <c r="AF64" s="80">
        <v>2</v>
      </c>
      <c r="AG64" s="88" t="s">
        <v>763</v>
      </c>
      <c r="AH64" s="80" t="b">
        <v>1</v>
      </c>
      <c r="AI64" s="80" t="s">
        <v>764</v>
      </c>
      <c r="AJ64" s="80"/>
      <c r="AK64" s="88" t="s">
        <v>722</v>
      </c>
      <c r="AL64" s="80" t="b">
        <v>0</v>
      </c>
      <c r="AM64" s="80">
        <v>0</v>
      </c>
      <c r="AN64" s="88" t="s">
        <v>763</v>
      </c>
      <c r="AO64" s="80" t="s">
        <v>765</v>
      </c>
      <c r="AP64" s="80" t="b">
        <v>0</v>
      </c>
      <c r="AQ64" s="88" t="s">
        <v>641</v>
      </c>
      <c r="AR64" s="80" t="s">
        <v>197</v>
      </c>
      <c r="AS64" s="80">
        <v>0</v>
      </c>
      <c r="AT64" s="80">
        <v>0</v>
      </c>
      <c r="AU64" s="80"/>
      <c r="AV64" s="80"/>
      <c r="AW64" s="80"/>
      <c r="AX64" s="80"/>
      <c r="AY64" s="80"/>
      <c r="AZ64" s="80"/>
      <c r="BA64" s="80"/>
      <c r="BB64" s="80"/>
      <c r="BC64">
        <v>1</v>
      </c>
      <c r="BD64" s="79" t="str">
        <f>REPLACE(INDEX(GroupVertices[Group],MATCH(Edges[[#This Row],[Vertex 1]],GroupVertices[Vertex],0)),1,1,"")</f>
        <v>8</v>
      </c>
      <c r="BE64" s="79" t="str">
        <f>REPLACE(INDEX(GroupVertices[Group],MATCH(Edges[[#This Row],[Vertex 2]],GroupVertices[Vertex],0)),1,1,"")</f>
        <v>8</v>
      </c>
      <c r="BF64" s="49"/>
      <c r="BG64" s="50"/>
      <c r="BH64" s="49"/>
      <c r="BI64" s="50"/>
      <c r="BJ64" s="49"/>
      <c r="BK64" s="50"/>
      <c r="BL64" s="49"/>
      <c r="BM64" s="50"/>
      <c r="BN64" s="49"/>
    </row>
    <row r="65" spans="1:66" ht="15">
      <c r="A65" s="65" t="s">
        <v>264</v>
      </c>
      <c r="B65" s="65" t="s">
        <v>312</v>
      </c>
      <c r="C65" s="66" t="s">
        <v>2153</v>
      </c>
      <c r="D65" s="67">
        <v>3</v>
      </c>
      <c r="E65" s="66" t="s">
        <v>132</v>
      </c>
      <c r="F65" s="69">
        <v>32</v>
      </c>
      <c r="G65" s="66"/>
      <c r="H65" s="70"/>
      <c r="I65" s="71"/>
      <c r="J65" s="71"/>
      <c r="K65" s="35" t="s">
        <v>65</v>
      </c>
      <c r="L65" s="72">
        <v>65</v>
      </c>
      <c r="M65" s="72"/>
      <c r="N65" s="73"/>
      <c r="O65" s="80" t="s">
        <v>353</v>
      </c>
      <c r="P65" s="82">
        <v>44221.325277777774</v>
      </c>
      <c r="Q65" s="80" t="s">
        <v>367</v>
      </c>
      <c r="R65" s="80" t="s">
        <v>441</v>
      </c>
      <c r="S65" s="80" t="s">
        <v>446</v>
      </c>
      <c r="T65" s="80" t="s">
        <v>452</v>
      </c>
      <c r="U65" s="80"/>
      <c r="V65" s="84" t="str">
        <f>HYPERLINK("https://pbs.twimg.com/profile_images/912616865574219776/s0G4kIoM_normal.jpg")</f>
        <v>https://pbs.twimg.com/profile_images/912616865574219776/s0G4kIoM_normal.jpg</v>
      </c>
      <c r="W65" s="82">
        <v>44221.325277777774</v>
      </c>
      <c r="X65" s="86">
        <v>44221</v>
      </c>
      <c r="Y65" s="88" t="s">
        <v>490</v>
      </c>
      <c r="Z65" s="84" t="str">
        <f>HYPERLINK("https://twitter.com/tcs_ion/status/1353610656533028868")</f>
        <v>https://twitter.com/tcs_ion/status/1353610656533028868</v>
      </c>
      <c r="AA65" s="80"/>
      <c r="AB65" s="80"/>
      <c r="AC65" s="88" t="s">
        <v>641</v>
      </c>
      <c r="AD65" s="80"/>
      <c r="AE65" s="80" t="b">
        <v>0</v>
      </c>
      <c r="AF65" s="80">
        <v>2</v>
      </c>
      <c r="AG65" s="88" t="s">
        <v>763</v>
      </c>
      <c r="AH65" s="80" t="b">
        <v>1</v>
      </c>
      <c r="AI65" s="80" t="s">
        <v>764</v>
      </c>
      <c r="AJ65" s="80"/>
      <c r="AK65" s="88" t="s">
        <v>722</v>
      </c>
      <c r="AL65" s="80" t="b">
        <v>0</v>
      </c>
      <c r="AM65" s="80">
        <v>0</v>
      </c>
      <c r="AN65" s="88" t="s">
        <v>763</v>
      </c>
      <c r="AO65" s="80" t="s">
        <v>765</v>
      </c>
      <c r="AP65" s="80" t="b">
        <v>0</v>
      </c>
      <c r="AQ65" s="88" t="s">
        <v>641</v>
      </c>
      <c r="AR65" s="80" t="s">
        <v>197</v>
      </c>
      <c r="AS65" s="80">
        <v>0</v>
      </c>
      <c r="AT65" s="80">
        <v>0</v>
      </c>
      <c r="AU65" s="80"/>
      <c r="AV65" s="80"/>
      <c r="AW65" s="80"/>
      <c r="AX65" s="80"/>
      <c r="AY65" s="80"/>
      <c r="AZ65" s="80"/>
      <c r="BA65" s="80"/>
      <c r="BB65" s="80"/>
      <c r="BC65">
        <v>1</v>
      </c>
      <c r="BD65" s="79" t="str">
        <f>REPLACE(INDEX(GroupVertices[Group],MATCH(Edges[[#This Row],[Vertex 1]],GroupVertices[Vertex],0)),1,1,"")</f>
        <v>8</v>
      </c>
      <c r="BE65" s="79" t="str">
        <f>REPLACE(INDEX(GroupVertices[Group],MATCH(Edges[[#This Row],[Vertex 2]],GroupVertices[Vertex],0)),1,1,"")</f>
        <v>8</v>
      </c>
      <c r="BF65" s="49">
        <v>0</v>
      </c>
      <c r="BG65" s="50">
        <v>0</v>
      </c>
      <c r="BH65" s="49">
        <v>1</v>
      </c>
      <c r="BI65" s="50">
        <v>2.5</v>
      </c>
      <c r="BJ65" s="49">
        <v>0</v>
      </c>
      <c r="BK65" s="50">
        <v>0</v>
      </c>
      <c r="BL65" s="49">
        <v>39</v>
      </c>
      <c r="BM65" s="50">
        <v>97.5</v>
      </c>
      <c r="BN65" s="49">
        <v>40</v>
      </c>
    </row>
    <row r="66" spans="1:66" ht="15">
      <c r="A66" s="65" t="s">
        <v>265</v>
      </c>
      <c r="B66" s="65" t="s">
        <v>264</v>
      </c>
      <c r="C66" s="66" t="s">
        <v>2153</v>
      </c>
      <c r="D66" s="67">
        <v>3</v>
      </c>
      <c r="E66" s="66" t="s">
        <v>132</v>
      </c>
      <c r="F66" s="69">
        <v>32</v>
      </c>
      <c r="G66" s="66"/>
      <c r="H66" s="70"/>
      <c r="I66" s="71"/>
      <c r="J66" s="71"/>
      <c r="K66" s="35" t="s">
        <v>65</v>
      </c>
      <c r="L66" s="72">
        <v>66</v>
      </c>
      <c r="M66" s="72"/>
      <c r="N66" s="73"/>
      <c r="O66" s="80" t="s">
        <v>351</v>
      </c>
      <c r="P66" s="82">
        <v>44221.34082175926</v>
      </c>
      <c r="Q66" s="80" t="s">
        <v>368</v>
      </c>
      <c r="R66" s="84" t="str">
        <f>HYPERLINK("https://twitter.com/Indiadidac/status/1353586348117028867")</f>
        <v>https://twitter.com/Indiadidac/status/1353586348117028867</v>
      </c>
      <c r="S66" s="80" t="s">
        <v>445</v>
      </c>
      <c r="T66" s="80" t="s">
        <v>453</v>
      </c>
      <c r="U66" s="80"/>
      <c r="V66" s="84" t="str">
        <f>HYPERLINK("https://pbs.twimg.com/profile_images/1277453468173651968/fwzxOFm3_normal.jpg")</f>
        <v>https://pbs.twimg.com/profile_images/1277453468173651968/fwzxOFm3_normal.jpg</v>
      </c>
      <c r="W66" s="82">
        <v>44221.34082175926</v>
      </c>
      <c r="X66" s="86">
        <v>44221</v>
      </c>
      <c r="Y66" s="88" t="s">
        <v>491</v>
      </c>
      <c r="Z66" s="84" t="str">
        <f>HYPERLINK("https://twitter.com/ashokamane/status/1353616290334695429")</f>
        <v>https://twitter.com/ashokamane/status/1353616290334695429</v>
      </c>
      <c r="AA66" s="80"/>
      <c r="AB66" s="80"/>
      <c r="AC66" s="88" t="s">
        <v>642</v>
      </c>
      <c r="AD66" s="80"/>
      <c r="AE66" s="80" t="b">
        <v>0</v>
      </c>
      <c r="AF66" s="80">
        <v>0</v>
      </c>
      <c r="AG66" s="88" t="s">
        <v>763</v>
      </c>
      <c r="AH66" s="80" t="b">
        <v>1</v>
      </c>
      <c r="AI66" s="80" t="s">
        <v>764</v>
      </c>
      <c r="AJ66" s="80"/>
      <c r="AK66" s="88" t="s">
        <v>718</v>
      </c>
      <c r="AL66" s="80" t="b">
        <v>0</v>
      </c>
      <c r="AM66" s="80">
        <v>1</v>
      </c>
      <c r="AN66" s="88" t="s">
        <v>721</v>
      </c>
      <c r="AO66" s="80" t="s">
        <v>767</v>
      </c>
      <c r="AP66" s="80" t="b">
        <v>0</v>
      </c>
      <c r="AQ66" s="88" t="s">
        <v>721</v>
      </c>
      <c r="AR66" s="80" t="s">
        <v>197</v>
      </c>
      <c r="AS66" s="80">
        <v>0</v>
      </c>
      <c r="AT66" s="80">
        <v>0</v>
      </c>
      <c r="AU66" s="80"/>
      <c r="AV66" s="80"/>
      <c r="AW66" s="80"/>
      <c r="AX66" s="80"/>
      <c r="AY66" s="80"/>
      <c r="AZ66" s="80"/>
      <c r="BA66" s="80"/>
      <c r="BB66" s="80"/>
      <c r="BC66">
        <v>1</v>
      </c>
      <c r="BD66" s="79" t="str">
        <f>REPLACE(INDEX(GroupVertices[Group],MATCH(Edges[[#This Row],[Vertex 1]],GroupVertices[Vertex],0)),1,1,"")</f>
        <v>8</v>
      </c>
      <c r="BE66" s="79" t="str">
        <f>REPLACE(INDEX(GroupVertices[Group],MATCH(Edges[[#This Row],[Vertex 2]],GroupVertices[Vertex],0)),1,1,"")</f>
        <v>8</v>
      </c>
      <c r="BF66" s="49">
        <v>1</v>
      </c>
      <c r="BG66" s="50">
        <v>3.125</v>
      </c>
      <c r="BH66" s="49">
        <v>0</v>
      </c>
      <c r="BI66" s="50">
        <v>0</v>
      </c>
      <c r="BJ66" s="49">
        <v>0</v>
      </c>
      <c r="BK66" s="50">
        <v>0</v>
      </c>
      <c r="BL66" s="49">
        <v>31</v>
      </c>
      <c r="BM66" s="50">
        <v>96.875</v>
      </c>
      <c r="BN66" s="49">
        <v>32</v>
      </c>
    </row>
    <row r="67" spans="1:66" ht="15">
      <c r="A67" s="65" t="s">
        <v>266</v>
      </c>
      <c r="B67" s="65" t="s">
        <v>271</v>
      </c>
      <c r="C67" s="66" t="s">
        <v>2153</v>
      </c>
      <c r="D67" s="67">
        <v>3</v>
      </c>
      <c r="E67" s="66" t="s">
        <v>132</v>
      </c>
      <c r="F67" s="69">
        <v>32</v>
      </c>
      <c r="G67" s="66"/>
      <c r="H67" s="70"/>
      <c r="I67" s="71"/>
      <c r="J67" s="71"/>
      <c r="K67" s="35" t="s">
        <v>65</v>
      </c>
      <c r="L67" s="72">
        <v>67</v>
      </c>
      <c r="M67" s="72"/>
      <c r="N67" s="73"/>
      <c r="O67" s="80" t="s">
        <v>351</v>
      </c>
      <c r="P67" s="82">
        <v>44221.556296296294</v>
      </c>
      <c r="Q67" s="80" t="s">
        <v>369</v>
      </c>
      <c r="R67" s="80"/>
      <c r="S67" s="80"/>
      <c r="T67" s="80" t="s">
        <v>454</v>
      </c>
      <c r="U67" s="84" t="str">
        <f>HYPERLINK("https://pbs.twimg.com/media/EskiR9xVEAYLaX3.jpg")</f>
        <v>https://pbs.twimg.com/media/EskiR9xVEAYLaX3.jpg</v>
      </c>
      <c r="V67" s="84" t="str">
        <f>HYPERLINK("https://pbs.twimg.com/media/EskiR9xVEAYLaX3.jpg")</f>
        <v>https://pbs.twimg.com/media/EskiR9xVEAYLaX3.jpg</v>
      </c>
      <c r="W67" s="82">
        <v>44221.556296296294</v>
      </c>
      <c r="X67" s="86">
        <v>44221</v>
      </c>
      <c r="Y67" s="88" t="s">
        <v>492</v>
      </c>
      <c r="Z67" s="84" t="str">
        <f>HYPERLINK("https://twitter.com/tweeteretta/status/1353694374698344448")</f>
        <v>https://twitter.com/tweeteretta/status/1353694374698344448</v>
      </c>
      <c r="AA67" s="80"/>
      <c r="AB67" s="80"/>
      <c r="AC67" s="88" t="s">
        <v>643</v>
      </c>
      <c r="AD67" s="80"/>
      <c r="AE67" s="80" t="b">
        <v>0</v>
      </c>
      <c r="AF67" s="80">
        <v>0</v>
      </c>
      <c r="AG67" s="88" t="s">
        <v>763</v>
      </c>
      <c r="AH67" s="80" t="b">
        <v>0</v>
      </c>
      <c r="AI67" s="80" t="s">
        <v>764</v>
      </c>
      <c r="AJ67" s="80"/>
      <c r="AK67" s="88" t="s">
        <v>763</v>
      </c>
      <c r="AL67" s="80" t="b">
        <v>0</v>
      </c>
      <c r="AM67" s="80">
        <v>2</v>
      </c>
      <c r="AN67" s="88" t="s">
        <v>754</v>
      </c>
      <c r="AO67" s="80" t="s">
        <v>766</v>
      </c>
      <c r="AP67" s="80" t="b">
        <v>0</v>
      </c>
      <c r="AQ67" s="88" t="s">
        <v>754</v>
      </c>
      <c r="AR67" s="80" t="s">
        <v>197</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9">
        <v>2</v>
      </c>
      <c r="BG67" s="50">
        <v>5.555555555555555</v>
      </c>
      <c r="BH67" s="49">
        <v>0</v>
      </c>
      <c r="BI67" s="50">
        <v>0</v>
      </c>
      <c r="BJ67" s="49">
        <v>0</v>
      </c>
      <c r="BK67" s="50">
        <v>0</v>
      </c>
      <c r="BL67" s="49">
        <v>34</v>
      </c>
      <c r="BM67" s="50">
        <v>94.44444444444444</v>
      </c>
      <c r="BN67" s="49">
        <v>36</v>
      </c>
    </row>
    <row r="68" spans="1:66" ht="15">
      <c r="A68" s="65" t="s">
        <v>267</v>
      </c>
      <c r="B68" s="65" t="s">
        <v>310</v>
      </c>
      <c r="C68" s="66" t="s">
        <v>2153</v>
      </c>
      <c r="D68" s="67">
        <v>3</v>
      </c>
      <c r="E68" s="66" t="s">
        <v>132</v>
      </c>
      <c r="F68" s="69">
        <v>32</v>
      </c>
      <c r="G68" s="66"/>
      <c r="H68" s="70"/>
      <c r="I68" s="71"/>
      <c r="J68" s="71"/>
      <c r="K68" s="35" t="s">
        <v>65</v>
      </c>
      <c r="L68" s="72">
        <v>68</v>
      </c>
      <c r="M68" s="72"/>
      <c r="N68" s="73"/>
      <c r="O68" s="80" t="s">
        <v>352</v>
      </c>
      <c r="P68" s="82">
        <v>44221.73369212963</v>
      </c>
      <c r="Q68" s="80" t="s">
        <v>365</v>
      </c>
      <c r="R68" s="84" t="str">
        <f>HYPERLINK("https://www.tiess.online/registration?utm_source=SM&amp;utm_medium=Timmers&amp;utm_campaign=TIESS&amp;utm_term=022")</f>
        <v>https://www.tiess.online/registration?utm_source=SM&amp;utm_medium=Timmers&amp;utm_campaign=TIESS&amp;utm_term=022</v>
      </c>
      <c r="S68" s="80" t="s">
        <v>444</v>
      </c>
      <c r="T68" s="80" t="s">
        <v>449</v>
      </c>
      <c r="U68" s="84" t="str">
        <f>HYPERLINK("https://pbs.twimg.com/media/EsLob21VQAAdPsn.jpg")</f>
        <v>https://pbs.twimg.com/media/EsLob21VQAAdPsn.jpg</v>
      </c>
      <c r="V68" s="84" t="str">
        <f>HYPERLINK("https://pbs.twimg.com/media/EsLob21VQAAdPsn.jpg")</f>
        <v>https://pbs.twimg.com/media/EsLob21VQAAdPsn.jpg</v>
      </c>
      <c r="W68" s="82">
        <v>44221.73369212963</v>
      </c>
      <c r="X68" s="86">
        <v>44221</v>
      </c>
      <c r="Y68" s="88" t="s">
        <v>493</v>
      </c>
      <c r="Z68" s="84" t="str">
        <f>HYPERLINK("https://twitter.com/debijules/status/1353758661160562688")</f>
        <v>https://twitter.com/debijules/status/1353758661160562688</v>
      </c>
      <c r="AA68" s="80"/>
      <c r="AB68" s="80"/>
      <c r="AC68" s="88" t="s">
        <v>644</v>
      </c>
      <c r="AD68" s="80"/>
      <c r="AE68" s="80" t="b">
        <v>0</v>
      </c>
      <c r="AF68" s="80">
        <v>0</v>
      </c>
      <c r="AG68" s="88" t="s">
        <v>763</v>
      </c>
      <c r="AH68" s="80" t="b">
        <v>0</v>
      </c>
      <c r="AI68" s="80" t="s">
        <v>764</v>
      </c>
      <c r="AJ68" s="80"/>
      <c r="AK68" s="88" t="s">
        <v>763</v>
      </c>
      <c r="AL68" s="80" t="b">
        <v>0</v>
      </c>
      <c r="AM68" s="80">
        <v>3</v>
      </c>
      <c r="AN68" s="88" t="s">
        <v>658</v>
      </c>
      <c r="AO68" s="80" t="s">
        <v>765</v>
      </c>
      <c r="AP68" s="80" t="b">
        <v>0</v>
      </c>
      <c r="AQ68" s="88" t="s">
        <v>658</v>
      </c>
      <c r="AR68" s="80" t="s">
        <v>197</v>
      </c>
      <c r="AS68" s="80">
        <v>0</v>
      </c>
      <c r="AT68" s="80">
        <v>0</v>
      </c>
      <c r="AU68" s="80"/>
      <c r="AV68" s="80"/>
      <c r="AW68" s="80"/>
      <c r="AX68" s="80"/>
      <c r="AY68" s="80"/>
      <c r="AZ68" s="80"/>
      <c r="BA68" s="80"/>
      <c r="BB68" s="80"/>
      <c r="BC68">
        <v>1</v>
      </c>
      <c r="BD68" s="79" t="str">
        <f>REPLACE(INDEX(GroupVertices[Group],MATCH(Edges[[#This Row],[Vertex 1]],GroupVertices[Vertex],0)),1,1,"")</f>
        <v>9</v>
      </c>
      <c r="BE68" s="79" t="str">
        <f>REPLACE(INDEX(GroupVertices[Group],MATCH(Edges[[#This Row],[Vertex 2]],GroupVertices[Vertex],0)),1,1,"")</f>
        <v>9</v>
      </c>
      <c r="BF68" s="49"/>
      <c r="BG68" s="50"/>
      <c r="BH68" s="49"/>
      <c r="BI68" s="50"/>
      <c r="BJ68" s="49"/>
      <c r="BK68" s="50"/>
      <c r="BL68" s="49"/>
      <c r="BM68" s="50"/>
      <c r="BN68" s="49"/>
    </row>
    <row r="69" spans="1:66" ht="15">
      <c r="A69" s="65" t="s">
        <v>267</v>
      </c>
      <c r="B69" s="65" t="s">
        <v>275</v>
      </c>
      <c r="C69" s="66" t="s">
        <v>2153</v>
      </c>
      <c r="D69" s="67">
        <v>3</v>
      </c>
      <c r="E69" s="66" t="s">
        <v>132</v>
      </c>
      <c r="F69" s="69">
        <v>32</v>
      </c>
      <c r="G69" s="66"/>
      <c r="H69" s="70"/>
      <c r="I69" s="71"/>
      <c r="J69" s="71"/>
      <c r="K69" s="35" t="s">
        <v>65</v>
      </c>
      <c r="L69" s="72">
        <v>69</v>
      </c>
      <c r="M69" s="72"/>
      <c r="N69" s="73"/>
      <c r="O69" s="80" t="s">
        <v>352</v>
      </c>
      <c r="P69" s="82">
        <v>44221.73369212963</v>
      </c>
      <c r="Q69" s="80" t="s">
        <v>365</v>
      </c>
      <c r="R69" s="84" t="str">
        <f>HYPERLINK("https://www.tiess.online/registration?utm_source=SM&amp;utm_medium=Timmers&amp;utm_campaign=TIESS&amp;utm_term=022")</f>
        <v>https://www.tiess.online/registration?utm_source=SM&amp;utm_medium=Timmers&amp;utm_campaign=TIESS&amp;utm_term=022</v>
      </c>
      <c r="S69" s="80" t="s">
        <v>444</v>
      </c>
      <c r="T69" s="80" t="s">
        <v>449</v>
      </c>
      <c r="U69" s="84" t="str">
        <f>HYPERLINK("https://pbs.twimg.com/media/EsLob21VQAAdPsn.jpg")</f>
        <v>https://pbs.twimg.com/media/EsLob21VQAAdPsn.jpg</v>
      </c>
      <c r="V69" s="84" t="str">
        <f>HYPERLINK("https://pbs.twimg.com/media/EsLob21VQAAdPsn.jpg")</f>
        <v>https://pbs.twimg.com/media/EsLob21VQAAdPsn.jpg</v>
      </c>
      <c r="W69" s="82">
        <v>44221.73369212963</v>
      </c>
      <c r="X69" s="86">
        <v>44221</v>
      </c>
      <c r="Y69" s="88" t="s">
        <v>493</v>
      </c>
      <c r="Z69" s="84" t="str">
        <f>HYPERLINK("https://twitter.com/debijules/status/1353758661160562688")</f>
        <v>https://twitter.com/debijules/status/1353758661160562688</v>
      </c>
      <c r="AA69" s="80"/>
      <c r="AB69" s="80"/>
      <c r="AC69" s="88" t="s">
        <v>644</v>
      </c>
      <c r="AD69" s="80"/>
      <c r="AE69" s="80" t="b">
        <v>0</v>
      </c>
      <c r="AF69" s="80">
        <v>0</v>
      </c>
      <c r="AG69" s="88" t="s">
        <v>763</v>
      </c>
      <c r="AH69" s="80" t="b">
        <v>0</v>
      </c>
      <c r="AI69" s="80" t="s">
        <v>764</v>
      </c>
      <c r="AJ69" s="80"/>
      <c r="AK69" s="88" t="s">
        <v>763</v>
      </c>
      <c r="AL69" s="80" t="b">
        <v>0</v>
      </c>
      <c r="AM69" s="80">
        <v>3</v>
      </c>
      <c r="AN69" s="88" t="s">
        <v>658</v>
      </c>
      <c r="AO69" s="80" t="s">
        <v>765</v>
      </c>
      <c r="AP69" s="80" t="b">
        <v>0</v>
      </c>
      <c r="AQ69" s="88" t="s">
        <v>658</v>
      </c>
      <c r="AR69" s="80" t="s">
        <v>197</v>
      </c>
      <c r="AS69" s="80">
        <v>0</v>
      </c>
      <c r="AT69" s="80">
        <v>0</v>
      </c>
      <c r="AU69" s="80"/>
      <c r="AV69" s="80"/>
      <c r="AW69" s="80"/>
      <c r="AX69" s="80"/>
      <c r="AY69" s="80"/>
      <c r="AZ69" s="80"/>
      <c r="BA69" s="80"/>
      <c r="BB69" s="80"/>
      <c r="BC69">
        <v>1</v>
      </c>
      <c r="BD69" s="79" t="str">
        <f>REPLACE(INDEX(GroupVertices[Group],MATCH(Edges[[#This Row],[Vertex 1]],GroupVertices[Vertex],0)),1,1,"")</f>
        <v>9</v>
      </c>
      <c r="BE69" s="79" t="str">
        <f>REPLACE(INDEX(GroupVertices[Group],MATCH(Edges[[#This Row],[Vertex 2]],GroupVertices[Vertex],0)),1,1,"")</f>
        <v>9</v>
      </c>
      <c r="BF69" s="49"/>
      <c r="BG69" s="50"/>
      <c r="BH69" s="49"/>
      <c r="BI69" s="50"/>
      <c r="BJ69" s="49"/>
      <c r="BK69" s="50"/>
      <c r="BL69" s="49"/>
      <c r="BM69" s="50"/>
      <c r="BN69" s="49"/>
    </row>
    <row r="70" spans="1:66" ht="15">
      <c r="A70" s="65" t="s">
        <v>267</v>
      </c>
      <c r="B70" s="65" t="s">
        <v>271</v>
      </c>
      <c r="C70" s="66" t="s">
        <v>2153</v>
      </c>
      <c r="D70" s="67">
        <v>3</v>
      </c>
      <c r="E70" s="66" t="s">
        <v>132</v>
      </c>
      <c r="F70" s="69">
        <v>32</v>
      </c>
      <c r="G70" s="66"/>
      <c r="H70" s="70"/>
      <c r="I70" s="71"/>
      <c r="J70" s="71"/>
      <c r="K70" s="35" t="s">
        <v>65</v>
      </c>
      <c r="L70" s="72">
        <v>70</v>
      </c>
      <c r="M70" s="72"/>
      <c r="N70" s="73"/>
      <c r="O70" s="80" t="s">
        <v>351</v>
      </c>
      <c r="P70" s="82">
        <v>44221.73369212963</v>
      </c>
      <c r="Q70" s="80" t="s">
        <v>365</v>
      </c>
      <c r="R70" s="84" t="str">
        <f>HYPERLINK("https://www.tiess.online/registration?utm_source=SM&amp;utm_medium=Timmers&amp;utm_campaign=TIESS&amp;utm_term=022")</f>
        <v>https://www.tiess.online/registration?utm_source=SM&amp;utm_medium=Timmers&amp;utm_campaign=TIESS&amp;utm_term=022</v>
      </c>
      <c r="S70" s="80" t="s">
        <v>444</v>
      </c>
      <c r="T70" s="80" t="s">
        <v>449</v>
      </c>
      <c r="U70" s="84" t="str">
        <f>HYPERLINK("https://pbs.twimg.com/media/EsLob21VQAAdPsn.jpg")</f>
        <v>https://pbs.twimg.com/media/EsLob21VQAAdPsn.jpg</v>
      </c>
      <c r="V70" s="84" t="str">
        <f>HYPERLINK("https://pbs.twimg.com/media/EsLob21VQAAdPsn.jpg")</f>
        <v>https://pbs.twimg.com/media/EsLob21VQAAdPsn.jpg</v>
      </c>
      <c r="W70" s="82">
        <v>44221.73369212963</v>
      </c>
      <c r="X70" s="86">
        <v>44221</v>
      </c>
      <c r="Y70" s="88" t="s">
        <v>493</v>
      </c>
      <c r="Z70" s="84" t="str">
        <f>HYPERLINK("https://twitter.com/debijules/status/1353758661160562688")</f>
        <v>https://twitter.com/debijules/status/1353758661160562688</v>
      </c>
      <c r="AA70" s="80"/>
      <c r="AB70" s="80"/>
      <c r="AC70" s="88" t="s">
        <v>644</v>
      </c>
      <c r="AD70" s="80"/>
      <c r="AE70" s="80" t="b">
        <v>0</v>
      </c>
      <c r="AF70" s="80">
        <v>0</v>
      </c>
      <c r="AG70" s="88" t="s">
        <v>763</v>
      </c>
      <c r="AH70" s="80" t="b">
        <v>0</v>
      </c>
      <c r="AI70" s="80" t="s">
        <v>764</v>
      </c>
      <c r="AJ70" s="80"/>
      <c r="AK70" s="88" t="s">
        <v>763</v>
      </c>
      <c r="AL70" s="80" t="b">
        <v>0</v>
      </c>
      <c r="AM70" s="80">
        <v>3</v>
      </c>
      <c r="AN70" s="88" t="s">
        <v>658</v>
      </c>
      <c r="AO70" s="80" t="s">
        <v>765</v>
      </c>
      <c r="AP70" s="80" t="b">
        <v>0</v>
      </c>
      <c r="AQ70" s="88" t="s">
        <v>658</v>
      </c>
      <c r="AR70" s="80" t="s">
        <v>197</v>
      </c>
      <c r="AS70" s="80">
        <v>0</v>
      </c>
      <c r="AT70" s="80">
        <v>0</v>
      </c>
      <c r="AU70" s="80"/>
      <c r="AV70" s="80"/>
      <c r="AW70" s="80"/>
      <c r="AX70" s="80"/>
      <c r="AY70" s="80"/>
      <c r="AZ70" s="80"/>
      <c r="BA70" s="80"/>
      <c r="BB70" s="80"/>
      <c r="BC70">
        <v>1</v>
      </c>
      <c r="BD70" s="79" t="str">
        <f>REPLACE(INDEX(GroupVertices[Group],MATCH(Edges[[#This Row],[Vertex 1]],GroupVertices[Vertex],0)),1,1,"")</f>
        <v>9</v>
      </c>
      <c r="BE70" s="79" t="str">
        <f>REPLACE(INDEX(GroupVertices[Group],MATCH(Edges[[#This Row],[Vertex 2]],GroupVertices[Vertex],0)),1,1,"")</f>
        <v>1</v>
      </c>
      <c r="BF70" s="49">
        <v>2</v>
      </c>
      <c r="BG70" s="50">
        <v>5.882352941176471</v>
      </c>
      <c r="BH70" s="49">
        <v>0</v>
      </c>
      <c r="BI70" s="50">
        <v>0</v>
      </c>
      <c r="BJ70" s="49">
        <v>0</v>
      </c>
      <c r="BK70" s="50">
        <v>0</v>
      </c>
      <c r="BL70" s="49">
        <v>32</v>
      </c>
      <c r="BM70" s="50">
        <v>94.11764705882354</v>
      </c>
      <c r="BN70" s="49">
        <v>34</v>
      </c>
    </row>
    <row r="71" spans="1:66" ht="15">
      <c r="A71" s="65" t="s">
        <v>268</v>
      </c>
      <c r="B71" s="65" t="s">
        <v>268</v>
      </c>
      <c r="C71" s="66" t="s">
        <v>2154</v>
      </c>
      <c r="D71" s="67">
        <v>7.666666666666667</v>
      </c>
      <c r="E71" s="66" t="s">
        <v>136</v>
      </c>
      <c r="F71" s="69">
        <v>29.263157894736842</v>
      </c>
      <c r="G71" s="66"/>
      <c r="H71" s="70"/>
      <c r="I71" s="71"/>
      <c r="J71" s="71"/>
      <c r="K71" s="35" t="s">
        <v>65</v>
      </c>
      <c r="L71" s="72">
        <v>71</v>
      </c>
      <c r="M71" s="72"/>
      <c r="N71" s="73"/>
      <c r="O71" s="80" t="s">
        <v>197</v>
      </c>
      <c r="P71" s="82">
        <v>44215.38344907408</v>
      </c>
      <c r="Q71" s="80" t="s">
        <v>354</v>
      </c>
      <c r="R71" s="84" t="str">
        <f>HYPERLINK("https://www.tiess.online/registration?utm_source=Twitter&amp;utm_medium=IDA&amp;utm_campaign=TIESS&amp;utm_term=006")</f>
        <v>https://www.tiess.online/registration?utm_source=Twitter&amp;utm_medium=IDA&amp;utm_campaign=TIESS&amp;utm_term=006</v>
      </c>
      <c r="S71" s="80" t="s">
        <v>444</v>
      </c>
      <c r="T71" s="80" t="s">
        <v>449</v>
      </c>
      <c r="U71" s="84" t="str">
        <f>HYPERLINK("https://pbs.twimg.com/ext_tw_video_thumb/1351456442998546433/pu/img/aSegp9wmdlv0gjvz.jpg")</f>
        <v>https://pbs.twimg.com/ext_tw_video_thumb/1351456442998546433/pu/img/aSegp9wmdlv0gjvz.jpg</v>
      </c>
      <c r="V71" s="84" t="str">
        <f>HYPERLINK("https://pbs.twimg.com/ext_tw_video_thumb/1351456442998546433/pu/img/aSegp9wmdlv0gjvz.jpg")</f>
        <v>https://pbs.twimg.com/ext_tw_video_thumb/1351456442998546433/pu/img/aSegp9wmdlv0gjvz.jpg</v>
      </c>
      <c r="W71" s="82">
        <v>44215.38344907408</v>
      </c>
      <c r="X71" s="86">
        <v>44215</v>
      </c>
      <c r="Y71" s="88" t="s">
        <v>494</v>
      </c>
      <c r="Z71" s="84" t="str">
        <f>HYPERLINK("https://twitter.com/didacindia/status/1351457412163760134")</f>
        <v>https://twitter.com/didacindia/status/1351457412163760134</v>
      </c>
      <c r="AA71" s="80"/>
      <c r="AB71" s="80"/>
      <c r="AC71" s="88" t="s">
        <v>645</v>
      </c>
      <c r="AD71" s="80"/>
      <c r="AE71" s="80" t="b">
        <v>0</v>
      </c>
      <c r="AF71" s="80">
        <v>7</v>
      </c>
      <c r="AG71" s="88" t="s">
        <v>763</v>
      </c>
      <c r="AH71" s="80" t="b">
        <v>0</v>
      </c>
      <c r="AI71" s="80" t="s">
        <v>764</v>
      </c>
      <c r="AJ71" s="80"/>
      <c r="AK71" s="88" t="s">
        <v>763</v>
      </c>
      <c r="AL71" s="80" t="b">
        <v>0</v>
      </c>
      <c r="AM71" s="80">
        <v>4</v>
      </c>
      <c r="AN71" s="88" t="s">
        <v>763</v>
      </c>
      <c r="AO71" s="80" t="s">
        <v>768</v>
      </c>
      <c r="AP71" s="80" t="b">
        <v>0</v>
      </c>
      <c r="AQ71" s="88" t="s">
        <v>645</v>
      </c>
      <c r="AR71" s="80" t="s">
        <v>351</v>
      </c>
      <c r="AS71" s="80">
        <v>0</v>
      </c>
      <c r="AT71" s="80">
        <v>0</v>
      </c>
      <c r="AU71" s="80"/>
      <c r="AV71" s="80"/>
      <c r="AW71" s="80"/>
      <c r="AX71" s="80"/>
      <c r="AY71" s="80"/>
      <c r="AZ71" s="80"/>
      <c r="BA71" s="80"/>
      <c r="BB71" s="80"/>
      <c r="BC71">
        <v>3</v>
      </c>
      <c r="BD71" s="79" t="str">
        <f>REPLACE(INDEX(GroupVertices[Group],MATCH(Edges[[#This Row],[Vertex 1]],GroupVertices[Vertex],0)),1,1,"")</f>
        <v>12</v>
      </c>
      <c r="BE71" s="79" t="str">
        <f>REPLACE(INDEX(GroupVertices[Group],MATCH(Edges[[#This Row],[Vertex 2]],GroupVertices[Vertex],0)),1,1,"")</f>
        <v>12</v>
      </c>
      <c r="BF71" s="49">
        <v>1</v>
      </c>
      <c r="BG71" s="50">
        <v>2.857142857142857</v>
      </c>
      <c r="BH71" s="49">
        <v>0</v>
      </c>
      <c r="BI71" s="50">
        <v>0</v>
      </c>
      <c r="BJ71" s="49">
        <v>0</v>
      </c>
      <c r="BK71" s="50">
        <v>0</v>
      </c>
      <c r="BL71" s="49">
        <v>34</v>
      </c>
      <c r="BM71" s="50">
        <v>97.14285714285714</v>
      </c>
      <c r="BN71" s="49">
        <v>35</v>
      </c>
    </row>
    <row r="72" spans="1:66" ht="15">
      <c r="A72" s="65" t="s">
        <v>268</v>
      </c>
      <c r="B72" s="65" t="s">
        <v>268</v>
      </c>
      <c r="C72" s="66" t="s">
        <v>2154</v>
      </c>
      <c r="D72" s="67">
        <v>7.666666666666667</v>
      </c>
      <c r="E72" s="66" t="s">
        <v>136</v>
      </c>
      <c r="F72" s="69">
        <v>29.263157894736842</v>
      </c>
      <c r="G72" s="66"/>
      <c r="H72" s="70"/>
      <c r="I72" s="71"/>
      <c r="J72" s="71"/>
      <c r="K72" s="35" t="s">
        <v>65</v>
      </c>
      <c r="L72" s="72">
        <v>72</v>
      </c>
      <c r="M72" s="72"/>
      <c r="N72" s="73"/>
      <c r="O72" s="80" t="s">
        <v>197</v>
      </c>
      <c r="P72" s="82">
        <v>44221.436574074076</v>
      </c>
      <c r="Q72" s="80" t="s">
        <v>370</v>
      </c>
      <c r="R72" s="80"/>
      <c r="S72" s="80"/>
      <c r="T72" s="80" t="s">
        <v>454</v>
      </c>
      <c r="U72" s="84" t="str">
        <f>HYPERLINK("https://pbs.twimg.com/media/EskiYkyUwAEXg0o.jpg")</f>
        <v>https://pbs.twimg.com/media/EskiYkyUwAEXg0o.jpg</v>
      </c>
      <c r="V72" s="84" t="str">
        <f>HYPERLINK("https://pbs.twimg.com/media/EskiYkyUwAEXg0o.jpg")</f>
        <v>https://pbs.twimg.com/media/EskiYkyUwAEXg0o.jpg</v>
      </c>
      <c r="W72" s="82">
        <v>44221.436574074076</v>
      </c>
      <c r="X72" s="86">
        <v>44221</v>
      </c>
      <c r="Y72" s="88" t="s">
        <v>495</v>
      </c>
      <c r="Z72" s="84" t="str">
        <f>HYPERLINK("https://twitter.com/didacindia/status/1353650989438365704")</f>
        <v>https://twitter.com/didacindia/status/1353650989438365704</v>
      </c>
      <c r="AA72" s="80"/>
      <c r="AB72" s="80"/>
      <c r="AC72" s="88" t="s">
        <v>646</v>
      </c>
      <c r="AD72" s="80"/>
      <c r="AE72" s="80" t="b">
        <v>0</v>
      </c>
      <c r="AF72" s="80">
        <v>1</v>
      </c>
      <c r="AG72" s="88" t="s">
        <v>763</v>
      </c>
      <c r="AH72" s="80" t="b">
        <v>0</v>
      </c>
      <c r="AI72" s="80" t="s">
        <v>764</v>
      </c>
      <c r="AJ72" s="80"/>
      <c r="AK72" s="88" t="s">
        <v>763</v>
      </c>
      <c r="AL72" s="80" t="b">
        <v>0</v>
      </c>
      <c r="AM72" s="80">
        <v>0</v>
      </c>
      <c r="AN72" s="88" t="s">
        <v>763</v>
      </c>
      <c r="AO72" s="80" t="s">
        <v>768</v>
      </c>
      <c r="AP72" s="80" t="b">
        <v>0</v>
      </c>
      <c r="AQ72" s="88" t="s">
        <v>646</v>
      </c>
      <c r="AR72" s="80" t="s">
        <v>197</v>
      </c>
      <c r="AS72" s="80">
        <v>0</v>
      </c>
      <c r="AT72" s="80">
        <v>0</v>
      </c>
      <c r="AU72" s="80"/>
      <c r="AV72" s="80"/>
      <c r="AW72" s="80"/>
      <c r="AX72" s="80"/>
      <c r="AY72" s="80"/>
      <c r="AZ72" s="80"/>
      <c r="BA72" s="80"/>
      <c r="BB72" s="80"/>
      <c r="BC72">
        <v>3</v>
      </c>
      <c r="BD72" s="79" t="str">
        <f>REPLACE(INDEX(GroupVertices[Group],MATCH(Edges[[#This Row],[Vertex 1]],GroupVertices[Vertex],0)),1,1,"")</f>
        <v>12</v>
      </c>
      <c r="BE72" s="79" t="str">
        <f>REPLACE(INDEX(GroupVertices[Group],MATCH(Edges[[#This Row],[Vertex 2]],GroupVertices[Vertex],0)),1,1,"")</f>
        <v>12</v>
      </c>
      <c r="BF72" s="49">
        <v>2</v>
      </c>
      <c r="BG72" s="50">
        <v>5.555555555555555</v>
      </c>
      <c r="BH72" s="49">
        <v>0</v>
      </c>
      <c r="BI72" s="50">
        <v>0</v>
      </c>
      <c r="BJ72" s="49">
        <v>0</v>
      </c>
      <c r="BK72" s="50">
        <v>0</v>
      </c>
      <c r="BL72" s="49">
        <v>34</v>
      </c>
      <c r="BM72" s="50">
        <v>94.44444444444444</v>
      </c>
      <c r="BN72" s="49">
        <v>36</v>
      </c>
    </row>
    <row r="73" spans="1:66" ht="15">
      <c r="A73" s="65" t="s">
        <v>268</v>
      </c>
      <c r="B73" s="65" t="s">
        <v>268</v>
      </c>
      <c r="C73" s="66" t="s">
        <v>2154</v>
      </c>
      <c r="D73" s="67">
        <v>7.666666666666667</v>
      </c>
      <c r="E73" s="66" t="s">
        <v>136</v>
      </c>
      <c r="F73" s="69">
        <v>29.263157894736842</v>
      </c>
      <c r="G73" s="66"/>
      <c r="H73" s="70"/>
      <c r="I73" s="71"/>
      <c r="J73" s="71"/>
      <c r="K73" s="35" t="s">
        <v>65</v>
      </c>
      <c r="L73" s="72">
        <v>73</v>
      </c>
      <c r="M73" s="72"/>
      <c r="N73" s="73"/>
      <c r="O73" s="80" t="s">
        <v>197</v>
      </c>
      <c r="P73" s="82">
        <v>44222.35696759259</v>
      </c>
      <c r="Q73" s="80" t="s">
        <v>371</v>
      </c>
      <c r="R73" s="80"/>
      <c r="S73" s="80"/>
      <c r="T73" s="80" t="s">
        <v>450</v>
      </c>
      <c r="U73" s="84" t="str">
        <f>HYPERLINK("https://pbs.twimg.com/media/EspRuklU0AMbuIh.jpg")</f>
        <v>https://pbs.twimg.com/media/EspRuklU0AMbuIh.jpg</v>
      </c>
      <c r="V73" s="84" t="str">
        <f>HYPERLINK("https://pbs.twimg.com/media/EspRuklU0AMbuIh.jpg")</f>
        <v>https://pbs.twimg.com/media/EspRuklU0AMbuIh.jpg</v>
      </c>
      <c r="W73" s="82">
        <v>44222.35696759259</v>
      </c>
      <c r="X73" s="86">
        <v>44222</v>
      </c>
      <c r="Y73" s="88" t="s">
        <v>496</v>
      </c>
      <c r="Z73" s="84" t="str">
        <f>HYPERLINK("https://twitter.com/didacindia/status/1353984532081385472")</f>
        <v>https://twitter.com/didacindia/status/1353984532081385472</v>
      </c>
      <c r="AA73" s="80"/>
      <c r="AB73" s="80"/>
      <c r="AC73" s="88" t="s">
        <v>647</v>
      </c>
      <c r="AD73" s="80"/>
      <c r="AE73" s="80" t="b">
        <v>0</v>
      </c>
      <c r="AF73" s="80">
        <v>0</v>
      </c>
      <c r="AG73" s="88" t="s">
        <v>763</v>
      </c>
      <c r="AH73" s="80" t="b">
        <v>0</v>
      </c>
      <c r="AI73" s="80" t="s">
        <v>764</v>
      </c>
      <c r="AJ73" s="80"/>
      <c r="AK73" s="88" t="s">
        <v>763</v>
      </c>
      <c r="AL73" s="80" t="b">
        <v>0</v>
      </c>
      <c r="AM73" s="80">
        <v>0</v>
      </c>
      <c r="AN73" s="88" t="s">
        <v>763</v>
      </c>
      <c r="AO73" s="80" t="s">
        <v>768</v>
      </c>
      <c r="AP73" s="80" t="b">
        <v>0</v>
      </c>
      <c r="AQ73" s="88" t="s">
        <v>647</v>
      </c>
      <c r="AR73" s="80" t="s">
        <v>197</v>
      </c>
      <c r="AS73" s="80">
        <v>0</v>
      </c>
      <c r="AT73" s="80">
        <v>0</v>
      </c>
      <c r="AU73" s="80"/>
      <c r="AV73" s="80"/>
      <c r="AW73" s="80"/>
      <c r="AX73" s="80"/>
      <c r="AY73" s="80"/>
      <c r="AZ73" s="80"/>
      <c r="BA73" s="80"/>
      <c r="BB73" s="80"/>
      <c r="BC73">
        <v>3</v>
      </c>
      <c r="BD73" s="79" t="str">
        <f>REPLACE(INDEX(GroupVertices[Group],MATCH(Edges[[#This Row],[Vertex 1]],GroupVertices[Vertex],0)),1,1,"")</f>
        <v>12</v>
      </c>
      <c r="BE73" s="79" t="str">
        <f>REPLACE(INDEX(GroupVertices[Group],MATCH(Edges[[#This Row],[Vertex 2]],GroupVertices[Vertex],0)),1,1,"")</f>
        <v>12</v>
      </c>
      <c r="BF73" s="49">
        <v>2</v>
      </c>
      <c r="BG73" s="50">
        <v>5</v>
      </c>
      <c r="BH73" s="49">
        <v>0</v>
      </c>
      <c r="BI73" s="50">
        <v>0</v>
      </c>
      <c r="BJ73" s="49">
        <v>0</v>
      </c>
      <c r="BK73" s="50">
        <v>0</v>
      </c>
      <c r="BL73" s="49">
        <v>38</v>
      </c>
      <c r="BM73" s="50">
        <v>95</v>
      </c>
      <c r="BN73" s="49">
        <v>40</v>
      </c>
    </row>
    <row r="74" spans="1:66" ht="15">
      <c r="A74" s="65" t="s">
        <v>269</v>
      </c>
      <c r="B74" s="65" t="s">
        <v>284</v>
      </c>
      <c r="C74" s="66" t="s">
        <v>2153</v>
      </c>
      <c r="D74" s="67">
        <v>3</v>
      </c>
      <c r="E74" s="66" t="s">
        <v>132</v>
      </c>
      <c r="F74" s="69">
        <v>32</v>
      </c>
      <c r="G74" s="66"/>
      <c r="H74" s="70"/>
      <c r="I74" s="71"/>
      <c r="J74" s="71"/>
      <c r="K74" s="35" t="s">
        <v>65</v>
      </c>
      <c r="L74" s="72">
        <v>74</v>
      </c>
      <c r="M74" s="72"/>
      <c r="N74" s="73"/>
      <c r="O74" s="80" t="s">
        <v>352</v>
      </c>
      <c r="P74" s="82">
        <v>44222.496458333335</v>
      </c>
      <c r="Q74" s="80" t="s">
        <v>364</v>
      </c>
      <c r="R74" s="84" t="str">
        <f>HYPERLINK("https://www.tiess.online/registration?utm_source=SM&amp;utm_medium=Raghavan&amp;utm_campaign=TIESS&amp;utm_term=023")</f>
        <v>https://www.tiess.online/registration?utm_source=SM&amp;utm_medium=Raghavan&amp;utm_campaign=TIESS&amp;utm_term=023</v>
      </c>
      <c r="S74" s="80" t="s">
        <v>444</v>
      </c>
      <c r="T74" s="80" t="s">
        <v>449</v>
      </c>
      <c r="U74" s="84" t="str">
        <f>HYPERLINK("https://pbs.twimg.com/media/EsWDr3BU4AAvApB.jpg")</f>
        <v>https://pbs.twimg.com/media/EsWDr3BU4AAvApB.jpg</v>
      </c>
      <c r="V74" s="84" t="str">
        <f>HYPERLINK("https://pbs.twimg.com/media/EsWDr3BU4AAvApB.jpg")</f>
        <v>https://pbs.twimg.com/media/EsWDr3BU4AAvApB.jpg</v>
      </c>
      <c r="W74" s="82">
        <v>44222.496458333335</v>
      </c>
      <c r="X74" s="86">
        <v>44222</v>
      </c>
      <c r="Y74" s="88" t="s">
        <v>497</v>
      </c>
      <c r="Z74" s="84" t="str">
        <f>HYPERLINK("https://twitter.com/kthiag2000/status/1354035081317281792")</f>
        <v>https://twitter.com/kthiag2000/status/1354035081317281792</v>
      </c>
      <c r="AA74" s="80"/>
      <c r="AB74" s="80"/>
      <c r="AC74" s="88" t="s">
        <v>648</v>
      </c>
      <c r="AD74" s="80"/>
      <c r="AE74" s="80" t="b">
        <v>0</v>
      </c>
      <c r="AF74" s="80">
        <v>0</v>
      </c>
      <c r="AG74" s="88" t="s">
        <v>763</v>
      </c>
      <c r="AH74" s="80" t="b">
        <v>0</v>
      </c>
      <c r="AI74" s="80" t="s">
        <v>764</v>
      </c>
      <c r="AJ74" s="80"/>
      <c r="AK74" s="88" t="s">
        <v>763</v>
      </c>
      <c r="AL74" s="80" t="b">
        <v>0</v>
      </c>
      <c r="AM74" s="80">
        <v>4</v>
      </c>
      <c r="AN74" s="88" t="s">
        <v>694</v>
      </c>
      <c r="AO74" s="80" t="s">
        <v>765</v>
      </c>
      <c r="AP74" s="80" t="b">
        <v>0</v>
      </c>
      <c r="AQ74" s="88" t="s">
        <v>694</v>
      </c>
      <c r="AR74" s="80" t="s">
        <v>197</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269</v>
      </c>
      <c r="B75" s="65" t="s">
        <v>271</v>
      </c>
      <c r="C75" s="66" t="s">
        <v>2153</v>
      </c>
      <c r="D75" s="67">
        <v>3</v>
      </c>
      <c r="E75" s="66" t="s">
        <v>132</v>
      </c>
      <c r="F75" s="69">
        <v>32</v>
      </c>
      <c r="G75" s="66"/>
      <c r="H75" s="70"/>
      <c r="I75" s="71"/>
      <c r="J75" s="71"/>
      <c r="K75" s="35" t="s">
        <v>65</v>
      </c>
      <c r="L75" s="72">
        <v>75</v>
      </c>
      <c r="M75" s="72"/>
      <c r="N75" s="73"/>
      <c r="O75" s="80" t="s">
        <v>351</v>
      </c>
      <c r="P75" s="82">
        <v>44222.496458333335</v>
      </c>
      <c r="Q75" s="80" t="s">
        <v>364</v>
      </c>
      <c r="R75" s="84" t="str">
        <f>HYPERLINK("https://www.tiess.online/registration?utm_source=SM&amp;utm_medium=Raghavan&amp;utm_campaign=TIESS&amp;utm_term=023")</f>
        <v>https://www.tiess.online/registration?utm_source=SM&amp;utm_medium=Raghavan&amp;utm_campaign=TIESS&amp;utm_term=023</v>
      </c>
      <c r="S75" s="80" t="s">
        <v>444</v>
      </c>
      <c r="T75" s="80" t="s">
        <v>449</v>
      </c>
      <c r="U75" s="84" t="str">
        <f>HYPERLINK("https://pbs.twimg.com/media/EsWDr3BU4AAvApB.jpg")</f>
        <v>https://pbs.twimg.com/media/EsWDr3BU4AAvApB.jpg</v>
      </c>
      <c r="V75" s="84" t="str">
        <f>HYPERLINK("https://pbs.twimg.com/media/EsWDr3BU4AAvApB.jpg")</f>
        <v>https://pbs.twimg.com/media/EsWDr3BU4AAvApB.jpg</v>
      </c>
      <c r="W75" s="82">
        <v>44222.496458333335</v>
      </c>
      <c r="X75" s="86">
        <v>44222</v>
      </c>
      <c r="Y75" s="88" t="s">
        <v>497</v>
      </c>
      <c r="Z75" s="84" t="str">
        <f>HYPERLINK("https://twitter.com/kthiag2000/status/1354035081317281792")</f>
        <v>https://twitter.com/kthiag2000/status/1354035081317281792</v>
      </c>
      <c r="AA75" s="80"/>
      <c r="AB75" s="80"/>
      <c r="AC75" s="88" t="s">
        <v>648</v>
      </c>
      <c r="AD75" s="80"/>
      <c r="AE75" s="80" t="b">
        <v>0</v>
      </c>
      <c r="AF75" s="80">
        <v>0</v>
      </c>
      <c r="AG75" s="88" t="s">
        <v>763</v>
      </c>
      <c r="AH75" s="80" t="b">
        <v>0</v>
      </c>
      <c r="AI75" s="80" t="s">
        <v>764</v>
      </c>
      <c r="AJ75" s="80"/>
      <c r="AK75" s="88" t="s">
        <v>763</v>
      </c>
      <c r="AL75" s="80" t="b">
        <v>0</v>
      </c>
      <c r="AM75" s="80">
        <v>4</v>
      </c>
      <c r="AN75" s="88" t="s">
        <v>694</v>
      </c>
      <c r="AO75" s="80" t="s">
        <v>765</v>
      </c>
      <c r="AP75" s="80" t="b">
        <v>0</v>
      </c>
      <c r="AQ75" s="88" t="s">
        <v>694</v>
      </c>
      <c r="AR75" s="80" t="s">
        <v>197</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v>0</v>
      </c>
      <c r="BG75" s="50">
        <v>0</v>
      </c>
      <c r="BH75" s="49">
        <v>0</v>
      </c>
      <c r="BI75" s="50">
        <v>0</v>
      </c>
      <c r="BJ75" s="49">
        <v>0</v>
      </c>
      <c r="BK75" s="50">
        <v>0</v>
      </c>
      <c r="BL75" s="49">
        <v>32</v>
      </c>
      <c r="BM75" s="50">
        <v>100</v>
      </c>
      <c r="BN75" s="49">
        <v>32</v>
      </c>
    </row>
    <row r="76" spans="1:66" ht="15">
      <c r="A76" s="65" t="s">
        <v>270</v>
      </c>
      <c r="B76" s="65" t="s">
        <v>277</v>
      </c>
      <c r="C76" s="66" t="s">
        <v>2153</v>
      </c>
      <c r="D76" s="67">
        <v>3</v>
      </c>
      <c r="E76" s="66" t="s">
        <v>132</v>
      </c>
      <c r="F76" s="69">
        <v>32</v>
      </c>
      <c r="G76" s="66"/>
      <c r="H76" s="70"/>
      <c r="I76" s="71"/>
      <c r="J76" s="71"/>
      <c r="K76" s="35" t="s">
        <v>65</v>
      </c>
      <c r="L76" s="72">
        <v>76</v>
      </c>
      <c r="M76" s="72"/>
      <c r="N76" s="73"/>
      <c r="O76" s="80" t="s">
        <v>352</v>
      </c>
      <c r="P76" s="82">
        <v>44222.51630787037</v>
      </c>
      <c r="Q76" s="80" t="s">
        <v>372</v>
      </c>
      <c r="R76" s="84" t="str">
        <f>HYPERLINK("https://www.tiess.online/registration?utm_source=SM&amp;utm_medium=Akyeampong&amp;utm_campaign=TIESS&amp;utm_term=031")</f>
        <v>https://www.tiess.online/registration?utm_source=SM&amp;utm_medium=Akyeampong&amp;utm_campaign=TIESS&amp;utm_term=031</v>
      </c>
      <c r="S76" s="80" t="s">
        <v>444</v>
      </c>
      <c r="T76" s="80" t="s">
        <v>450</v>
      </c>
      <c r="U76" s="84" t="str">
        <f>HYPERLINK("https://pbs.twimg.com/media/EsOz7HPUwAI5v7t.jpg")</f>
        <v>https://pbs.twimg.com/media/EsOz7HPUwAI5v7t.jpg</v>
      </c>
      <c r="V76" s="84" t="str">
        <f>HYPERLINK("https://pbs.twimg.com/media/EsOz7HPUwAI5v7t.jpg")</f>
        <v>https://pbs.twimg.com/media/EsOz7HPUwAI5v7t.jpg</v>
      </c>
      <c r="W76" s="82">
        <v>44222.51630787037</v>
      </c>
      <c r="X76" s="86">
        <v>44222</v>
      </c>
      <c r="Y76" s="88" t="s">
        <v>498</v>
      </c>
      <c r="Z76" s="84" t="str">
        <f>HYPERLINK("https://twitter.com/emuvunyi1/status/1354042273831542786")</f>
        <v>https://twitter.com/emuvunyi1/status/1354042273831542786</v>
      </c>
      <c r="AA76" s="80"/>
      <c r="AB76" s="80"/>
      <c r="AC76" s="88" t="s">
        <v>649</v>
      </c>
      <c r="AD76" s="80"/>
      <c r="AE76" s="80" t="b">
        <v>0</v>
      </c>
      <c r="AF76" s="80">
        <v>0</v>
      </c>
      <c r="AG76" s="88" t="s">
        <v>763</v>
      </c>
      <c r="AH76" s="80" t="b">
        <v>0</v>
      </c>
      <c r="AI76" s="80" t="s">
        <v>764</v>
      </c>
      <c r="AJ76" s="80"/>
      <c r="AK76" s="88" t="s">
        <v>763</v>
      </c>
      <c r="AL76" s="80" t="b">
        <v>0</v>
      </c>
      <c r="AM76" s="80">
        <v>2</v>
      </c>
      <c r="AN76" s="88" t="s">
        <v>663</v>
      </c>
      <c r="AO76" s="80" t="s">
        <v>766</v>
      </c>
      <c r="AP76" s="80" t="b">
        <v>0</v>
      </c>
      <c r="AQ76" s="88" t="s">
        <v>663</v>
      </c>
      <c r="AR76" s="80" t="s">
        <v>197</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9">
        <v>1</v>
      </c>
      <c r="BG76" s="50">
        <v>3.7037037037037037</v>
      </c>
      <c r="BH76" s="49">
        <v>0</v>
      </c>
      <c r="BI76" s="50">
        <v>0</v>
      </c>
      <c r="BJ76" s="49">
        <v>0</v>
      </c>
      <c r="BK76" s="50">
        <v>0</v>
      </c>
      <c r="BL76" s="49">
        <v>26</v>
      </c>
      <c r="BM76" s="50">
        <v>96.29629629629629</v>
      </c>
      <c r="BN76" s="49">
        <v>27</v>
      </c>
    </row>
    <row r="77" spans="1:66" ht="15">
      <c r="A77" s="65" t="s">
        <v>270</v>
      </c>
      <c r="B77" s="65" t="s">
        <v>271</v>
      </c>
      <c r="C77" s="66" t="s">
        <v>2153</v>
      </c>
      <c r="D77" s="67">
        <v>3</v>
      </c>
      <c r="E77" s="66" t="s">
        <v>132</v>
      </c>
      <c r="F77" s="69">
        <v>32</v>
      </c>
      <c r="G77" s="66"/>
      <c r="H77" s="70"/>
      <c r="I77" s="71"/>
      <c r="J77" s="71"/>
      <c r="K77" s="35" t="s">
        <v>65</v>
      </c>
      <c r="L77" s="72">
        <v>77</v>
      </c>
      <c r="M77" s="72"/>
      <c r="N77" s="73"/>
      <c r="O77" s="80" t="s">
        <v>351</v>
      </c>
      <c r="P77" s="82">
        <v>44222.51630787037</v>
      </c>
      <c r="Q77" s="80" t="s">
        <v>372</v>
      </c>
      <c r="R77" s="84" t="str">
        <f>HYPERLINK("https://www.tiess.online/registration?utm_source=SM&amp;utm_medium=Akyeampong&amp;utm_campaign=TIESS&amp;utm_term=031")</f>
        <v>https://www.tiess.online/registration?utm_source=SM&amp;utm_medium=Akyeampong&amp;utm_campaign=TIESS&amp;utm_term=031</v>
      </c>
      <c r="S77" s="80" t="s">
        <v>444</v>
      </c>
      <c r="T77" s="80" t="s">
        <v>450</v>
      </c>
      <c r="U77" s="84" t="str">
        <f>HYPERLINK("https://pbs.twimg.com/media/EsOz7HPUwAI5v7t.jpg")</f>
        <v>https://pbs.twimg.com/media/EsOz7HPUwAI5v7t.jpg</v>
      </c>
      <c r="V77" s="84" t="str">
        <f>HYPERLINK("https://pbs.twimg.com/media/EsOz7HPUwAI5v7t.jpg")</f>
        <v>https://pbs.twimg.com/media/EsOz7HPUwAI5v7t.jpg</v>
      </c>
      <c r="W77" s="82">
        <v>44222.51630787037</v>
      </c>
      <c r="X77" s="86">
        <v>44222</v>
      </c>
      <c r="Y77" s="88" t="s">
        <v>498</v>
      </c>
      <c r="Z77" s="84" t="str">
        <f>HYPERLINK("https://twitter.com/emuvunyi1/status/1354042273831542786")</f>
        <v>https://twitter.com/emuvunyi1/status/1354042273831542786</v>
      </c>
      <c r="AA77" s="80"/>
      <c r="AB77" s="80"/>
      <c r="AC77" s="88" t="s">
        <v>649</v>
      </c>
      <c r="AD77" s="80"/>
      <c r="AE77" s="80" t="b">
        <v>0</v>
      </c>
      <c r="AF77" s="80">
        <v>0</v>
      </c>
      <c r="AG77" s="88" t="s">
        <v>763</v>
      </c>
      <c r="AH77" s="80" t="b">
        <v>0</v>
      </c>
      <c r="AI77" s="80" t="s">
        <v>764</v>
      </c>
      <c r="AJ77" s="80"/>
      <c r="AK77" s="88" t="s">
        <v>763</v>
      </c>
      <c r="AL77" s="80" t="b">
        <v>0</v>
      </c>
      <c r="AM77" s="80">
        <v>2</v>
      </c>
      <c r="AN77" s="88" t="s">
        <v>663</v>
      </c>
      <c r="AO77" s="80" t="s">
        <v>766</v>
      </c>
      <c r="AP77" s="80" t="b">
        <v>0</v>
      </c>
      <c r="AQ77" s="88" t="s">
        <v>663</v>
      </c>
      <c r="AR77" s="80" t="s">
        <v>197</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271</v>
      </c>
      <c r="B78" s="65" t="s">
        <v>313</v>
      </c>
      <c r="C78" s="66" t="s">
        <v>2153</v>
      </c>
      <c r="D78" s="67">
        <v>3</v>
      </c>
      <c r="E78" s="66" t="s">
        <v>132</v>
      </c>
      <c r="F78" s="69">
        <v>32</v>
      </c>
      <c r="G78" s="66"/>
      <c r="H78" s="70"/>
      <c r="I78" s="71"/>
      <c r="J78" s="71"/>
      <c r="K78" s="35" t="s">
        <v>65</v>
      </c>
      <c r="L78" s="72">
        <v>78</v>
      </c>
      <c r="M78" s="72"/>
      <c r="N78" s="73"/>
      <c r="O78" s="80" t="s">
        <v>353</v>
      </c>
      <c r="P78" s="82">
        <v>44215.482094907406</v>
      </c>
      <c r="Q78" s="80" t="s">
        <v>373</v>
      </c>
      <c r="R78" s="84" t="str">
        <f>HYPERLINK("https://www.tiess.online/registration?utm_source=SM&amp;utm_medium=Mwai&amp;utm_campaign=TIESS&amp;utm_term=014")</f>
        <v>https://www.tiess.online/registration?utm_source=SM&amp;utm_medium=Mwai&amp;utm_campaign=TIESS&amp;utm_term=014</v>
      </c>
      <c r="S78" s="80" t="s">
        <v>444</v>
      </c>
      <c r="T78" s="80" t="s">
        <v>450</v>
      </c>
      <c r="U78" s="84" t="str">
        <f>HYPERLINK("https://pbs.twimg.com/media/EsF3zC7UYAIGSLq.jpg")</f>
        <v>https://pbs.twimg.com/media/EsF3zC7UYAIGSLq.jpg</v>
      </c>
      <c r="V78" s="84" t="str">
        <f>HYPERLINK("https://pbs.twimg.com/media/EsF3zC7UYAIGSLq.jpg")</f>
        <v>https://pbs.twimg.com/media/EsF3zC7UYAIGSLq.jpg</v>
      </c>
      <c r="W78" s="82">
        <v>44215.482094907406</v>
      </c>
      <c r="X78" s="86">
        <v>44215</v>
      </c>
      <c r="Y78" s="88" t="s">
        <v>499</v>
      </c>
      <c r="Z78" s="84" t="str">
        <f>HYPERLINK("https://twitter.com/indiadidac/status/1351493161688866816")</f>
        <v>https://twitter.com/indiadidac/status/1351493161688866816</v>
      </c>
      <c r="AA78" s="80"/>
      <c r="AB78" s="80"/>
      <c r="AC78" s="88" t="s">
        <v>650</v>
      </c>
      <c r="AD78" s="80"/>
      <c r="AE78" s="80" t="b">
        <v>0</v>
      </c>
      <c r="AF78" s="80">
        <v>3</v>
      </c>
      <c r="AG78" s="88" t="s">
        <v>763</v>
      </c>
      <c r="AH78" s="80" t="b">
        <v>0</v>
      </c>
      <c r="AI78" s="80" t="s">
        <v>764</v>
      </c>
      <c r="AJ78" s="80"/>
      <c r="AK78" s="88" t="s">
        <v>763</v>
      </c>
      <c r="AL78" s="80" t="b">
        <v>0</v>
      </c>
      <c r="AM78" s="80">
        <v>0</v>
      </c>
      <c r="AN78" s="88" t="s">
        <v>763</v>
      </c>
      <c r="AO78" s="80" t="s">
        <v>765</v>
      </c>
      <c r="AP78" s="80" t="b">
        <v>0</v>
      </c>
      <c r="AQ78" s="88" t="s">
        <v>650</v>
      </c>
      <c r="AR78" s="80" t="s">
        <v>197</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v>0</v>
      </c>
      <c r="BG78" s="50">
        <v>0</v>
      </c>
      <c r="BH78" s="49">
        <v>1</v>
      </c>
      <c r="BI78" s="50">
        <v>3.0303030303030303</v>
      </c>
      <c r="BJ78" s="49">
        <v>0</v>
      </c>
      <c r="BK78" s="50">
        <v>0</v>
      </c>
      <c r="BL78" s="49">
        <v>32</v>
      </c>
      <c r="BM78" s="50">
        <v>96.96969696969697</v>
      </c>
      <c r="BN78" s="49">
        <v>33</v>
      </c>
    </row>
    <row r="79" spans="1:66" ht="15">
      <c r="A79" s="65" t="s">
        <v>272</v>
      </c>
      <c r="B79" s="65" t="s">
        <v>273</v>
      </c>
      <c r="C79" s="66" t="s">
        <v>2153</v>
      </c>
      <c r="D79" s="67">
        <v>3</v>
      </c>
      <c r="E79" s="66" t="s">
        <v>132</v>
      </c>
      <c r="F79" s="69">
        <v>32</v>
      </c>
      <c r="G79" s="66"/>
      <c r="H79" s="70"/>
      <c r="I79" s="71"/>
      <c r="J79" s="71"/>
      <c r="K79" s="35" t="s">
        <v>65</v>
      </c>
      <c r="L79" s="72">
        <v>79</v>
      </c>
      <c r="M79" s="72"/>
      <c r="N79" s="73"/>
      <c r="O79" s="80" t="s">
        <v>352</v>
      </c>
      <c r="P79" s="82">
        <v>44215.55039351852</v>
      </c>
      <c r="Q79" s="80" t="s">
        <v>355</v>
      </c>
      <c r="R79" s="84" t="str">
        <f>HYPERLINK("https://www.tiess.online/registration?utm_source=SM&amp;utm_medium=Andreas&amp;utm_campaign=TIESS&amp;utm_term=008")</f>
        <v>https://www.tiess.online/registration?utm_source=SM&amp;utm_medium=Andreas&amp;utm_campaign=TIESS&amp;utm_term=008</v>
      </c>
      <c r="S79" s="80" t="s">
        <v>444</v>
      </c>
      <c r="T79" s="80" t="s">
        <v>450</v>
      </c>
      <c r="U79" s="84" t="str">
        <f>HYPERLINK("https://pbs.twimg.com/media/EsF5NK-VcAAprHt.jpg")</f>
        <v>https://pbs.twimg.com/media/EsF5NK-VcAAprHt.jpg</v>
      </c>
      <c r="V79" s="84" t="str">
        <f>HYPERLINK("https://pbs.twimg.com/media/EsF5NK-VcAAprHt.jpg")</f>
        <v>https://pbs.twimg.com/media/EsF5NK-VcAAprHt.jpg</v>
      </c>
      <c r="W79" s="82">
        <v>44215.55039351852</v>
      </c>
      <c r="X79" s="86">
        <v>44215</v>
      </c>
      <c r="Y79" s="88" t="s">
        <v>500</v>
      </c>
      <c r="Z79" s="84" t="str">
        <f>HYPERLINK("https://twitter.com/schleicheroecd/status/1351517909080805376")</f>
        <v>https://twitter.com/schleicheroecd/status/1351517909080805376</v>
      </c>
      <c r="AA79" s="80"/>
      <c r="AB79" s="80"/>
      <c r="AC79" s="88" t="s">
        <v>651</v>
      </c>
      <c r="AD79" s="80"/>
      <c r="AE79" s="80" t="b">
        <v>0</v>
      </c>
      <c r="AF79" s="80">
        <v>0</v>
      </c>
      <c r="AG79" s="88" t="s">
        <v>763</v>
      </c>
      <c r="AH79" s="80" t="b">
        <v>0</v>
      </c>
      <c r="AI79" s="80" t="s">
        <v>764</v>
      </c>
      <c r="AJ79" s="80"/>
      <c r="AK79" s="88" t="s">
        <v>763</v>
      </c>
      <c r="AL79" s="80" t="b">
        <v>0</v>
      </c>
      <c r="AM79" s="80">
        <v>3</v>
      </c>
      <c r="AN79" s="88" t="s">
        <v>653</v>
      </c>
      <c r="AO79" s="80" t="s">
        <v>765</v>
      </c>
      <c r="AP79" s="80" t="b">
        <v>0</v>
      </c>
      <c r="AQ79" s="88" t="s">
        <v>653</v>
      </c>
      <c r="AR79" s="80" t="s">
        <v>197</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273</v>
      </c>
      <c r="B80" s="65" t="s">
        <v>306</v>
      </c>
      <c r="C80" s="66" t="s">
        <v>2153</v>
      </c>
      <c r="D80" s="67">
        <v>3</v>
      </c>
      <c r="E80" s="66" t="s">
        <v>132</v>
      </c>
      <c r="F80" s="69">
        <v>32</v>
      </c>
      <c r="G80" s="66"/>
      <c r="H80" s="70"/>
      <c r="I80" s="71"/>
      <c r="J80" s="71"/>
      <c r="K80" s="35" t="s">
        <v>65</v>
      </c>
      <c r="L80" s="72">
        <v>80</v>
      </c>
      <c r="M80" s="72"/>
      <c r="N80" s="73"/>
      <c r="O80" s="80" t="s">
        <v>352</v>
      </c>
      <c r="P80" s="82">
        <v>44218.38862268518</v>
      </c>
      <c r="Q80" s="80" t="s">
        <v>360</v>
      </c>
      <c r="R80" s="84" t="str">
        <f>HYPERLINK("https://www.tiess.online/registration?utm_source=SM&amp;utm_medium=Vincent&amp;utm_campaign=TIESS&amp;utm_term=018")</f>
        <v>https://www.tiess.online/registration?utm_source=SM&amp;utm_medium=Vincent&amp;utm_campaign=TIESS&amp;utm_term=018</v>
      </c>
      <c r="S80" s="80" t="s">
        <v>444</v>
      </c>
      <c r="T80" s="80" t="s">
        <v>450</v>
      </c>
      <c r="U80" s="84" t="str">
        <f>HYPERLINK("https://pbs.twimg.com/media/EsK26ZcVcAEapSV.jpg")</f>
        <v>https://pbs.twimg.com/media/EsK26ZcVcAEapSV.jpg</v>
      </c>
      <c r="V80" s="84" t="str">
        <f>HYPERLINK("https://pbs.twimg.com/media/EsK26ZcVcAEapSV.jpg")</f>
        <v>https://pbs.twimg.com/media/EsK26ZcVcAEapSV.jpg</v>
      </c>
      <c r="W80" s="82">
        <v>44218.38862268518</v>
      </c>
      <c r="X80" s="86">
        <v>44218</v>
      </c>
      <c r="Y80" s="88" t="s">
        <v>501</v>
      </c>
      <c r="Z80" s="84" t="str">
        <f>HYPERLINK("https://twitter.com/oecdeduskills/status/1352546450945748994")</f>
        <v>https://twitter.com/oecdeduskills/status/1352546450945748994</v>
      </c>
      <c r="AA80" s="80"/>
      <c r="AB80" s="80"/>
      <c r="AC80" s="88" t="s">
        <v>652</v>
      </c>
      <c r="AD80" s="80"/>
      <c r="AE80" s="80" t="b">
        <v>0</v>
      </c>
      <c r="AF80" s="80">
        <v>0</v>
      </c>
      <c r="AG80" s="88" t="s">
        <v>763</v>
      </c>
      <c r="AH80" s="80" t="b">
        <v>0</v>
      </c>
      <c r="AI80" s="80" t="s">
        <v>764</v>
      </c>
      <c r="AJ80" s="80"/>
      <c r="AK80" s="88" t="s">
        <v>763</v>
      </c>
      <c r="AL80" s="80" t="b">
        <v>0</v>
      </c>
      <c r="AM80" s="80">
        <v>3</v>
      </c>
      <c r="AN80" s="88" t="s">
        <v>655</v>
      </c>
      <c r="AO80" s="80" t="s">
        <v>765</v>
      </c>
      <c r="AP80" s="80" t="b">
        <v>0</v>
      </c>
      <c r="AQ80" s="88" t="s">
        <v>655</v>
      </c>
      <c r="AR80" s="80" t="s">
        <v>197</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9">
        <v>0</v>
      </c>
      <c r="BG80" s="50">
        <v>0</v>
      </c>
      <c r="BH80" s="49">
        <v>0</v>
      </c>
      <c r="BI80" s="50">
        <v>0</v>
      </c>
      <c r="BJ80" s="49">
        <v>0</v>
      </c>
      <c r="BK80" s="50">
        <v>0</v>
      </c>
      <c r="BL80" s="49">
        <v>30</v>
      </c>
      <c r="BM80" s="50">
        <v>100</v>
      </c>
      <c r="BN80" s="49">
        <v>30</v>
      </c>
    </row>
    <row r="81" spans="1:66" ht="15">
      <c r="A81" s="65" t="s">
        <v>273</v>
      </c>
      <c r="B81" s="65" t="s">
        <v>271</v>
      </c>
      <c r="C81" s="66" t="s">
        <v>2153</v>
      </c>
      <c r="D81" s="67">
        <v>3</v>
      </c>
      <c r="E81" s="66" t="s">
        <v>132</v>
      </c>
      <c r="F81" s="69">
        <v>32</v>
      </c>
      <c r="G81" s="66"/>
      <c r="H81" s="70"/>
      <c r="I81" s="71"/>
      <c r="J81" s="71"/>
      <c r="K81" s="35" t="s">
        <v>66</v>
      </c>
      <c r="L81" s="72">
        <v>81</v>
      </c>
      <c r="M81" s="72"/>
      <c r="N81" s="73"/>
      <c r="O81" s="80" t="s">
        <v>351</v>
      </c>
      <c r="P81" s="82">
        <v>44218.38862268518</v>
      </c>
      <c r="Q81" s="80" t="s">
        <v>360</v>
      </c>
      <c r="R81" s="84" t="str">
        <f>HYPERLINK("https://www.tiess.online/registration?utm_source=SM&amp;utm_medium=Vincent&amp;utm_campaign=TIESS&amp;utm_term=018")</f>
        <v>https://www.tiess.online/registration?utm_source=SM&amp;utm_medium=Vincent&amp;utm_campaign=TIESS&amp;utm_term=018</v>
      </c>
      <c r="S81" s="80" t="s">
        <v>444</v>
      </c>
      <c r="T81" s="80" t="s">
        <v>450</v>
      </c>
      <c r="U81" s="84" t="str">
        <f>HYPERLINK("https://pbs.twimg.com/media/EsK26ZcVcAEapSV.jpg")</f>
        <v>https://pbs.twimg.com/media/EsK26ZcVcAEapSV.jpg</v>
      </c>
      <c r="V81" s="84" t="str">
        <f>HYPERLINK("https://pbs.twimg.com/media/EsK26ZcVcAEapSV.jpg")</f>
        <v>https://pbs.twimg.com/media/EsK26ZcVcAEapSV.jpg</v>
      </c>
      <c r="W81" s="82">
        <v>44218.38862268518</v>
      </c>
      <c r="X81" s="86">
        <v>44218</v>
      </c>
      <c r="Y81" s="88" t="s">
        <v>501</v>
      </c>
      <c r="Z81" s="84" t="str">
        <f>HYPERLINK("https://twitter.com/oecdeduskills/status/1352546450945748994")</f>
        <v>https://twitter.com/oecdeduskills/status/1352546450945748994</v>
      </c>
      <c r="AA81" s="80"/>
      <c r="AB81" s="80"/>
      <c r="AC81" s="88" t="s">
        <v>652</v>
      </c>
      <c r="AD81" s="80"/>
      <c r="AE81" s="80" t="b">
        <v>0</v>
      </c>
      <c r="AF81" s="80">
        <v>0</v>
      </c>
      <c r="AG81" s="88" t="s">
        <v>763</v>
      </c>
      <c r="AH81" s="80" t="b">
        <v>0</v>
      </c>
      <c r="AI81" s="80" t="s">
        <v>764</v>
      </c>
      <c r="AJ81" s="80"/>
      <c r="AK81" s="88" t="s">
        <v>763</v>
      </c>
      <c r="AL81" s="80" t="b">
        <v>0</v>
      </c>
      <c r="AM81" s="80">
        <v>3</v>
      </c>
      <c r="AN81" s="88" t="s">
        <v>655</v>
      </c>
      <c r="AO81" s="80" t="s">
        <v>765</v>
      </c>
      <c r="AP81" s="80" t="b">
        <v>0</v>
      </c>
      <c r="AQ81" s="88" t="s">
        <v>655</v>
      </c>
      <c r="AR81" s="80" t="s">
        <v>197</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1</v>
      </c>
      <c r="BF81" s="49"/>
      <c r="BG81" s="50"/>
      <c r="BH81" s="49"/>
      <c r="BI81" s="50"/>
      <c r="BJ81" s="49"/>
      <c r="BK81" s="50"/>
      <c r="BL81" s="49"/>
      <c r="BM81" s="50"/>
      <c r="BN81" s="49"/>
    </row>
    <row r="82" spans="1:66" ht="15">
      <c r="A82" s="65" t="s">
        <v>271</v>
      </c>
      <c r="B82" s="65" t="s">
        <v>273</v>
      </c>
      <c r="C82" s="66" t="s">
        <v>2153</v>
      </c>
      <c r="D82" s="67">
        <v>3</v>
      </c>
      <c r="E82" s="66" t="s">
        <v>132</v>
      </c>
      <c r="F82" s="69">
        <v>32</v>
      </c>
      <c r="G82" s="66"/>
      <c r="H82" s="70"/>
      <c r="I82" s="71"/>
      <c r="J82" s="71"/>
      <c r="K82" s="35" t="s">
        <v>66</v>
      </c>
      <c r="L82" s="72">
        <v>82</v>
      </c>
      <c r="M82" s="72"/>
      <c r="N82" s="73"/>
      <c r="O82" s="80" t="s">
        <v>353</v>
      </c>
      <c r="P82" s="82">
        <v>44215.48619212963</v>
      </c>
      <c r="Q82" s="80" t="s">
        <v>355</v>
      </c>
      <c r="R82" s="84" t="str">
        <f>HYPERLINK("https://www.tiess.online/registration?utm_source=SM&amp;utm_medium=Andreas&amp;utm_campaign=TIESS&amp;utm_term=008")</f>
        <v>https://www.tiess.online/registration?utm_source=SM&amp;utm_medium=Andreas&amp;utm_campaign=TIESS&amp;utm_term=008</v>
      </c>
      <c r="S82" s="80" t="s">
        <v>444</v>
      </c>
      <c r="T82" s="80" t="s">
        <v>450</v>
      </c>
      <c r="U82" s="84" t="str">
        <f>HYPERLINK("https://pbs.twimg.com/media/EsF5NK-VcAAprHt.jpg")</f>
        <v>https://pbs.twimg.com/media/EsF5NK-VcAAprHt.jpg</v>
      </c>
      <c r="V82" s="84" t="str">
        <f>HYPERLINK("https://pbs.twimg.com/media/EsF5NK-VcAAprHt.jpg")</f>
        <v>https://pbs.twimg.com/media/EsF5NK-VcAAprHt.jpg</v>
      </c>
      <c r="W82" s="82">
        <v>44215.48619212963</v>
      </c>
      <c r="X82" s="86">
        <v>44215</v>
      </c>
      <c r="Y82" s="88" t="s">
        <v>502</v>
      </c>
      <c r="Z82" s="84" t="str">
        <f>HYPERLINK("https://twitter.com/indiadidac/status/1351494643142201344")</f>
        <v>https://twitter.com/indiadidac/status/1351494643142201344</v>
      </c>
      <c r="AA82" s="80"/>
      <c r="AB82" s="80"/>
      <c r="AC82" s="88" t="s">
        <v>653</v>
      </c>
      <c r="AD82" s="80"/>
      <c r="AE82" s="80" t="b">
        <v>0</v>
      </c>
      <c r="AF82" s="80">
        <v>10</v>
      </c>
      <c r="AG82" s="88" t="s">
        <v>763</v>
      </c>
      <c r="AH82" s="80" t="b">
        <v>0</v>
      </c>
      <c r="AI82" s="80" t="s">
        <v>764</v>
      </c>
      <c r="AJ82" s="80"/>
      <c r="AK82" s="88" t="s">
        <v>763</v>
      </c>
      <c r="AL82" s="80" t="b">
        <v>0</v>
      </c>
      <c r="AM82" s="80">
        <v>3</v>
      </c>
      <c r="AN82" s="88" t="s">
        <v>763</v>
      </c>
      <c r="AO82" s="80" t="s">
        <v>765</v>
      </c>
      <c r="AP82" s="80" t="b">
        <v>0</v>
      </c>
      <c r="AQ82" s="88" t="s">
        <v>653</v>
      </c>
      <c r="AR82" s="80" t="s">
        <v>197</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3</v>
      </c>
      <c r="BF82" s="49"/>
      <c r="BG82" s="50"/>
      <c r="BH82" s="49"/>
      <c r="BI82" s="50"/>
      <c r="BJ82" s="49"/>
      <c r="BK82" s="50"/>
      <c r="BL82" s="49"/>
      <c r="BM82" s="50"/>
      <c r="BN82" s="49"/>
    </row>
    <row r="83" spans="1:66" ht="15">
      <c r="A83" s="65" t="s">
        <v>272</v>
      </c>
      <c r="B83" s="65" t="s">
        <v>271</v>
      </c>
      <c r="C83" s="66" t="s">
        <v>2153</v>
      </c>
      <c r="D83" s="67">
        <v>3</v>
      </c>
      <c r="E83" s="66" t="s">
        <v>132</v>
      </c>
      <c r="F83" s="69">
        <v>32</v>
      </c>
      <c r="G83" s="66"/>
      <c r="H83" s="70"/>
      <c r="I83" s="71"/>
      <c r="J83" s="71"/>
      <c r="K83" s="35" t="s">
        <v>66</v>
      </c>
      <c r="L83" s="72">
        <v>83</v>
      </c>
      <c r="M83" s="72"/>
      <c r="N83" s="73"/>
      <c r="O83" s="80" t="s">
        <v>351</v>
      </c>
      <c r="P83" s="82">
        <v>44215.55039351852</v>
      </c>
      <c r="Q83" s="80" t="s">
        <v>355</v>
      </c>
      <c r="R83" s="84" t="str">
        <f>HYPERLINK("https://www.tiess.online/registration?utm_source=SM&amp;utm_medium=Andreas&amp;utm_campaign=TIESS&amp;utm_term=008")</f>
        <v>https://www.tiess.online/registration?utm_source=SM&amp;utm_medium=Andreas&amp;utm_campaign=TIESS&amp;utm_term=008</v>
      </c>
      <c r="S83" s="80" t="s">
        <v>444</v>
      </c>
      <c r="T83" s="80" t="s">
        <v>450</v>
      </c>
      <c r="U83" s="84" t="str">
        <f>HYPERLINK("https://pbs.twimg.com/media/EsF5NK-VcAAprHt.jpg")</f>
        <v>https://pbs.twimg.com/media/EsF5NK-VcAAprHt.jpg</v>
      </c>
      <c r="V83" s="84" t="str">
        <f>HYPERLINK("https://pbs.twimg.com/media/EsF5NK-VcAAprHt.jpg")</f>
        <v>https://pbs.twimg.com/media/EsF5NK-VcAAprHt.jpg</v>
      </c>
      <c r="W83" s="82">
        <v>44215.55039351852</v>
      </c>
      <c r="X83" s="86">
        <v>44215</v>
      </c>
      <c r="Y83" s="88" t="s">
        <v>500</v>
      </c>
      <c r="Z83" s="84" t="str">
        <f>HYPERLINK("https://twitter.com/schleicheroecd/status/1351517909080805376")</f>
        <v>https://twitter.com/schleicheroecd/status/1351517909080805376</v>
      </c>
      <c r="AA83" s="80"/>
      <c r="AB83" s="80"/>
      <c r="AC83" s="88" t="s">
        <v>651</v>
      </c>
      <c r="AD83" s="80"/>
      <c r="AE83" s="80" t="b">
        <v>0</v>
      </c>
      <c r="AF83" s="80">
        <v>0</v>
      </c>
      <c r="AG83" s="88" t="s">
        <v>763</v>
      </c>
      <c r="AH83" s="80" t="b">
        <v>0</v>
      </c>
      <c r="AI83" s="80" t="s">
        <v>764</v>
      </c>
      <c r="AJ83" s="80"/>
      <c r="AK83" s="88" t="s">
        <v>763</v>
      </c>
      <c r="AL83" s="80" t="b">
        <v>0</v>
      </c>
      <c r="AM83" s="80">
        <v>3</v>
      </c>
      <c r="AN83" s="88" t="s">
        <v>653</v>
      </c>
      <c r="AO83" s="80" t="s">
        <v>765</v>
      </c>
      <c r="AP83" s="80" t="b">
        <v>0</v>
      </c>
      <c r="AQ83" s="88" t="s">
        <v>653</v>
      </c>
      <c r="AR83" s="80" t="s">
        <v>197</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1</v>
      </c>
      <c r="BF83" s="49">
        <v>1</v>
      </c>
      <c r="BG83" s="50">
        <v>3.4482758620689653</v>
      </c>
      <c r="BH83" s="49">
        <v>0</v>
      </c>
      <c r="BI83" s="50">
        <v>0</v>
      </c>
      <c r="BJ83" s="49">
        <v>0</v>
      </c>
      <c r="BK83" s="50">
        <v>0</v>
      </c>
      <c r="BL83" s="49">
        <v>28</v>
      </c>
      <c r="BM83" s="50">
        <v>96.55172413793103</v>
      </c>
      <c r="BN83" s="49">
        <v>29</v>
      </c>
    </row>
    <row r="84" spans="1:66" ht="15">
      <c r="A84" s="65" t="s">
        <v>271</v>
      </c>
      <c r="B84" s="65" t="s">
        <v>272</v>
      </c>
      <c r="C84" s="66" t="s">
        <v>2153</v>
      </c>
      <c r="D84" s="67">
        <v>3</v>
      </c>
      <c r="E84" s="66" t="s">
        <v>132</v>
      </c>
      <c r="F84" s="69">
        <v>32</v>
      </c>
      <c r="G84" s="66"/>
      <c r="H84" s="70"/>
      <c r="I84" s="71"/>
      <c r="J84" s="71"/>
      <c r="K84" s="35" t="s">
        <v>66</v>
      </c>
      <c r="L84" s="72">
        <v>84</v>
      </c>
      <c r="M84" s="72"/>
      <c r="N84" s="73"/>
      <c r="O84" s="80" t="s">
        <v>353</v>
      </c>
      <c r="P84" s="82">
        <v>44215.48619212963</v>
      </c>
      <c r="Q84" s="80" t="s">
        <v>355</v>
      </c>
      <c r="R84" s="84" t="str">
        <f>HYPERLINK("https://www.tiess.online/registration?utm_source=SM&amp;utm_medium=Andreas&amp;utm_campaign=TIESS&amp;utm_term=008")</f>
        <v>https://www.tiess.online/registration?utm_source=SM&amp;utm_medium=Andreas&amp;utm_campaign=TIESS&amp;utm_term=008</v>
      </c>
      <c r="S84" s="80" t="s">
        <v>444</v>
      </c>
      <c r="T84" s="80" t="s">
        <v>450</v>
      </c>
      <c r="U84" s="84" t="str">
        <f>HYPERLINK("https://pbs.twimg.com/media/EsF5NK-VcAAprHt.jpg")</f>
        <v>https://pbs.twimg.com/media/EsF5NK-VcAAprHt.jpg</v>
      </c>
      <c r="V84" s="84" t="str">
        <f>HYPERLINK("https://pbs.twimg.com/media/EsF5NK-VcAAprHt.jpg")</f>
        <v>https://pbs.twimg.com/media/EsF5NK-VcAAprHt.jpg</v>
      </c>
      <c r="W84" s="82">
        <v>44215.48619212963</v>
      </c>
      <c r="X84" s="86">
        <v>44215</v>
      </c>
      <c r="Y84" s="88" t="s">
        <v>502</v>
      </c>
      <c r="Z84" s="84" t="str">
        <f>HYPERLINK("https://twitter.com/indiadidac/status/1351494643142201344")</f>
        <v>https://twitter.com/indiadidac/status/1351494643142201344</v>
      </c>
      <c r="AA84" s="80"/>
      <c r="AB84" s="80"/>
      <c r="AC84" s="88" t="s">
        <v>653</v>
      </c>
      <c r="AD84" s="80"/>
      <c r="AE84" s="80" t="b">
        <v>0</v>
      </c>
      <c r="AF84" s="80">
        <v>10</v>
      </c>
      <c r="AG84" s="88" t="s">
        <v>763</v>
      </c>
      <c r="AH84" s="80" t="b">
        <v>0</v>
      </c>
      <c r="AI84" s="80" t="s">
        <v>764</v>
      </c>
      <c r="AJ84" s="80"/>
      <c r="AK84" s="88" t="s">
        <v>763</v>
      </c>
      <c r="AL84" s="80" t="b">
        <v>0</v>
      </c>
      <c r="AM84" s="80">
        <v>3</v>
      </c>
      <c r="AN84" s="88" t="s">
        <v>763</v>
      </c>
      <c r="AO84" s="80" t="s">
        <v>765</v>
      </c>
      <c r="AP84" s="80" t="b">
        <v>0</v>
      </c>
      <c r="AQ84" s="88" t="s">
        <v>653</v>
      </c>
      <c r="AR84" s="80" t="s">
        <v>197</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3</v>
      </c>
      <c r="BF84" s="49">
        <v>1</v>
      </c>
      <c r="BG84" s="50">
        <v>3.4482758620689653</v>
      </c>
      <c r="BH84" s="49">
        <v>0</v>
      </c>
      <c r="BI84" s="50">
        <v>0</v>
      </c>
      <c r="BJ84" s="49">
        <v>0</v>
      </c>
      <c r="BK84" s="50">
        <v>0</v>
      </c>
      <c r="BL84" s="49">
        <v>28</v>
      </c>
      <c r="BM84" s="50">
        <v>96.55172413793103</v>
      </c>
      <c r="BN84" s="49">
        <v>29</v>
      </c>
    </row>
    <row r="85" spans="1:66" ht="15">
      <c r="A85" s="65" t="s">
        <v>274</v>
      </c>
      <c r="B85" s="65" t="s">
        <v>306</v>
      </c>
      <c r="C85" s="66" t="s">
        <v>2153</v>
      </c>
      <c r="D85" s="67">
        <v>3</v>
      </c>
      <c r="E85" s="66" t="s">
        <v>132</v>
      </c>
      <c r="F85" s="69">
        <v>32</v>
      </c>
      <c r="G85" s="66"/>
      <c r="H85" s="70"/>
      <c r="I85" s="71"/>
      <c r="J85" s="71"/>
      <c r="K85" s="35" t="s">
        <v>65</v>
      </c>
      <c r="L85" s="72">
        <v>85</v>
      </c>
      <c r="M85" s="72"/>
      <c r="N85" s="73"/>
      <c r="O85" s="80" t="s">
        <v>352</v>
      </c>
      <c r="P85" s="82">
        <v>44216.48809027778</v>
      </c>
      <c r="Q85" s="80" t="s">
        <v>360</v>
      </c>
      <c r="R85" s="84" t="str">
        <f>HYPERLINK("https://www.tiess.online/registration?utm_source=SM&amp;utm_medium=Vincent&amp;utm_campaign=TIESS&amp;utm_term=018")</f>
        <v>https://www.tiess.online/registration?utm_source=SM&amp;utm_medium=Vincent&amp;utm_campaign=TIESS&amp;utm_term=018</v>
      </c>
      <c r="S85" s="80" t="s">
        <v>444</v>
      </c>
      <c r="T85" s="80" t="s">
        <v>450</v>
      </c>
      <c r="U85" s="84" t="str">
        <f>HYPERLINK("https://pbs.twimg.com/media/EsK26ZcVcAEapSV.jpg")</f>
        <v>https://pbs.twimg.com/media/EsK26ZcVcAEapSV.jpg</v>
      </c>
      <c r="V85" s="84" t="str">
        <f>HYPERLINK("https://pbs.twimg.com/media/EsK26ZcVcAEapSV.jpg")</f>
        <v>https://pbs.twimg.com/media/EsK26ZcVcAEapSV.jpg</v>
      </c>
      <c r="W85" s="82">
        <v>44216.48809027778</v>
      </c>
      <c r="X85" s="86">
        <v>44216</v>
      </c>
      <c r="Y85" s="88" t="s">
        <v>503</v>
      </c>
      <c r="Z85" s="84" t="str">
        <f>HYPERLINK("https://twitter.com/gavindk/status/1351857720375320576")</f>
        <v>https://twitter.com/gavindk/status/1351857720375320576</v>
      </c>
      <c r="AA85" s="80"/>
      <c r="AB85" s="80"/>
      <c r="AC85" s="88" t="s">
        <v>654</v>
      </c>
      <c r="AD85" s="80"/>
      <c r="AE85" s="80" t="b">
        <v>0</v>
      </c>
      <c r="AF85" s="80">
        <v>0</v>
      </c>
      <c r="AG85" s="88" t="s">
        <v>763</v>
      </c>
      <c r="AH85" s="80" t="b">
        <v>0</v>
      </c>
      <c r="AI85" s="80" t="s">
        <v>764</v>
      </c>
      <c r="AJ85" s="80"/>
      <c r="AK85" s="88" t="s">
        <v>763</v>
      </c>
      <c r="AL85" s="80" t="b">
        <v>0</v>
      </c>
      <c r="AM85" s="80">
        <v>3</v>
      </c>
      <c r="AN85" s="88" t="s">
        <v>655</v>
      </c>
      <c r="AO85" s="80" t="s">
        <v>765</v>
      </c>
      <c r="AP85" s="80" t="b">
        <v>0</v>
      </c>
      <c r="AQ85" s="88" t="s">
        <v>655</v>
      </c>
      <c r="AR85" s="80" t="s">
        <v>197</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271</v>
      </c>
      <c r="B86" s="65" t="s">
        <v>306</v>
      </c>
      <c r="C86" s="66" t="s">
        <v>2153</v>
      </c>
      <c r="D86" s="67">
        <v>3</v>
      </c>
      <c r="E86" s="66" t="s">
        <v>132</v>
      </c>
      <c r="F86" s="69">
        <v>32</v>
      </c>
      <c r="G86" s="66"/>
      <c r="H86" s="70"/>
      <c r="I86" s="71"/>
      <c r="J86" s="71"/>
      <c r="K86" s="35" t="s">
        <v>65</v>
      </c>
      <c r="L86" s="72">
        <v>86</v>
      </c>
      <c r="M86" s="72"/>
      <c r="N86" s="73"/>
      <c r="O86" s="80" t="s">
        <v>353</v>
      </c>
      <c r="P86" s="82">
        <v>44216.45216435185</v>
      </c>
      <c r="Q86" s="80" t="s">
        <v>360</v>
      </c>
      <c r="R86" s="84" t="str">
        <f>HYPERLINK("https://www.tiess.online/registration?utm_source=SM&amp;utm_medium=Vincent&amp;utm_campaign=TIESS&amp;utm_term=018")</f>
        <v>https://www.tiess.online/registration?utm_source=SM&amp;utm_medium=Vincent&amp;utm_campaign=TIESS&amp;utm_term=018</v>
      </c>
      <c r="S86" s="80" t="s">
        <v>444</v>
      </c>
      <c r="T86" s="80" t="s">
        <v>450</v>
      </c>
      <c r="U86" s="84" t="str">
        <f>HYPERLINK("https://pbs.twimg.com/media/EsK26ZcVcAEapSV.jpg")</f>
        <v>https://pbs.twimg.com/media/EsK26ZcVcAEapSV.jpg</v>
      </c>
      <c r="V86" s="84" t="str">
        <f>HYPERLINK("https://pbs.twimg.com/media/EsK26ZcVcAEapSV.jpg")</f>
        <v>https://pbs.twimg.com/media/EsK26ZcVcAEapSV.jpg</v>
      </c>
      <c r="W86" s="82">
        <v>44216.45216435185</v>
      </c>
      <c r="X86" s="86">
        <v>44216</v>
      </c>
      <c r="Y86" s="88" t="s">
        <v>504</v>
      </c>
      <c r="Z86" s="84" t="str">
        <f>HYPERLINK("https://twitter.com/indiadidac/status/1351844702404833282")</f>
        <v>https://twitter.com/indiadidac/status/1351844702404833282</v>
      </c>
      <c r="AA86" s="80"/>
      <c r="AB86" s="80"/>
      <c r="AC86" s="88" t="s">
        <v>655</v>
      </c>
      <c r="AD86" s="80"/>
      <c r="AE86" s="80" t="b">
        <v>0</v>
      </c>
      <c r="AF86" s="80">
        <v>5</v>
      </c>
      <c r="AG86" s="88" t="s">
        <v>763</v>
      </c>
      <c r="AH86" s="80" t="b">
        <v>0</v>
      </c>
      <c r="AI86" s="80" t="s">
        <v>764</v>
      </c>
      <c r="AJ86" s="80"/>
      <c r="AK86" s="88" t="s">
        <v>763</v>
      </c>
      <c r="AL86" s="80" t="b">
        <v>0</v>
      </c>
      <c r="AM86" s="80">
        <v>3</v>
      </c>
      <c r="AN86" s="88" t="s">
        <v>763</v>
      </c>
      <c r="AO86" s="80" t="s">
        <v>765</v>
      </c>
      <c r="AP86" s="80" t="b">
        <v>0</v>
      </c>
      <c r="AQ86" s="88" t="s">
        <v>655</v>
      </c>
      <c r="AR86" s="80" t="s">
        <v>197</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3</v>
      </c>
      <c r="BF86" s="49">
        <v>0</v>
      </c>
      <c r="BG86" s="50">
        <v>0</v>
      </c>
      <c r="BH86" s="49">
        <v>0</v>
      </c>
      <c r="BI86" s="50">
        <v>0</v>
      </c>
      <c r="BJ86" s="49">
        <v>0</v>
      </c>
      <c r="BK86" s="50">
        <v>0</v>
      </c>
      <c r="BL86" s="49">
        <v>30</v>
      </c>
      <c r="BM86" s="50">
        <v>100</v>
      </c>
      <c r="BN86" s="49">
        <v>30</v>
      </c>
    </row>
    <row r="87" spans="1:66" ht="15">
      <c r="A87" s="65" t="s">
        <v>271</v>
      </c>
      <c r="B87" s="65" t="s">
        <v>314</v>
      </c>
      <c r="C87" s="66" t="s">
        <v>2153</v>
      </c>
      <c r="D87" s="67">
        <v>3</v>
      </c>
      <c r="E87" s="66" t="s">
        <v>132</v>
      </c>
      <c r="F87" s="69">
        <v>32</v>
      </c>
      <c r="G87" s="66"/>
      <c r="H87" s="70"/>
      <c r="I87" s="71"/>
      <c r="J87" s="71"/>
      <c r="K87" s="35" t="s">
        <v>65</v>
      </c>
      <c r="L87" s="72">
        <v>87</v>
      </c>
      <c r="M87" s="72"/>
      <c r="N87" s="73"/>
      <c r="O87" s="80" t="s">
        <v>353</v>
      </c>
      <c r="P87" s="82">
        <v>44216.455</v>
      </c>
      <c r="Q87" s="80" t="s">
        <v>374</v>
      </c>
      <c r="R87" s="84" t="str">
        <f>HYPERLINK("https://www.tiess.online/registration?utm_source=SM&amp;utm_medium=Lassalle&amp;utm_campaign=TIESS&amp;utm_term=013")</f>
        <v>https://www.tiess.online/registration?utm_source=SM&amp;utm_medium=Lassalle&amp;utm_campaign=TIESS&amp;utm_term=013</v>
      </c>
      <c r="S87" s="80" t="s">
        <v>444</v>
      </c>
      <c r="T87" s="80" t="s">
        <v>450</v>
      </c>
      <c r="U87" s="84" t="str">
        <f>HYPERLINK("https://pbs.twimg.com/media/EsK4gfVVkAEq-xb.jpg")</f>
        <v>https://pbs.twimg.com/media/EsK4gfVVkAEq-xb.jpg</v>
      </c>
      <c r="V87" s="84" t="str">
        <f>HYPERLINK("https://pbs.twimg.com/media/EsK4gfVVkAEq-xb.jpg")</f>
        <v>https://pbs.twimg.com/media/EsK4gfVVkAEq-xb.jpg</v>
      </c>
      <c r="W87" s="82">
        <v>44216.455</v>
      </c>
      <c r="X87" s="86">
        <v>44216</v>
      </c>
      <c r="Y87" s="88" t="s">
        <v>505</v>
      </c>
      <c r="Z87" s="84" t="str">
        <f>HYPERLINK("https://twitter.com/indiadidac/status/1351845726834212873")</f>
        <v>https://twitter.com/indiadidac/status/1351845726834212873</v>
      </c>
      <c r="AA87" s="80"/>
      <c r="AB87" s="80"/>
      <c r="AC87" s="88" t="s">
        <v>656</v>
      </c>
      <c r="AD87" s="80"/>
      <c r="AE87" s="80" t="b">
        <v>0</v>
      </c>
      <c r="AF87" s="80">
        <v>1</v>
      </c>
      <c r="AG87" s="88" t="s">
        <v>763</v>
      </c>
      <c r="AH87" s="80" t="b">
        <v>0</v>
      </c>
      <c r="AI87" s="80" t="s">
        <v>764</v>
      </c>
      <c r="AJ87" s="80"/>
      <c r="AK87" s="88" t="s">
        <v>763</v>
      </c>
      <c r="AL87" s="80" t="b">
        <v>0</v>
      </c>
      <c r="AM87" s="80">
        <v>0</v>
      </c>
      <c r="AN87" s="88" t="s">
        <v>763</v>
      </c>
      <c r="AO87" s="80" t="s">
        <v>765</v>
      </c>
      <c r="AP87" s="80" t="b">
        <v>0</v>
      </c>
      <c r="AQ87" s="88" t="s">
        <v>656</v>
      </c>
      <c r="AR87" s="80" t="s">
        <v>197</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9">
        <v>0</v>
      </c>
      <c r="BG87" s="50">
        <v>0</v>
      </c>
      <c r="BH87" s="49">
        <v>0</v>
      </c>
      <c r="BI87" s="50">
        <v>0</v>
      </c>
      <c r="BJ87" s="49">
        <v>0</v>
      </c>
      <c r="BK87" s="50">
        <v>0</v>
      </c>
      <c r="BL87" s="49">
        <v>30</v>
      </c>
      <c r="BM87" s="50">
        <v>100</v>
      </c>
      <c r="BN87" s="49">
        <v>30</v>
      </c>
    </row>
    <row r="88" spans="1:66" ht="15">
      <c r="A88" s="65" t="s">
        <v>275</v>
      </c>
      <c r="B88" s="65" t="s">
        <v>310</v>
      </c>
      <c r="C88" s="66" t="s">
        <v>2153</v>
      </c>
      <c r="D88" s="67">
        <v>3</v>
      </c>
      <c r="E88" s="66" t="s">
        <v>132</v>
      </c>
      <c r="F88" s="69">
        <v>32</v>
      </c>
      <c r="G88" s="66"/>
      <c r="H88" s="70"/>
      <c r="I88" s="71"/>
      <c r="J88" s="71"/>
      <c r="K88" s="35" t="s">
        <v>65</v>
      </c>
      <c r="L88" s="72">
        <v>88</v>
      </c>
      <c r="M88" s="72"/>
      <c r="N88" s="73"/>
      <c r="O88" s="80" t="s">
        <v>352</v>
      </c>
      <c r="P88" s="82">
        <v>44219.75224537037</v>
      </c>
      <c r="Q88" s="80" t="s">
        <v>365</v>
      </c>
      <c r="R88" s="84" t="str">
        <f>HYPERLINK("https://www.tiess.online/registration?utm_source=SM&amp;utm_medium=Timmers&amp;utm_campaign=TIESS&amp;utm_term=022")</f>
        <v>https://www.tiess.online/registration?utm_source=SM&amp;utm_medium=Timmers&amp;utm_campaign=TIESS&amp;utm_term=022</v>
      </c>
      <c r="S88" s="80" t="s">
        <v>444</v>
      </c>
      <c r="T88" s="80" t="s">
        <v>449</v>
      </c>
      <c r="U88" s="84" t="str">
        <f>HYPERLINK("https://pbs.twimg.com/media/EsLob21VQAAdPsn.jpg")</f>
        <v>https://pbs.twimg.com/media/EsLob21VQAAdPsn.jpg</v>
      </c>
      <c r="V88" s="84" t="str">
        <f>HYPERLINK("https://pbs.twimg.com/media/EsLob21VQAAdPsn.jpg")</f>
        <v>https://pbs.twimg.com/media/EsLob21VQAAdPsn.jpg</v>
      </c>
      <c r="W88" s="82">
        <v>44219.75224537037</v>
      </c>
      <c r="X88" s="86">
        <v>44219</v>
      </c>
      <c r="Y88" s="88" t="s">
        <v>506</v>
      </c>
      <c r="Z88" s="84" t="str">
        <f>HYPERLINK("https://twitter.com/zelfstudie/status/1353040611230801920")</f>
        <v>https://twitter.com/zelfstudie/status/1353040611230801920</v>
      </c>
      <c r="AA88" s="80"/>
      <c r="AB88" s="80"/>
      <c r="AC88" s="88" t="s">
        <v>657</v>
      </c>
      <c r="AD88" s="80"/>
      <c r="AE88" s="80" t="b">
        <v>0</v>
      </c>
      <c r="AF88" s="80">
        <v>0</v>
      </c>
      <c r="AG88" s="88" t="s">
        <v>763</v>
      </c>
      <c r="AH88" s="80" t="b">
        <v>0</v>
      </c>
      <c r="AI88" s="80" t="s">
        <v>764</v>
      </c>
      <c r="AJ88" s="80"/>
      <c r="AK88" s="88" t="s">
        <v>763</v>
      </c>
      <c r="AL88" s="80" t="b">
        <v>0</v>
      </c>
      <c r="AM88" s="80">
        <v>3</v>
      </c>
      <c r="AN88" s="88" t="s">
        <v>658</v>
      </c>
      <c r="AO88" s="80" t="s">
        <v>765</v>
      </c>
      <c r="AP88" s="80" t="b">
        <v>0</v>
      </c>
      <c r="AQ88" s="88" t="s">
        <v>658</v>
      </c>
      <c r="AR88" s="80" t="s">
        <v>197</v>
      </c>
      <c r="AS88" s="80">
        <v>0</v>
      </c>
      <c r="AT88" s="80">
        <v>0</v>
      </c>
      <c r="AU88" s="80"/>
      <c r="AV88" s="80"/>
      <c r="AW88" s="80"/>
      <c r="AX88" s="80"/>
      <c r="AY88" s="80"/>
      <c r="AZ88" s="80"/>
      <c r="BA88" s="80"/>
      <c r="BB88" s="80"/>
      <c r="BC88">
        <v>1</v>
      </c>
      <c r="BD88" s="79" t="str">
        <f>REPLACE(INDEX(GroupVertices[Group],MATCH(Edges[[#This Row],[Vertex 1]],GroupVertices[Vertex],0)),1,1,"")</f>
        <v>9</v>
      </c>
      <c r="BE88" s="79" t="str">
        <f>REPLACE(INDEX(GroupVertices[Group],MATCH(Edges[[#This Row],[Vertex 2]],GroupVertices[Vertex],0)),1,1,"")</f>
        <v>9</v>
      </c>
      <c r="BF88" s="49"/>
      <c r="BG88" s="50"/>
      <c r="BH88" s="49"/>
      <c r="BI88" s="50"/>
      <c r="BJ88" s="49"/>
      <c r="BK88" s="50"/>
      <c r="BL88" s="49"/>
      <c r="BM88" s="50"/>
      <c r="BN88" s="49"/>
    </row>
    <row r="89" spans="1:66" ht="15">
      <c r="A89" s="65" t="s">
        <v>271</v>
      </c>
      <c r="B89" s="65" t="s">
        <v>310</v>
      </c>
      <c r="C89" s="66" t="s">
        <v>2153</v>
      </c>
      <c r="D89" s="67">
        <v>3</v>
      </c>
      <c r="E89" s="66" t="s">
        <v>132</v>
      </c>
      <c r="F89" s="69">
        <v>32</v>
      </c>
      <c r="G89" s="66"/>
      <c r="H89" s="70"/>
      <c r="I89" s="71"/>
      <c r="J89" s="71"/>
      <c r="K89" s="35" t="s">
        <v>65</v>
      </c>
      <c r="L89" s="72">
        <v>89</v>
      </c>
      <c r="M89" s="72"/>
      <c r="N89" s="73"/>
      <c r="O89" s="80" t="s">
        <v>353</v>
      </c>
      <c r="P89" s="82">
        <v>44216.60045138889</v>
      </c>
      <c r="Q89" s="80" t="s">
        <v>365</v>
      </c>
      <c r="R89" s="84" t="str">
        <f>HYPERLINK("https://www.tiess.online/registration?utm_source=SM&amp;utm_medium=Timmers&amp;utm_campaign=TIESS&amp;utm_term=022")</f>
        <v>https://www.tiess.online/registration?utm_source=SM&amp;utm_medium=Timmers&amp;utm_campaign=TIESS&amp;utm_term=022</v>
      </c>
      <c r="S89" s="80" t="s">
        <v>444</v>
      </c>
      <c r="T89" s="80" t="s">
        <v>449</v>
      </c>
      <c r="U89" s="84" t="str">
        <f>HYPERLINK("https://pbs.twimg.com/media/EsLob21VQAAdPsn.jpg")</f>
        <v>https://pbs.twimg.com/media/EsLob21VQAAdPsn.jpg</v>
      </c>
      <c r="V89" s="84" t="str">
        <f>HYPERLINK("https://pbs.twimg.com/media/EsLob21VQAAdPsn.jpg")</f>
        <v>https://pbs.twimg.com/media/EsLob21VQAAdPsn.jpg</v>
      </c>
      <c r="W89" s="82">
        <v>44216.60045138889</v>
      </c>
      <c r="X89" s="86">
        <v>44216</v>
      </c>
      <c r="Y89" s="88" t="s">
        <v>507</v>
      </c>
      <c r="Z89" s="84" t="str">
        <f>HYPERLINK("https://twitter.com/indiadidac/status/1351898436954595333")</f>
        <v>https://twitter.com/indiadidac/status/1351898436954595333</v>
      </c>
      <c r="AA89" s="80"/>
      <c r="AB89" s="80"/>
      <c r="AC89" s="88" t="s">
        <v>658</v>
      </c>
      <c r="AD89" s="80"/>
      <c r="AE89" s="80" t="b">
        <v>0</v>
      </c>
      <c r="AF89" s="80">
        <v>9</v>
      </c>
      <c r="AG89" s="88" t="s">
        <v>763</v>
      </c>
      <c r="AH89" s="80" t="b">
        <v>0</v>
      </c>
      <c r="AI89" s="80" t="s">
        <v>764</v>
      </c>
      <c r="AJ89" s="80"/>
      <c r="AK89" s="88" t="s">
        <v>763</v>
      </c>
      <c r="AL89" s="80" t="b">
        <v>0</v>
      </c>
      <c r="AM89" s="80">
        <v>3</v>
      </c>
      <c r="AN89" s="88" t="s">
        <v>763</v>
      </c>
      <c r="AO89" s="80" t="s">
        <v>765</v>
      </c>
      <c r="AP89" s="80" t="b">
        <v>0</v>
      </c>
      <c r="AQ89" s="88" t="s">
        <v>658</v>
      </c>
      <c r="AR89" s="80" t="s">
        <v>197</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9</v>
      </c>
      <c r="BF89" s="49"/>
      <c r="BG89" s="50"/>
      <c r="BH89" s="49"/>
      <c r="BI89" s="50"/>
      <c r="BJ89" s="49"/>
      <c r="BK89" s="50"/>
      <c r="BL89" s="49"/>
      <c r="BM89" s="50"/>
      <c r="BN89" s="49"/>
    </row>
    <row r="90" spans="1:66" ht="15">
      <c r="A90" s="65" t="s">
        <v>275</v>
      </c>
      <c r="B90" s="65" t="s">
        <v>271</v>
      </c>
      <c r="C90" s="66" t="s">
        <v>2153</v>
      </c>
      <c r="D90" s="67">
        <v>3</v>
      </c>
      <c r="E90" s="66" t="s">
        <v>132</v>
      </c>
      <c r="F90" s="69">
        <v>32</v>
      </c>
      <c r="G90" s="66"/>
      <c r="H90" s="70"/>
      <c r="I90" s="71"/>
      <c r="J90" s="71"/>
      <c r="K90" s="35" t="s">
        <v>66</v>
      </c>
      <c r="L90" s="72">
        <v>90</v>
      </c>
      <c r="M90" s="72"/>
      <c r="N90" s="73"/>
      <c r="O90" s="80" t="s">
        <v>351</v>
      </c>
      <c r="P90" s="82">
        <v>44219.75224537037</v>
      </c>
      <c r="Q90" s="80" t="s">
        <v>365</v>
      </c>
      <c r="R90" s="84" t="str">
        <f>HYPERLINK("https://www.tiess.online/registration?utm_source=SM&amp;utm_medium=Timmers&amp;utm_campaign=TIESS&amp;utm_term=022")</f>
        <v>https://www.tiess.online/registration?utm_source=SM&amp;utm_medium=Timmers&amp;utm_campaign=TIESS&amp;utm_term=022</v>
      </c>
      <c r="S90" s="80" t="s">
        <v>444</v>
      </c>
      <c r="T90" s="80" t="s">
        <v>449</v>
      </c>
      <c r="U90" s="84" t="str">
        <f>HYPERLINK("https://pbs.twimg.com/media/EsLob21VQAAdPsn.jpg")</f>
        <v>https://pbs.twimg.com/media/EsLob21VQAAdPsn.jpg</v>
      </c>
      <c r="V90" s="84" t="str">
        <f>HYPERLINK("https://pbs.twimg.com/media/EsLob21VQAAdPsn.jpg")</f>
        <v>https://pbs.twimg.com/media/EsLob21VQAAdPsn.jpg</v>
      </c>
      <c r="W90" s="82">
        <v>44219.75224537037</v>
      </c>
      <c r="X90" s="86">
        <v>44219</v>
      </c>
      <c r="Y90" s="88" t="s">
        <v>506</v>
      </c>
      <c r="Z90" s="84" t="str">
        <f>HYPERLINK("https://twitter.com/zelfstudie/status/1353040611230801920")</f>
        <v>https://twitter.com/zelfstudie/status/1353040611230801920</v>
      </c>
      <c r="AA90" s="80"/>
      <c r="AB90" s="80"/>
      <c r="AC90" s="88" t="s">
        <v>657</v>
      </c>
      <c r="AD90" s="80"/>
      <c r="AE90" s="80" t="b">
        <v>0</v>
      </c>
      <c r="AF90" s="80">
        <v>0</v>
      </c>
      <c r="AG90" s="88" t="s">
        <v>763</v>
      </c>
      <c r="AH90" s="80" t="b">
        <v>0</v>
      </c>
      <c r="AI90" s="80" t="s">
        <v>764</v>
      </c>
      <c r="AJ90" s="80"/>
      <c r="AK90" s="88" t="s">
        <v>763</v>
      </c>
      <c r="AL90" s="80" t="b">
        <v>0</v>
      </c>
      <c r="AM90" s="80">
        <v>3</v>
      </c>
      <c r="AN90" s="88" t="s">
        <v>658</v>
      </c>
      <c r="AO90" s="80" t="s">
        <v>765</v>
      </c>
      <c r="AP90" s="80" t="b">
        <v>0</v>
      </c>
      <c r="AQ90" s="88" t="s">
        <v>658</v>
      </c>
      <c r="AR90" s="80" t="s">
        <v>197</v>
      </c>
      <c r="AS90" s="80">
        <v>0</v>
      </c>
      <c r="AT90" s="80">
        <v>0</v>
      </c>
      <c r="AU90" s="80"/>
      <c r="AV90" s="80"/>
      <c r="AW90" s="80"/>
      <c r="AX90" s="80"/>
      <c r="AY90" s="80"/>
      <c r="AZ90" s="80"/>
      <c r="BA90" s="80"/>
      <c r="BB90" s="80"/>
      <c r="BC90">
        <v>1</v>
      </c>
      <c r="BD90" s="79" t="str">
        <f>REPLACE(INDEX(GroupVertices[Group],MATCH(Edges[[#This Row],[Vertex 1]],GroupVertices[Vertex],0)),1,1,"")</f>
        <v>9</v>
      </c>
      <c r="BE90" s="79" t="str">
        <f>REPLACE(INDEX(GroupVertices[Group],MATCH(Edges[[#This Row],[Vertex 2]],GroupVertices[Vertex],0)),1,1,"")</f>
        <v>1</v>
      </c>
      <c r="BF90" s="49">
        <v>2</v>
      </c>
      <c r="BG90" s="50">
        <v>5.882352941176471</v>
      </c>
      <c r="BH90" s="49">
        <v>0</v>
      </c>
      <c r="BI90" s="50">
        <v>0</v>
      </c>
      <c r="BJ90" s="49">
        <v>0</v>
      </c>
      <c r="BK90" s="50">
        <v>0</v>
      </c>
      <c r="BL90" s="49">
        <v>32</v>
      </c>
      <c r="BM90" s="50">
        <v>94.11764705882354</v>
      </c>
      <c r="BN90" s="49">
        <v>34</v>
      </c>
    </row>
    <row r="91" spans="1:66" ht="15">
      <c r="A91" s="65" t="s">
        <v>271</v>
      </c>
      <c r="B91" s="65" t="s">
        <v>275</v>
      </c>
      <c r="C91" s="66" t="s">
        <v>2153</v>
      </c>
      <c r="D91" s="67">
        <v>3</v>
      </c>
      <c r="E91" s="66" t="s">
        <v>132</v>
      </c>
      <c r="F91" s="69">
        <v>32</v>
      </c>
      <c r="G91" s="66"/>
      <c r="H91" s="70"/>
      <c r="I91" s="71"/>
      <c r="J91" s="71"/>
      <c r="K91" s="35" t="s">
        <v>66</v>
      </c>
      <c r="L91" s="72">
        <v>91</v>
      </c>
      <c r="M91" s="72"/>
      <c r="N91" s="73"/>
      <c r="O91" s="80" t="s">
        <v>353</v>
      </c>
      <c r="P91" s="82">
        <v>44216.60045138889</v>
      </c>
      <c r="Q91" s="80" t="s">
        <v>365</v>
      </c>
      <c r="R91" s="84" t="str">
        <f>HYPERLINK("https://www.tiess.online/registration?utm_source=SM&amp;utm_medium=Timmers&amp;utm_campaign=TIESS&amp;utm_term=022")</f>
        <v>https://www.tiess.online/registration?utm_source=SM&amp;utm_medium=Timmers&amp;utm_campaign=TIESS&amp;utm_term=022</v>
      </c>
      <c r="S91" s="80" t="s">
        <v>444</v>
      </c>
      <c r="T91" s="80" t="s">
        <v>449</v>
      </c>
      <c r="U91" s="84" t="str">
        <f>HYPERLINK("https://pbs.twimg.com/media/EsLob21VQAAdPsn.jpg")</f>
        <v>https://pbs.twimg.com/media/EsLob21VQAAdPsn.jpg</v>
      </c>
      <c r="V91" s="84" t="str">
        <f>HYPERLINK("https://pbs.twimg.com/media/EsLob21VQAAdPsn.jpg")</f>
        <v>https://pbs.twimg.com/media/EsLob21VQAAdPsn.jpg</v>
      </c>
      <c r="W91" s="82">
        <v>44216.60045138889</v>
      </c>
      <c r="X91" s="86">
        <v>44216</v>
      </c>
      <c r="Y91" s="88" t="s">
        <v>507</v>
      </c>
      <c r="Z91" s="84" t="str">
        <f>HYPERLINK("https://twitter.com/indiadidac/status/1351898436954595333")</f>
        <v>https://twitter.com/indiadidac/status/1351898436954595333</v>
      </c>
      <c r="AA91" s="80"/>
      <c r="AB91" s="80"/>
      <c r="AC91" s="88" t="s">
        <v>658</v>
      </c>
      <c r="AD91" s="80"/>
      <c r="AE91" s="80" t="b">
        <v>0</v>
      </c>
      <c r="AF91" s="80">
        <v>9</v>
      </c>
      <c r="AG91" s="88" t="s">
        <v>763</v>
      </c>
      <c r="AH91" s="80" t="b">
        <v>0</v>
      </c>
      <c r="AI91" s="80" t="s">
        <v>764</v>
      </c>
      <c r="AJ91" s="80"/>
      <c r="AK91" s="88" t="s">
        <v>763</v>
      </c>
      <c r="AL91" s="80" t="b">
        <v>0</v>
      </c>
      <c r="AM91" s="80">
        <v>3</v>
      </c>
      <c r="AN91" s="88" t="s">
        <v>763</v>
      </c>
      <c r="AO91" s="80" t="s">
        <v>765</v>
      </c>
      <c r="AP91" s="80" t="b">
        <v>0</v>
      </c>
      <c r="AQ91" s="88" t="s">
        <v>658</v>
      </c>
      <c r="AR91" s="80" t="s">
        <v>197</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9</v>
      </c>
      <c r="BF91" s="49">
        <v>2</v>
      </c>
      <c r="BG91" s="50">
        <v>5.882352941176471</v>
      </c>
      <c r="BH91" s="49">
        <v>0</v>
      </c>
      <c r="BI91" s="50">
        <v>0</v>
      </c>
      <c r="BJ91" s="49">
        <v>0</v>
      </c>
      <c r="BK91" s="50">
        <v>0</v>
      </c>
      <c r="BL91" s="49">
        <v>32</v>
      </c>
      <c r="BM91" s="50">
        <v>94.11764705882354</v>
      </c>
      <c r="BN91" s="49">
        <v>34</v>
      </c>
    </row>
    <row r="92" spans="1:66" ht="15">
      <c r="A92" s="65" t="s">
        <v>271</v>
      </c>
      <c r="B92" s="65" t="s">
        <v>315</v>
      </c>
      <c r="C92" s="66" t="s">
        <v>2153</v>
      </c>
      <c r="D92" s="67">
        <v>3</v>
      </c>
      <c r="E92" s="66" t="s">
        <v>132</v>
      </c>
      <c r="F92" s="69">
        <v>32</v>
      </c>
      <c r="G92" s="66"/>
      <c r="H92" s="70"/>
      <c r="I92" s="71"/>
      <c r="J92" s="71"/>
      <c r="K92" s="35" t="s">
        <v>65</v>
      </c>
      <c r="L92" s="72">
        <v>92</v>
      </c>
      <c r="M92" s="72"/>
      <c r="N92" s="73"/>
      <c r="O92" s="80" t="s">
        <v>353</v>
      </c>
      <c r="P92" s="82">
        <v>44217.19584490741</v>
      </c>
      <c r="Q92" s="80" t="s">
        <v>375</v>
      </c>
      <c r="R92" s="84" t="str">
        <f>HYPERLINK("https://www.tiess.online/registration?utm_source=SM&amp;utm_medium=Timmers&amp;utm_campaign=TIESS&amp;utm_term=022")</f>
        <v>https://www.tiess.online/registration?utm_source=SM&amp;utm_medium=Timmers&amp;utm_campaign=TIESS&amp;utm_term=022</v>
      </c>
      <c r="S92" s="80" t="s">
        <v>444</v>
      </c>
      <c r="T92" s="80" t="s">
        <v>450</v>
      </c>
      <c r="U92" s="84" t="str">
        <f>HYPERLINK("https://pbs.twimg.com/media/EsOscRDVcAAn7qj.jpg")</f>
        <v>https://pbs.twimg.com/media/EsOscRDVcAAn7qj.jpg</v>
      </c>
      <c r="V92" s="84" t="str">
        <f>HYPERLINK("https://pbs.twimg.com/media/EsOscRDVcAAn7qj.jpg")</f>
        <v>https://pbs.twimg.com/media/EsOscRDVcAAn7qj.jpg</v>
      </c>
      <c r="W92" s="82">
        <v>44217.19584490741</v>
      </c>
      <c r="X92" s="86">
        <v>44217</v>
      </c>
      <c r="Y92" s="88" t="s">
        <v>508</v>
      </c>
      <c r="Z92" s="84" t="str">
        <f>HYPERLINK("https://twitter.com/indiadidac/status/1352114202047991809")</f>
        <v>https://twitter.com/indiadidac/status/1352114202047991809</v>
      </c>
      <c r="AA92" s="80"/>
      <c r="AB92" s="80"/>
      <c r="AC92" s="88" t="s">
        <v>659</v>
      </c>
      <c r="AD92" s="80"/>
      <c r="AE92" s="80" t="b">
        <v>0</v>
      </c>
      <c r="AF92" s="80">
        <v>2</v>
      </c>
      <c r="AG92" s="88" t="s">
        <v>763</v>
      </c>
      <c r="AH92" s="80" t="b">
        <v>0</v>
      </c>
      <c r="AI92" s="80" t="s">
        <v>764</v>
      </c>
      <c r="AJ92" s="80"/>
      <c r="AK92" s="88" t="s">
        <v>763</v>
      </c>
      <c r="AL92" s="80" t="b">
        <v>0</v>
      </c>
      <c r="AM92" s="80">
        <v>0</v>
      </c>
      <c r="AN92" s="88" t="s">
        <v>763</v>
      </c>
      <c r="AO92" s="80" t="s">
        <v>765</v>
      </c>
      <c r="AP92" s="80" t="b">
        <v>0</v>
      </c>
      <c r="AQ92" s="88" t="s">
        <v>659</v>
      </c>
      <c r="AR92" s="80" t="s">
        <v>197</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9">
        <v>1</v>
      </c>
      <c r="BG92" s="50">
        <v>3.3333333333333335</v>
      </c>
      <c r="BH92" s="49">
        <v>0</v>
      </c>
      <c r="BI92" s="50">
        <v>0</v>
      </c>
      <c r="BJ92" s="49">
        <v>0</v>
      </c>
      <c r="BK92" s="50">
        <v>0</v>
      </c>
      <c r="BL92" s="49">
        <v>29</v>
      </c>
      <c r="BM92" s="50">
        <v>96.66666666666667</v>
      </c>
      <c r="BN92" s="49">
        <v>30</v>
      </c>
    </row>
    <row r="93" spans="1:66" ht="15">
      <c r="A93" s="65" t="s">
        <v>276</v>
      </c>
      <c r="B93" s="65" t="s">
        <v>316</v>
      </c>
      <c r="C93" s="66" t="s">
        <v>2153</v>
      </c>
      <c r="D93" s="67">
        <v>3</v>
      </c>
      <c r="E93" s="66" t="s">
        <v>132</v>
      </c>
      <c r="F93" s="69">
        <v>32</v>
      </c>
      <c r="G93" s="66"/>
      <c r="H93" s="70"/>
      <c r="I93" s="71"/>
      <c r="J93" s="71"/>
      <c r="K93" s="35" t="s">
        <v>65</v>
      </c>
      <c r="L93" s="72">
        <v>93</v>
      </c>
      <c r="M93" s="72"/>
      <c r="N93" s="73"/>
      <c r="O93" s="80" t="s">
        <v>352</v>
      </c>
      <c r="P93" s="82">
        <v>44218.528032407405</v>
      </c>
      <c r="Q93" s="80" t="s">
        <v>376</v>
      </c>
      <c r="R93" s="84" t="str">
        <f>HYPERLINK("https://www.tiess.online/registration?utm_source=SM&amp;utm_medium=Kelly&amp;utm_campaign=TIESS&amp;utm_term=024")</f>
        <v>https://www.tiess.online/registration?utm_source=SM&amp;utm_medium=Kelly&amp;utm_campaign=TIESS&amp;utm_term=024</v>
      </c>
      <c r="S93" s="80" t="s">
        <v>444</v>
      </c>
      <c r="T93" s="80" t="s">
        <v>450</v>
      </c>
      <c r="U93" s="84" t="str">
        <f>HYPERLINK("https://pbs.twimg.com/media/EsOuxjmVEAArrSP.jpg")</f>
        <v>https://pbs.twimg.com/media/EsOuxjmVEAArrSP.jpg</v>
      </c>
      <c r="V93" s="84" t="str">
        <f>HYPERLINK("https://pbs.twimg.com/media/EsOuxjmVEAArrSP.jpg")</f>
        <v>https://pbs.twimg.com/media/EsOuxjmVEAArrSP.jpg</v>
      </c>
      <c r="W93" s="82">
        <v>44218.528032407405</v>
      </c>
      <c r="X93" s="86">
        <v>44218</v>
      </c>
      <c r="Y93" s="88" t="s">
        <v>509</v>
      </c>
      <c r="Z93" s="84" t="str">
        <f>HYPERLINK("https://twitter.com/mkelly_explo/status/1352596971740131330")</f>
        <v>https://twitter.com/mkelly_explo/status/1352596971740131330</v>
      </c>
      <c r="AA93" s="80"/>
      <c r="AB93" s="80"/>
      <c r="AC93" s="88" t="s">
        <v>660</v>
      </c>
      <c r="AD93" s="80"/>
      <c r="AE93" s="80" t="b">
        <v>0</v>
      </c>
      <c r="AF93" s="80">
        <v>0</v>
      </c>
      <c r="AG93" s="88" t="s">
        <v>763</v>
      </c>
      <c r="AH93" s="80" t="b">
        <v>0</v>
      </c>
      <c r="AI93" s="80" t="s">
        <v>764</v>
      </c>
      <c r="AJ93" s="80"/>
      <c r="AK93" s="88" t="s">
        <v>763</v>
      </c>
      <c r="AL93" s="80" t="b">
        <v>0</v>
      </c>
      <c r="AM93" s="80">
        <v>1</v>
      </c>
      <c r="AN93" s="88" t="s">
        <v>661</v>
      </c>
      <c r="AO93" s="80" t="s">
        <v>765</v>
      </c>
      <c r="AP93" s="80" t="b">
        <v>0</v>
      </c>
      <c r="AQ93" s="88" t="s">
        <v>661</v>
      </c>
      <c r="AR93" s="80" t="s">
        <v>197</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9">
        <v>0</v>
      </c>
      <c r="BG93" s="50">
        <v>0</v>
      </c>
      <c r="BH93" s="49">
        <v>1</v>
      </c>
      <c r="BI93" s="50">
        <v>3.125</v>
      </c>
      <c r="BJ93" s="49">
        <v>0</v>
      </c>
      <c r="BK93" s="50">
        <v>0</v>
      </c>
      <c r="BL93" s="49">
        <v>31</v>
      </c>
      <c r="BM93" s="50">
        <v>96.875</v>
      </c>
      <c r="BN93" s="49">
        <v>32</v>
      </c>
    </row>
    <row r="94" spans="1:66" ht="15">
      <c r="A94" s="65" t="s">
        <v>271</v>
      </c>
      <c r="B94" s="65" t="s">
        <v>316</v>
      </c>
      <c r="C94" s="66" t="s">
        <v>2153</v>
      </c>
      <c r="D94" s="67">
        <v>3</v>
      </c>
      <c r="E94" s="66" t="s">
        <v>132</v>
      </c>
      <c r="F94" s="69">
        <v>32</v>
      </c>
      <c r="G94" s="66"/>
      <c r="H94" s="70"/>
      <c r="I94" s="71"/>
      <c r="J94" s="71"/>
      <c r="K94" s="35" t="s">
        <v>65</v>
      </c>
      <c r="L94" s="72">
        <v>94</v>
      </c>
      <c r="M94" s="72"/>
      <c r="N94" s="73"/>
      <c r="O94" s="80" t="s">
        <v>353</v>
      </c>
      <c r="P94" s="82">
        <v>44217.20238425926</v>
      </c>
      <c r="Q94" s="80" t="s">
        <v>376</v>
      </c>
      <c r="R94" s="84" t="str">
        <f>HYPERLINK("https://www.tiess.online/registration?utm_source=SM&amp;utm_medium=Kelly&amp;utm_campaign=TIESS&amp;utm_term=024")</f>
        <v>https://www.tiess.online/registration?utm_source=SM&amp;utm_medium=Kelly&amp;utm_campaign=TIESS&amp;utm_term=024</v>
      </c>
      <c r="S94" s="80" t="s">
        <v>444</v>
      </c>
      <c r="T94" s="80" t="s">
        <v>450</v>
      </c>
      <c r="U94" s="84" t="str">
        <f>HYPERLINK("https://pbs.twimg.com/media/EsOuxjmVEAArrSP.jpg")</f>
        <v>https://pbs.twimg.com/media/EsOuxjmVEAArrSP.jpg</v>
      </c>
      <c r="V94" s="84" t="str">
        <f>HYPERLINK("https://pbs.twimg.com/media/EsOuxjmVEAArrSP.jpg")</f>
        <v>https://pbs.twimg.com/media/EsOuxjmVEAArrSP.jpg</v>
      </c>
      <c r="W94" s="82">
        <v>44217.20238425926</v>
      </c>
      <c r="X94" s="86">
        <v>44217</v>
      </c>
      <c r="Y94" s="88" t="s">
        <v>510</v>
      </c>
      <c r="Z94" s="84" t="str">
        <f>HYPERLINK("https://twitter.com/indiadidac/status/1352116573113208833")</f>
        <v>https://twitter.com/indiadidac/status/1352116573113208833</v>
      </c>
      <c r="AA94" s="80"/>
      <c r="AB94" s="80"/>
      <c r="AC94" s="88" t="s">
        <v>661</v>
      </c>
      <c r="AD94" s="80"/>
      <c r="AE94" s="80" t="b">
        <v>0</v>
      </c>
      <c r="AF94" s="80">
        <v>3</v>
      </c>
      <c r="AG94" s="88" t="s">
        <v>763</v>
      </c>
      <c r="AH94" s="80" t="b">
        <v>0</v>
      </c>
      <c r="AI94" s="80" t="s">
        <v>764</v>
      </c>
      <c r="AJ94" s="80"/>
      <c r="AK94" s="88" t="s">
        <v>763</v>
      </c>
      <c r="AL94" s="80" t="b">
        <v>0</v>
      </c>
      <c r="AM94" s="80">
        <v>1</v>
      </c>
      <c r="AN94" s="88" t="s">
        <v>763</v>
      </c>
      <c r="AO94" s="80" t="s">
        <v>765</v>
      </c>
      <c r="AP94" s="80" t="b">
        <v>0</v>
      </c>
      <c r="AQ94" s="88" t="s">
        <v>661</v>
      </c>
      <c r="AR94" s="80" t="s">
        <v>197</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9">
        <v>0</v>
      </c>
      <c r="BG94" s="50">
        <v>0</v>
      </c>
      <c r="BH94" s="49">
        <v>1</v>
      </c>
      <c r="BI94" s="50">
        <v>3.125</v>
      </c>
      <c r="BJ94" s="49">
        <v>0</v>
      </c>
      <c r="BK94" s="50">
        <v>0</v>
      </c>
      <c r="BL94" s="49">
        <v>31</v>
      </c>
      <c r="BM94" s="50">
        <v>96.875</v>
      </c>
      <c r="BN94" s="49">
        <v>32</v>
      </c>
    </row>
    <row r="95" spans="1:66" ht="15">
      <c r="A95" s="65" t="s">
        <v>276</v>
      </c>
      <c r="B95" s="65" t="s">
        <v>271</v>
      </c>
      <c r="C95" s="66" t="s">
        <v>2153</v>
      </c>
      <c r="D95" s="67">
        <v>3</v>
      </c>
      <c r="E95" s="66" t="s">
        <v>132</v>
      </c>
      <c r="F95" s="69">
        <v>32</v>
      </c>
      <c r="G95" s="66"/>
      <c r="H95" s="70"/>
      <c r="I95" s="71"/>
      <c r="J95" s="71"/>
      <c r="K95" s="35" t="s">
        <v>66</v>
      </c>
      <c r="L95" s="72">
        <v>95</v>
      </c>
      <c r="M95" s="72"/>
      <c r="N95" s="73"/>
      <c r="O95" s="80" t="s">
        <v>351</v>
      </c>
      <c r="P95" s="82">
        <v>44218.528032407405</v>
      </c>
      <c r="Q95" s="80" t="s">
        <v>376</v>
      </c>
      <c r="R95" s="84" t="str">
        <f>HYPERLINK("https://www.tiess.online/registration?utm_source=SM&amp;utm_medium=Kelly&amp;utm_campaign=TIESS&amp;utm_term=024")</f>
        <v>https://www.tiess.online/registration?utm_source=SM&amp;utm_medium=Kelly&amp;utm_campaign=TIESS&amp;utm_term=024</v>
      </c>
      <c r="S95" s="80" t="s">
        <v>444</v>
      </c>
      <c r="T95" s="80" t="s">
        <v>450</v>
      </c>
      <c r="U95" s="84" t="str">
        <f>HYPERLINK("https://pbs.twimg.com/media/EsOuxjmVEAArrSP.jpg")</f>
        <v>https://pbs.twimg.com/media/EsOuxjmVEAArrSP.jpg</v>
      </c>
      <c r="V95" s="84" t="str">
        <f>HYPERLINK("https://pbs.twimg.com/media/EsOuxjmVEAArrSP.jpg")</f>
        <v>https://pbs.twimg.com/media/EsOuxjmVEAArrSP.jpg</v>
      </c>
      <c r="W95" s="82">
        <v>44218.528032407405</v>
      </c>
      <c r="X95" s="86">
        <v>44218</v>
      </c>
      <c r="Y95" s="88" t="s">
        <v>509</v>
      </c>
      <c r="Z95" s="84" t="str">
        <f>HYPERLINK("https://twitter.com/mkelly_explo/status/1352596971740131330")</f>
        <v>https://twitter.com/mkelly_explo/status/1352596971740131330</v>
      </c>
      <c r="AA95" s="80"/>
      <c r="AB95" s="80"/>
      <c r="AC95" s="88" t="s">
        <v>660</v>
      </c>
      <c r="AD95" s="80"/>
      <c r="AE95" s="80" t="b">
        <v>0</v>
      </c>
      <c r="AF95" s="80">
        <v>0</v>
      </c>
      <c r="AG95" s="88" t="s">
        <v>763</v>
      </c>
      <c r="AH95" s="80" t="b">
        <v>0</v>
      </c>
      <c r="AI95" s="80" t="s">
        <v>764</v>
      </c>
      <c r="AJ95" s="80"/>
      <c r="AK95" s="88" t="s">
        <v>763</v>
      </c>
      <c r="AL95" s="80" t="b">
        <v>0</v>
      </c>
      <c r="AM95" s="80">
        <v>1</v>
      </c>
      <c r="AN95" s="88" t="s">
        <v>661</v>
      </c>
      <c r="AO95" s="80" t="s">
        <v>765</v>
      </c>
      <c r="AP95" s="80" t="b">
        <v>0</v>
      </c>
      <c r="AQ95" s="88" t="s">
        <v>661</v>
      </c>
      <c r="AR95" s="80" t="s">
        <v>197</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271</v>
      </c>
      <c r="B96" s="65" t="s">
        <v>276</v>
      </c>
      <c r="C96" s="66" t="s">
        <v>2153</v>
      </c>
      <c r="D96" s="67">
        <v>3</v>
      </c>
      <c r="E96" s="66" t="s">
        <v>132</v>
      </c>
      <c r="F96" s="69">
        <v>32</v>
      </c>
      <c r="G96" s="66"/>
      <c r="H96" s="70"/>
      <c r="I96" s="71"/>
      <c r="J96" s="71"/>
      <c r="K96" s="35" t="s">
        <v>66</v>
      </c>
      <c r="L96" s="72">
        <v>96</v>
      </c>
      <c r="M96" s="72"/>
      <c r="N96" s="73"/>
      <c r="O96" s="80" t="s">
        <v>353</v>
      </c>
      <c r="P96" s="82">
        <v>44217.20238425926</v>
      </c>
      <c r="Q96" s="80" t="s">
        <v>376</v>
      </c>
      <c r="R96" s="84" t="str">
        <f>HYPERLINK("https://www.tiess.online/registration?utm_source=SM&amp;utm_medium=Kelly&amp;utm_campaign=TIESS&amp;utm_term=024")</f>
        <v>https://www.tiess.online/registration?utm_source=SM&amp;utm_medium=Kelly&amp;utm_campaign=TIESS&amp;utm_term=024</v>
      </c>
      <c r="S96" s="80" t="s">
        <v>444</v>
      </c>
      <c r="T96" s="80" t="s">
        <v>450</v>
      </c>
      <c r="U96" s="84" t="str">
        <f>HYPERLINK("https://pbs.twimg.com/media/EsOuxjmVEAArrSP.jpg")</f>
        <v>https://pbs.twimg.com/media/EsOuxjmVEAArrSP.jpg</v>
      </c>
      <c r="V96" s="84" t="str">
        <f>HYPERLINK("https://pbs.twimg.com/media/EsOuxjmVEAArrSP.jpg")</f>
        <v>https://pbs.twimg.com/media/EsOuxjmVEAArrSP.jpg</v>
      </c>
      <c r="W96" s="82">
        <v>44217.20238425926</v>
      </c>
      <c r="X96" s="86">
        <v>44217</v>
      </c>
      <c r="Y96" s="88" t="s">
        <v>510</v>
      </c>
      <c r="Z96" s="84" t="str">
        <f>HYPERLINK("https://twitter.com/indiadidac/status/1352116573113208833")</f>
        <v>https://twitter.com/indiadidac/status/1352116573113208833</v>
      </c>
      <c r="AA96" s="80"/>
      <c r="AB96" s="80"/>
      <c r="AC96" s="88" t="s">
        <v>661</v>
      </c>
      <c r="AD96" s="80"/>
      <c r="AE96" s="80" t="b">
        <v>0</v>
      </c>
      <c r="AF96" s="80">
        <v>3</v>
      </c>
      <c r="AG96" s="88" t="s">
        <v>763</v>
      </c>
      <c r="AH96" s="80" t="b">
        <v>0</v>
      </c>
      <c r="AI96" s="80" t="s">
        <v>764</v>
      </c>
      <c r="AJ96" s="80"/>
      <c r="AK96" s="88" t="s">
        <v>763</v>
      </c>
      <c r="AL96" s="80" t="b">
        <v>0</v>
      </c>
      <c r="AM96" s="80">
        <v>1</v>
      </c>
      <c r="AN96" s="88" t="s">
        <v>763</v>
      </c>
      <c r="AO96" s="80" t="s">
        <v>765</v>
      </c>
      <c r="AP96" s="80" t="b">
        <v>0</v>
      </c>
      <c r="AQ96" s="88" t="s">
        <v>661</v>
      </c>
      <c r="AR96" s="80" t="s">
        <v>197</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277</v>
      </c>
      <c r="B97" s="65" t="s">
        <v>271</v>
      </c>
      <c r="C97" s="66" t="s">
        <v>2153</v>
      </c>
      <c r="D97" s="67">
        <v>3</v>
      </c>
      <c r="E97" s="66" t="s">
        <v>132</v>
      </c>
      <c r="F97" s="69">
        <v>32</v>
      </c>
      <c r="G97" s="66"/>
      <c r="H97" s="70"/>
      <c r="I97" s="71"/>
      <c r="J97" s="71"/>
      <c r="K97" s="35" t="s">
        <v>66</v>
      </c>
      <c r="L97" s="72">
        <v>97</v>
      </c>
      <c r="M97" s="72"/>
      <c r="N97" s="73"/>
      <c r="O97" s="80" t="s">
        <v>351</v>
      </c>
      <c r="P97" s="82">
        <v>44222.48903935185</v>
      </c>
      <c r="Q97" s="80" t="s">
        <v>372</v>
      </c>
      <c r="R97" s="84" t="str">
        <f>HYPERLINK("https://www.tiess.online/registration?utm_source=SM&amp;utm_medium=Akyeampong&amp;utm_campaign=TIESS&amp;utm_term=031")</f>
        <v>https://www.tiess.online/registration?utm_source=SM&amp;utm_medium=Akyeampong&amp;utm_campaign=TIESS&amp;utm_term=031</v>
      </c>
      <c r="S97" s="80" t="s">
        <v>444</v>
      </c>
      <c r="T97" s="80" t="s">
        <v>450</v>
      </c>
      <c r="U97" s="84" t="str">
        <f>HYPERLINK("https://pbs.twimg.com/media/EsOz7HPUwAI5v7t.jpg")</f>
        <v>https://pbs.twimg.com/media/EsOz7HPUwAI5v7t.jpg</v>
      </c>
      <c r="V97" s="84" t="str">
        <f>HYPERLINK("https://pbs.twimg.com/media/EsOz7HPUwAI5v7t.jpg")</f>
        <v>https://pbs.twimg.com/media/EsOz7HPUwAI5v7t.jpg</v>
      </c>
      <c r="W97" s="82">
        <v>44222.48903935185</v>
      </c>
      <c r="X97" s="86">
        <v>44222</v>
      </c>
      <c r="Y97" s="88" t="s">
        <v>511</v>
      </c>
      <c r="Z97" s="84" t="str">
        <f>HYPERLINK("https://twitter.com/kwameakyeampong/status/1354032391900323840")</f>
        <v>https://twitter.com/kwameakyeampong/status/1354032391900323840</v>
      </c>
      <c r="AA97" s="80"/>
      <c r="AB97" s="80"/>
      <c r="AC97" s="88" t="s">
        <v>662</v>
      </c>
      <c r="AD97" s="80"/>
      <c r="AE97" s="80" t="b">
        <v>0</v>
      </c>
      <c r="AF97" s="80">
        <v>0</v>
      </c>
      <c r="AG97" s="88" t="s">
        <v>763</v>
      </c>
      <c r="AH97" s="80" t="b">
        <v>0</v>
      </c>
      <c r="AI97" s="80" t="s">
        <v>764</v>
      </c>
      <c r="AJ97" s="80"/>
      <c r="AK97" s="88" t="s">
        <v>763</v>
      </c>
      <c r="AL97" s="80" t="b">
        <v>0</v>
      </c>
      <c r="AM97" s="80">
        <v>2</v>
      </c>
      <c r="AN97" s="88" t="s">
        <v>663</v>
      </c>
      <c r="AO97" s="80" t="s">
        <v>767</v>
      </c>
      <c r="AP97" s="80" t="b">
        <v>0</v>
      </c>
      <c r="AQ97" s="88" t="s">
        <v>663</v>
      </c>
      <c r="AR97" s="80" t="s">
        <v>197</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9">
        <v>1</v>
      </c>
      <c r="BG97" s="50">
        <v>3.7037037037037037</v>
      </c>
      <c r="BH97" s="49">
        <v>0</v>
      </c>
      <c r="BI97" s="50">
        <v>0</v>
      </c>
      <c r="BJ97" s="49">
        <v>0</v>
      </c>
      <c r="BK97" s="50">
        <v>0</v>
      </c>
      <c r="BL97" s="49">
        <v>26</v>
      </c>
      <c r="BM97" s="50">
        <v>96.29629629629629</v>
      </c>
      <c r="BN97" s="49">
        <v>27</v>
      </c>
    </row>
    <row r="98" spans="1:66" ht="15">
      <c r="A98" s="65" t="s">
        <v>271</v>
      </c>
      <c r="B98" s="65" t="s">
        <v>277</v>
      </c>
      <c r="C98" s="66" t="s">
        <v>2153</v>
      </c>
      <c r="D98" s="67">
        <v>3</v>
      </c>
      <c r="E98" s="66" t="s">
        <v>132</v>
      </c>
      <c r="F98" s="69">
        <v>32</v>
      </c>
      <c r="G98" s="66"/>
      <c r="H98" s="70"/>
      <c r="I98" s="71"/>
      <c r="J98" s="71"/>
      <c r="K98" s="35" t="s">
        <v>66</v>
      </c>
      <c r="L98" s="72">
        <v>98</v>
      </c>
      <c r="M98" s="72"/>
      <c r="N98" s="73"/>
      <c r="O98" s="80" t="s">
        <v>353</v>
      </c>
      <c r="P98" s="82">
        <v>44217.217824074076</v>
      </c>
      <c r="Q98" s="80" t="s">
        <v>372</v>
      </c>
      <c r="R98" s="84" t="str">
        <f>HYPERLINK("https://www.tiess.online/registration?utm_source=SM&amp;utm_medium=Akyeampong&amp;utm_campaign=TIESS&amp;utm_term=031")</f>
        <v>https://www.tiess.online/registration?utm_source=SM&amp;utm_medium=Akyeampong&amp;utm_campaign=TIESS&amp;utm_term=031</v>
      </c>
      <c r="S98" s="80" t="s">
        <v>444</v>
      </c>
      <c r="T98" s="80" t="s">
        <v>450</v>
      </c>
      <c r="U98" s="84" t="str">
        <f>HYPERLINK("https://pbs.twimg.com/media/EsOz7HPUwAI5v7t.jpg")</f>
        <v>https://pbs.twimg.com/media/EsOz7HPUwAI5v7t.jpg</v>
      </c>
      <c r="V98" s="84" t="str">
        <f>HYPERLINK("https://pbs.twimg.com/media/EsOz7HPUwAI5v7t.jpg")</f>
        <v>https://pbs.twimg.com/media/EsOz7HPUwAI5v7t.jpg</v>
      </c>
      <c r="W98" s="82">
        <v>44217.217824074076</v>
      </c>
      <c r="X98" s="86">
        <v>44217</v>
      </c>
      <c r="Y98" s="88" t="s">
        <v>512</v>
      </c>
      <c r="Z98" s="84" t="str">
        <f>HYPERLINK("https://twitter.com/indiadidac/status/1352122167668862978")</f>
        <v>https://twitter.com/indiadidac/status/1352122167668862978</v>
      </c>
      <c r="AA98" s="80"/>
      <c r="AB98" s="80"/>
      <c r="AC98" s="88" t="s">
        <v>663</v>
      </c>
      <c r="AD98" s="80"/>
      <c r="AE98" s="80" t="b">
        <v>0</v>
      </c>
      <c r="AF98" s="80">
        <v>4</v>
      </c>
      <c r="AG98" s="88" t="s">
        <v>763</v>
      </c>
      <c r="AH98" s="80" t="b">
        <v>0</v>
      </c>
      <c r="AI98" s="80" t="s">
        <v>764</v>
      </c>
      <c r="AJ98" s="80"/>
      <c r="AK98" s="88" t="s">
        <v>763</v>
      </c>
      <c r="AL98" s="80" t="b">
        <v>0</v>
      </c>
      <c r="AM98" s="80">
        <v>2</v>
      </c>
      <c r="AN98" s="88" t="s">
        <v>763</v>
      </c>
      <c r="AO98" s="80" t="s">
        <v>765</v>
      </c>
      <c r="AP98" s="80" t="b">
        <v>0</v>
      </c>
      <c r="AQ98" s="88" t="s">
        <v>663</v>
      </c>
      <c r="AR98" s="80" t="s">
        <v>197</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9">
        <v>1</v>
      </c>
      <c r="BG98" s="50">
        <v>3.7037037037037037</v>
      </c>
      <c r="BH98" s="49">
        <v>0</v>
      </c>
      <c r="BI98" s="50">
        <v>0</v>
      </c>
      <c r="BJ98" s="49">
        <v>0</v>
      </c>
      <c r="BK98" s="50">
        <v>0</v>
      </c>
      <c r="BL98" s="49">
        <v>26</v>
      </c>
      <c r="BM98" s="50">
        <v>96.29629629629629</v>
      </c>
      <c r="BN98" s="49">
        <v>27</v>
      </c>
    </row>
    <row r="99" spans="1:66" ht="15">
      <c r="A99" s="65" t="s">
        <v>278</v>
      </c>
      <c r="B99" s="65" t="s">
        <v>244</v>
      </c>
      <c r="C99" s="66" t="s">
        <v>2153</v>
      </c>
      <c r="D99" s="67">
        <v>3</v>
      </c>
      <c r="E99" s="66" t="s">
        <v>132</v>
      </c>
      <c r="F99" s="69">
        <v>32</v>
      </c>
      <c r="G99" s="66"/>
      <c r="H99" s="70"/>
      <c r="I99" s="71"/>
      <c r="J99" s="71"/>
      <c r="K99" s="35" t="s">
        <v>65</v>
      </c>
      <c r="L99" s="72">
        <v>99</v>
      </c>
      <c r="M99" s="72"/>
      <c r="N99" s="73"/>
      <c r="O99" s="80" t="s">
        <v>352</v>
      </c>
      <c r="P99" s="82">
        <v>44217.29697916667</v>
      </c>
      <c r="Q99" s="80" t="s">
        <v>377</v>
      </c>
      <c r="R99" s="84" t="str">
        <f>HYPERLINK("https://www.tiess.online/registration?utm_source=SM&amp;utm_medium=Ferrit&amp;utm_campaign=TIESS&amp;utm_term=034")</f>
        <v>https://www.tiess.online/registration?utm_source=SM&amp;utm_medium=Ferrit&amp;utm_campaign=TIESS&amp;utm_term=034</v>
      </c>
      <c r="S99" s="80" t="s">
        <v>444</v>
      </c>
      <c r="T99" s="80" t="s">
        <v>450</v>
      </c>
      <c r="U99" s="84" t="str">
        <f>HYPERLINK("https://pbs.twimg.com/media/EsO7zFKU0AIi-yu.jpg")</f>
        <v>https://pbs.twimg.com/media/EsO7zFKU0AIi-yu.jpg</v>
      </c>
      <c r="V99" s="84" t="str">
        <f>HYPERLINK("https://pbs.twimg.com/media/EsO7zFKU0AIi-yu.jpg")</f>
        <v>https://pbs.twimg.com/media/EsO7zFKU0AIi-yu.jpg</v>
      </c>
      <c r="W99" s="82">
        <v>44217.29697916667</v>
      </c>
      <c r="X99" s="86">
        <v>44217</v>
      </c>
      <c r="Y99" s="88" t="s">
        <v>513</v>
      </c>
      <c r="Z99" s="84" t="str">
        <f>HYPERLINK("https://twitter.com/lyftaed/status/1352150851188625408")</f>
        <v>https://twitter.com/lyftaed/status/1352150851188625408</v>
      </c>
      <c r="AA99" s="80"/>
      <c r="AB99" s="80"/>
      <c r="AC99" s="88" t="s">
        <v>664</v>
      </c>
      <c r="AD99" s="80"/>
      <c r="AE99" s="80" t="b">
        <v>0</v>
      </c>
      <c r="AF99" s="80">
        <v>0</v>
      </c>
      <c r="AG99" s="88" t="s">
        <v>763</v>
      </c>
      <c r="AH99" s="80" t="b">
        <v>0</v>
      </c>
      <c r="AI99" s="80" t="s">
        <v>764</v>
      </c>
      <c r="AJ99" s="80"/>
      <c r="AK99" s="88" t="s">
        <v>763</v>
      </c>
      <c r="AL99" s="80" t="b">
        <v>0</v>
      </c>
      <c r="AM99" s="80">
        <v>1</v>
      </c>
      <c r="AN99" s="88" t="s">
        <v>665</v>
      </c>
      <c r="AO99" s="80" t="s">
        <v>766</v>
      </c>
      <c r="AP99" s="80" t="b">
        <v>0</v>
      </c>
      <c r="AQ99" s="88" t="s">
        <v>665</v>
      </c>
      <c r="AR99" s="80" t="s">
        <v>197</v>
      </c>
      <c r="AS99" s="80">
        <v>0</v>
      </c>
      <c r="AT99" s="80">
        <v>0</v>
      </c>
      <c r="AU99" s="80"/>
      <c r="AV99" s="80"/>
      <c r="AW99" s="80"/>
      <c r="AX99" s="80"/>
      <c r="AY99" s="80"/>
      <c r="AZ99" s="80"/>
      <c r="BA99" s="80"/>
      <c r="BB99" s="80"/>
      <c r="BC99">
        <v>1</v>
      </c>
      <c r="BD99" s="79" t="str">
        <f>REPLACE(INDEX(GroupVertices[Group],MATCH(Edges[[#This Row],[Vertex 1]],GroupVertices[Vertex],0)),1,1,"")</f>
        <v>5</v>
      </c>
      <c r="BE99" s="79" t="str">
        <f>REPLACE(INDEX(GroupVertices[Group],MATCH(Edges[[#This Row],[Vertex 2]],GroupVertices[Vertex],0)),1,1,"")</f>
        <v>5</v>
      </c>
      <c r="BF99" s="49"/>
      <c r="BG99" s="50"/>
      <c r="BH99" s="49"/>
      <c r="BI99" s="50"/>
      <c r="BJ99" s="49"/>
      <c r="BK99" s="50"/>
      <c r="BL99" s="49"/>
      <c r="BM99" s="50"/>
      <c r="BN99" s="49"/>
    </row>
    <row r="100" spans="1:66" ht="15">
      <c r="A100" s="65" t="s">
        <v>278</v>
      </c>
      <c r="B100" s="65" t="s">
        <v>271</v>
      </c>
      <c r="C100" s="66" t="s">
        <v>2153</v>
      </c>
      <c r="D100" s="67">
        <v>3</v>
      </c>
      <c r="E100" s="66" t="s">
        <v>132</v>
      </c>
      <c r="F100" s="69">
        <v>32</v>
      </c>
      <c r="G100" s="66"/>
      <c r="H100" s="70"/>
      <c r="I100" s="71"/>
      <c r="J100" s="71"/>
      <c r="K100" s="35" t="s">
        <v>66</v>
      </c>
      <c r="L100" s="72">
        <v>100</v>
      </c>
      <c r="M100" s="72"/>
      <c r="N100" s="73"/>
      <c r="O100" s="80" t="s">
        <v>351</v>
      </c>
      <c r="P100" s="82">
        <v>44217.29697916667</v>
      </c>
      <c r="Q100" s="80" t="s">
        <v>377</v>
      </c>
      <c r="R100" s="84" t="str">
        <f>HYPERLINK("https://www.tiess.online/registration?utm_source=SM&amp;utm_medium=Ferrit&amp;utm_campaign=TIESS&amp;utm_term=034")</f>
        <v>https://www.tiess.online/registration?utm_source=SM&amp;utm_medium=Ferrit&amp;utm_campaign=TIESS&amp;utm_term=034</v>
      </c>
      <c r="S100" s="80" t="s">
        <v>444</v>
      </c>
      <c r="T100" s="80" t="s">
        <v>450</v>
      </c>
      <c r="U100" s="84" t="str">
        <f>HYPERLINK("https://pbs.twimg.com/media/EsO7zFKU0AIi-yu.jpg")</f>
        <v>https://pbs.twimg.com/media/EsO7zFKU0AIi-yu.jpg</v>
      </c>
      <c r="V100" s="84" t="str">
        <f>HYPERLINK("https://pbs.twimg.com/media/EsO7zFKU0AIi-yu.jpg")</f>
        <v>https://pbs.twimg.com/media/EsO7zFKU0AIi-yu.jpg</v>
      </c>
      <c r="W100" s="82">
        <v>44217.29697916667</v>
      </c>
      <c r="X100" s="86">
        <v>44217</v>
      </c>
      <c r="Y100" s="88" t="s">
        <v>513</v>
      </c>
      <c r="Z100" s="84" t="str">
        <f>HYPERLINK("https://twitter.com/lyftaed/status/1352150851188625408")</f>
        <v>https://twitter.com/lyftaed/status/1352150851188625408</v>
      </c>
      <c r="AA100" s="80"/>
      <c r="AB100" s="80"/>
      <c r="AC100" s="88" t="s">
        <v>664</v>
      </c>
      <c r="AD100" s="80"/>
      <c r="AE100" s="80" t="b">
        <v>0</v>
      </c>
      <c r="AF100" s="80">
        <v>0</v>
      </c>
      <c r="AG100" s="88" t="s">
        <v>763</v>
      </c>
      <c r="AH100" s="80" t="b">
        <v>0</v>
      </c>
      <c r="AI100" s="80" t="s">
        <v>764</v>
      </c>
      <c r="AJ100" s="80"/>
      <c r="AK100" s="88" t="s">
        <v>763</v>
      </c>
      <c r="AL100" s="80" t="b">
        <v>0</v>
      </c>
      <c r="AM100" s="80">
        <v>1</v>
      </c>
      <c r="AN100" s="88" t="s">
        <v>665</v>
      </c>
      <c r="AO100" s="80" t="s">
        <v>766</v>
      </c>
      <c r="AP100" s="80" t="b">
        <v>0</v>
      </c>
      <c r="AQ100" s="88" t="s">
        <v>665</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5</v>
      </c>
      <c r="BE100" s="79" t="str">
        <f>REPLACE(INDEX(GroupVertices[Group],MATCH(Edges[[#This Row],[Vertex 2]],GroupVertices[Vertex],0)),1,1,"")</f>
        <v>1</v>
      </c>
      <c r="BF100" s="49">
        <v>1</v>
      </c>
      <c r="BG100" s="50">
        <v>2.7777777777777777</v>
      </c>
      <c r="BH100" s="49">
        <v>0</v>
      </c>
      <c r="BI100" s="50">
        <v>0</v>
      </c>
      <c r="BJ100" s="49">
        <v>0</v>
      </c>
      <c r="BK100" s="50">
        <v>0</v>
      </c>
      <c r="BL100" s="49">
        <v>35</v>
      </c>
      <c r="BM100" s="50">
        <v>97.22222222222223</v>
      </c>
      <c r="BN100" s="49">
        <v>36</v>
      </c>
    </row>
    <row r="101" spans="1:66" ht="15">
      <c r="A101" s="65" t="s">
        <v>271</v>
      </c>
      <c r="B101" s="65" t="s">
        <v>278</v>
      </c>
      <c r="C101" s="66" t="s">
        <v>2153</v>
      </c>
      <c r="D101" s="67">
        <v>3</v>
      </c>
      <c r="E101" s="66" t="s">
        <v>132</v>
      </c>
      <c r="F101" s="69">
        <v>32</v>
      </c>
      <c r="G101" s="66"/>
      <c r="H101" s="70"/>
      <c r="I101" s="71"/>
      <c r="J101" s="71"/>
      <c r="K101" s="35" t="s">
        <v>66</v>
      </c>
      <c r="L101" s="72">
        <v>101</v>
      </c>
      <c r="M101" s="72"/>
      <c r="N101" s="73"/>
      <c r="O101" s="80" t="s">
        <v>353</v>
      </c>
      <c r="P101" s="82">
        <v>44217.24175925926</v>
      </c>
      <c r="Q101" s="80" t="s">
        <v>377</v>
      </c>
      <c r="R101" s="84" t="str">
        <f>HYPERLINK("https://www.tiess.online/registration?utm_source=SM&amp;utm_medium=Ferrit&amp;utm_campaign=TIESS&amp;utm_term=034")</f>
        <v>https://www.tiess.online/registration?utm_source=SM&amp;utm_medium=Ferrit&amp;utm_campaign=TIESS&amp;utm_term=034</v>
      </c>
      <c r="S101" s="80" t="s">
        <v>444</v>
      </c>
      <c r="T101" s="80" t="s">
        <v>450</v>
      </c>
      <c r="U101" s="84" t="str">
        <f>HYPERLINK("https://pbs.twimg.com/media/EsO7zFKU0AIi-yu.jpg")</f>
        <v>https://pbs.twimg.com/media/EsO7zFKU0AIi-yu.jpg</v>
      </c>
      <c r="V101" s="84" t="str">
        <f>HYPERLINK("https://pbs.twimg.com/media/EsO7zFKU0AIi-yu.jpg")</f>
        <v>https://pbs.twimg.com/media/EsO7zFKU0AIi-yu.jpg</v>
      </c>
      <c r="W101" s="82">
        <v>44217.24175925926</v>
      </c>
      <c r="X101" s="86">
        <v>44217</v>
      </c>
      <c r="Y101" s="88" t="s">
        <v>514</v>
      </c>
      <c r="Z101" s="84" t="str">
        <f>HYPERLINK("https://twitter.com/indiadidac/status/1352130841325944834")</f>
        <v>https://twitter.com/indiadidac/status/1352130841325944834</v>
      </c>
      <c r="AA101" s="80"/>
      <c r="AB101" s="80"/>
      <c r="AC101" s="88" t="s">
        <v>665</v>
      </c>
      <c r="AD101" s="80"/>
      <c r="AE101" s="80" t="b">
        <v>0</v>
      </c>
      <c r="AF101" s="80">
        <v>4</v>
      </c>
      <c r="AG101" s="88" t="s">
        <v>763</v>
      </c>
      <c r="AH101" s="80" t="b">
        <v>0</v>
      </c>
      <c r="AI101" s="80" t="s">
        <v>764</v>
      </c>
      <c r="AJ101" s="80"/>
      <c r="AK101" s="88" t="s">
        <v>763</v>
      </c>
      <c r="AL101" s="80" t="b">
        <v>0</v>
      </c>
      <c r="AM101" s="80">
        <v>1</v>
      </c>
      <c r="AN101" s="88" t="s">
        <v>763</v>
      </c>
      <c r="AO101" s="80" t="s">
        <v>765</v>
      </c>
      <c r="AP101" s="80" t="b">
        <v>0</v>
      </c>
      <c r="AQ101" s="88" t="s">
        <v>665</v>
      </c>
      <c r="AR101" s="80" t="s">
        <v>197</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5</v>
      </c>
      <c r="BF101" s="49">
        <v>1</v>
      </c>
      <c r="BG101" s="50">
        <v>2.7777777777777777</v>
      </c>
      <c r="BH101" s="49">
        <v>0</v>
      </c>
      <c r="BI101" s="50">
        <v>0</v>
      </c>
      <c r="BJ101" s="49">
        <v>0</v>
      </c>
      <c r="BK101" s="50">
        <v>0</v>
      </c>
      <c r="BL101" s="49">
        <v>35</v>
      </c>
      <c r="BM101" s="50">
        <v>97.22222222222223</v>
      </c>
      <c r="BN101" s="49">
        <v>36</v>
      </c>
    </row>
    <row r="102" spans="1:66" ht="15">
      <c r="A102" s="65" t="s">
        <v>271</v>
      </c>
      <c r="B102" s="65" t="s">
        <v>244</v>
      </c>
      <c r="C102" s="66" t="s">
        <v>2153</v>
      </c>
      <c r="D102" s="67">
        <v>3</v>
      </c>
      <c r="E102" s="66" t="s">
        <v>132</v>
      </c>
      <c r="F102" s="69">
        <v>32</v>
      </c>
      <c r="G102" s="66"/>
      <c r="H102" s="70"/>
      <c r="I102" s="71"/>
      <c r="J102" s="71"/>
      <c r="K102" s="35" t="s">
        <v>65</v>
      </c>
      <c r="L102" s="72">
        <v>102</v>
      </c>
      <c r="M102" s="72"/>
      <c r="N102" s="73"/>
      <c r="O102" s="80" t="s">
        <v>353</v>
      </c>
      <c r="P102" s="82">
        <v>44217.24175925926</v>
      </c>
      <c r="Q102" s="80" t="s">
        <v>377</v>
      </c>
      <c r="R102" s="84" t="str">
        <f>HYPERLINK("https://www.tiess.online/registration?utm_source=SM&amp;utm_medium=Ferrit&amp;utm_campaign=TIESS&amp;utm_term=034")</f>
        <v>https://www.tiess.online/registration?utm_source=SM&amp;utm_medium=Ferrit&amp;utm_campaign=TIESS&amp;utm_term=034</v>
      </c>
      <c r="S102" s="80" t="s">
        <v>444</v>
      </c>
      <c r="T102" s="80" t="s">
        <v>450</v>
      </c>
      <c r="U102" s="84" t="str">
        <f>HYPERLINK("https://pbs.twimg.com/media/EsO7zFKU0AIi-yu.jpg")</f>
        <v>https://pbs.twimg.com/media/EsO7zFKU0AIi-yu.jpg</v>
      </c>
      <c r="V102" s="84" t="str">
        <f>HYPERLINK("https://pbs.twimg.com/media/EsO7zFKU0AIi-yu.jpg")</f>
        <v>https://pbs.twimg.com/media/EsO7zFKU0AIi-yu.jpg</v>
      </c>
      <c r="W102" s="82">
        <v>44217.24175925926</v>
      </c>
      <c r="X102" s="86">
        <v>44217</v>
      </c>
      <c r="Y102" s="88" t="s">
        <v>514</v>
      </c>
      <c r="Z102" s="84" t="str">
        <f>HYPERLINK("https://twitter.com/indiadidac/status/1352130841325944834")</f>
        <v>https://twitter.com/indiadidac/status/1352130841325944834</v>
      </c>
      <c r="AA102" s="80"/>
      <c r="AB102" s="80"/>
      <c r="AC102" s="88" t="s">
        <v>665</v>
      </c>
      <c r="AD102" s="80"/>
      <c r="AE102" s="80" t="b">
        <v>0</v>
      </c>
      <c r="AF102" s="80">
        <v>4</v>
      </c>
      <c r="AG102" s="88" t="s">
        <v>763</v>
      </c>
      <c r="AH102" s="80" t="b">
        <v>0</v>
      </c>
      <c r="AI102" s="80" t="s">
        <v>764</v>
      </c>
      <c r="AJ102" s="80"/>
      <c r="AK102" s="88" t="s">
        <v>763</v>
      </c>
      <c r="AL102" s="80" t="b">
        <v>0</v>
      </c>
      <c r="AM102" s="80">
        <v>1</v>
      </c>
      <c r="AN102" s="88" t="s">
        <v>763</v>
      </c>
      <c r="AO102" s="80" t="s">
        <v>765</v>
      </c>
      <c r="AP102" s="80" t="b">
        <v>0</v>
      </c>
      <c r="AQ102" s="88" t="s">
        <v>665</v>
      </c>
      <c r="AR102" s="80" t="s">
        <v>197</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5</v>
      </c>
      <c r="BF102" s="49"/>
      <c r="BG102" s="50"/>
      <c r="BH102" s="49"/>
      <c r="BI102" s="50"/>
      <c r="BJ102" s="49"/>
      <c r="BK102" s="50"/>
      <c r="BL102" s="49"/>
      <c r="BM102" s="50"/>
      <c r="BN102" s="49"/>
    </row>
    <row r="103" spans="1:66" ht="15">
      <c r="A103" s="65" t="s">
        <v>279</v>
      </c>
      <c r="B103" s="65" t="s">
        <v>271</v>
      </c>
      <c r="C103" s="66" t="s">
        <v>2153</v>
      </c>
      <c r="D103" s="67">
        <v>3</v>
      </c>
      <c r="E103" s="66" t="s">
        <v>132</v>
      </c>
      <c r="F103" s="69">
        <v>32</v>
      </c>
      <c r="G103" s="66"/>
      <c r="H103" s="70"/>
      <c r="I103" s="71"/>
      <c r="J103" s="71"/>
      <c r="K103" s="35" t="s">
        <v>66</v>
      </c>
      <c r="L103" s="72">
        <v>103</v>
      </c>
      <c r="M103" s="72"/>
      <c r="N103" s="73"/>
      <c r="O103" s="80" t="s">
        <v>351</v>
      </c>
      <c r="P103" s="82">
        <v>44217.38318287037</v>
      </c>
      <c r="Q103" s="80" t="s">
        <v>357</v>
      </c>
      <c r="R103" s="84" t="str">
        <f>HYPERLINK("https://www.tiess.online/registration?utm_source=SM&amp;utm_medium=Swaroop&amp;utm_campaign=TIESS&amp;utm_term=015")</f>
        <v>https://www.tiess.online/registration?utm_source=SM&amp;utm_medium=Swaroop&amp;utm_campaign=TIESS&amp;utm_term=015</v>
      </c>
      <c r="S103" s="80" t="s">
        <v>444</v>
      </c>
      <c r="T103" s="80" t="s">
        <v>450</v>
      </c>
      <c r="U103" s="84" t="str">
        <f>HYPERLINK("https://pbs.twimg.com/media/EsPS8swVEAEm_LK.jpg")</f>
        <v>https://pbs.twimg.com/media/EsPS8swVEAEm_LK.jpg</v>
      </c>
      <c r="V103" s="84" t="str">
        <f>HYPERLINK("https://pbs.twimg.com/media/EsPS8swVEAEm_LK.jpg")</f>
        <v>https://pbs.twimg.com/media/EsPS8swVEAEm_LK.jpg</v>
      </c>
      <c r="W103" s="82">
        <v>44217.38318287037</v>
      </c>
      <c r="X103" s="86">
        <v>44217</v>
      </c>
      <c r="Y103" s="88" t="s">
        <v>515</v>
      </c>
      <c r="Z103" s="84" t="str">
        <f>HYPERLINK("https://twitter.com/yoswaroop/status/1352182089622249474")</f>
        <v>https://twitter.com/yoswaroop/status/1352182089622249474</v>
      </c>
      <c r="AA103" s="80"/>
      <c r="AB103" s="80"/>
      <c r="AC103" s="88" t="s">
        <v>666</v>
      </c>
      <c r="AD103" s="80"/>
      <c r="AE103" s="80" t="b">
        <v>0</v>
      </c>
      <c r="AF103" s="80">
        <v>0</v>
      </c>
      <c r="AG103" s="88" t="s">
        <v>763</v>
      </c>
      <c r="AH103" s="80" t="b">
        <v>0</v>
      </c>
      <c r="AI103" s="80" t="s">
        <v>764</v>
      </c>
      <c r="AJ103" s="80"/>
      <c r="AK103" s="88" t="s">
        <v>763</v>
      </c>
      <c r="AL103" s="80" t="b">
        <v>0</v>
      </c>
      <c r="AM103" s="80">
        <v>5</v>
      </c>
      <c r="AN103" s="88" t="s">
        <v>667</v>
      </c>
      <c r="AO103" s="80" t="s">
        <v>767</v>
      </c>
      <c r="AP103" s="80" t="b">
        <v>0</v>
      </c>
      <c r="AQ103" s="88" t="s">
        <v>667</v>
      </c>
      <c r="AR103" s="80" t="s">
        <v>197</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9">
        <v>1</v>
      </c>
      <c r="BG103" s="50">
        <v>3.0303030303030303</v>
      </c>
      <c r="BH103" s="49">
        <v>0</v>
      </c>
      <c r="BI103" s="50">
        <v>0</v>
      </c>
      <c r="BJ103" s="49">
        <v>0</v>
      </c>
      <c r="BK103" s="50">
        <v>0</v>
      </c>
      <c r="BL103" s="49">
        <v>32</v>
      </c>
      <c r="BM103" s="50">
        <v>96.96969696969697</v>
      </c>
      <c r="BN103" s="49">
        <v>33</v>
      </c>
    </row>
    <row r="104" spans="1:66" ht="15">
      <c r="A104" s="65" t="s">
        <v>271</v>
      </c>
      <c r="B104" s="65" t="s">
        <v>279</v>
      </c>
      <c r="C104" s="66" t="s">
        <v>2153</v>
      </c>
      <c r="D104" s="67">
        <v>3</v>
      </c>
      <c r="E104" s="66" t="s">
        <v>132</v>
      </c>
      <c r="F104" s="69">
        <v>32</v>
      </c>
      <c r="G104" s="66"/>
      <c r="H104" s="70"/>
      <c r="I104" s="71"/>
      <c r="J104" s="71"/>
      <c r="K104" s="35" t="s">
        <v>66</v>
      </c>
      <c r="L104" s="72">
        <v>104</v>
      </c>
      <c r="M104" s="72"/>
      <c r="N104" s="73"/>
      <c r="O104" s="80" t="s">
        <v>353</v>
      </c>
      <c r="P104" s="82">
        <v>44217.31199074074</v>
      </c>
      <c r="Q104" s="80" t="s">
        <v>357</v>
      </c>
      <c r="R104" s="84" t="str">
        <f>HYPERLINK("https://www.tiess.online/registration?utm_source=SM&amp;utm_medium=Swaroop&amp;utm_campaign=TIESS&amp;utm_term=015")</f>
        <v>https://www.tiess.online/registration?utm_source=SM&amp;utm_medium=Swaroop&amp;utm_campaign=TIESS&amp;utm_term=015</v>
      </c>
      <c r="S104" s="80" t="s">
        <v>444</v>
      </c>
      <c r="T104" s="80" t="s">
        <v>450</v>
      </c>
      <c r="U104" s="84" t="str">
        <f>HYPERLINK("https://pbs.twimg.com/media/EsPS8swVEAEm_LK.jpg")</f>
        <v>https://pbs.twimg.com/media/EsPS8swVEAEm_LK.jpg</v>
      </c>
      <c r="V104" s="84" t="str">
        <f>HYPERLINK("https://pbs.twimg.com/media/EsPS8swVEAEm_LK.jpg")</f>
        <v>https://pbs.twimg.com/media/EsPS8swVEAEm_LK.jpg</v>
      </c>
      <c r="W104" s="82">
        <v>44217.31199074074</v>
      </c>
      <c r="X104" s="86">
        <v>44217</v>
      </c>
      <c r="Y104" s="88" t="s">
        <v>516</v>
      </c>
      <c r="Z104" s="84" t="str">
        <f>HYPERLINK("https://twitter.com/indiadidac/status/1352156293260222465")</f>
        <v>https://twitter.com/indiadidac/status/1352156293260222465</v>
      </c>
      <c r="AA104" s="80"/>
      <c r="AB104" s="80"/>
      <c r="AC104" s="88" t="s">
        <v>667</v>
      </c>
      <c r="AD104" s="80"/>
      <c r="AE104" s="80" t="b">
        <v>0</v>
      </c>
      <c r="AF104" s="80">
        <v>20</v>
      </c>
      <c r="AG104" s="88" t="s">
        <v>763</v>
      </c>
      <c r="AH104" s="80" t="b">
        <v>0</v>
      </c>
      <c r="AI104" s="80" t="s">
        <v>764</v>
      </c>
      <c r="AJ104" s="80"/>
      <c r="AK104" s="88" t="s">
        <v>763</v>
      </c>
      <c r="AL104" s="80" t="b">
        <v>0</v>
      </c>
      <c r="AM104" s="80">
        <v>5</v>
      </c>
      <c r="AN104" s="88" t="s">
        <v>763</v>
      </c>
      <c r="AO104" s="80" t="s">
        <v>765</v>
      </c>
      <c r="AP104" s="80" t="b">
        <v>0</v>
      </c>
      <c r="AQ104" s="88" t="s">
        <v>667</v>
      </c>
      <c r="AR104" s="80" t="s">
        <v>197</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9">
        <v>1</v>
      </c>
      <c r="BG104" s="50">
        <v>3.0303030303030303</v>
      </c>
      <c r="BH104" s="49">
        <v>0</v>
      </c>
      <c r="BI104" s="50">
        <v>0</v>
      </c>
      <c r="BJ104" s="49">
        <v>0</v>
      </c>
      <c r="BK104" s="50">
        <v>0</v>
      </c>
      <c r="BL104" s="49">
        <v>32</v>
      </c>
      <c r="BM104" s="50">
        <v>96.96969696969697</v>
      </c>
      <c r="BN104" s="49">
        <v>33</v>
      </c>
    </row>
    <row r="105" spans="1:66" ht="15">
      <c r="A105" s="65" t="s">
        <v>280</v>
      </c>
      <c r="B105" s="65" t="s">
        <v>271</v>
      </c>
      <c r="C105" s="66" t="s">
        <v>2153</v>
      </c>
      <c r="D105" s="67">
        <v>3</v>
      </c>
      <c r="E105" s="66" t="s">
        <v>132</v>
      </c>
      <c r="F105" s="69">
        <v>32</v>
      </c>
      <c r="G105" s="66"/>
      <c r="H105" s="70"/>
      <c r="I105" s="71"/>
      <c r="J105" s="71"/>
      <c r="K105" s="35" t="s">
        <v>66</v>
      </c>
      <c r="L105" s="72">
        <v>105</v>
      </c>
      <c r="M105" s="72"/>
      <c r="N105" s="73"/>
      <c r="O105" s="80" t="s">
        <v>351</v>
      </c>
      <c r="P105" s="82">
        <v>44217.59454861111</v>
      </c>
      <c r="Q105" s="80" t="s">
        <v>378</v>
      </c>
      <c r="R105" s="84" t="str">
        <f>HYPERLINK("https://www.tiess.online/registration?utm_source=SM&amp;utm_medium=Joysy&amp;utm_campaign=TIESS&amp;utm_term=036")</f>
        <v>https://www.tiess.online/registration?utm_source=SM&amp;utm_medium=Joysy&amp;utm_campaign=TIESS&amp;utm_term=036</v>
      </c>
      <c r="S105" s="80" t="s">
        <v>444</v>
      </c>
      <c r="T105" s="80" t="s">
        <v>455</v>
      </c>
      <c r="U105" s="84" t="str">
        <f>HYPERLINK("https://pbs.twimg.com/media/EsPtbHwUYEQ3rkA.jpg")</f>
        <v>https://pbs.twimg.com/media/EsPtbHwUYEQ3rkA.jpg</v>
      </c>
      <c r="V105" s="84" t="str">
        <f>HYPERLINK("https://pbs.twimg.com/media/EsPtbHwUYEQ3rkA.jpg")</f>
        <v>https://pbs.twimg.com/media/EsPtbHwUYEQ3rkA.jpg</v>
      </c>
      <c r="W105" s="82">
        <v>44217.59454861111</v>
      </c>
      <c r="X105" s="86">
        <v>44217</v>
      </c>
      <c r="Y105" s="88" t="s">
        <v>517</v>
      </c>
      <c r="Z105" s="84" t="str">
        <f>HYPERLINK("https://twitter.com/joysyj/status/1352258686211776517")</f>
        <v>https://twitter.com/joysyj/status/1352258686211776517</v>
      </c>
      <c r="AA105" s="80"/>
      <c r="AB105" s="80"/>
      <c r="AC105" s="88" t="s">
        <v>668</v>
      </c>
      <c r="AD105" s="80"/>
      <c r="AE105" s="80" t="b">
        <v>0</v>
      </c>
      <c r="AF105" s="80">
        <v>0</v>
      </c>
      <c r="AG105" s="88" t="s">
        <v>763</v>
      </c>
      <c r="AH105" s="80" t="b">
        <v>0</v>
      </c>
      <c r="AI105" s="80" t="s">
        <v>764</v>
      </c>
      <c r="AJ105" s="80"/>
      <c r="AK105" s="88" t="s">
        <v>763</v>
      </c>
      <c r="AL105" s="80" t="b">
        <v>0</v>
      </c>
      <c r="AM105" s="80">
        <v>1</v>
      </c>
      <c r="AN105" s="88" t="s">
        <v>669</v>
      </c>
      <c r="AO105" s="80" t="s">
        <v>767</v>
      </c>
      <c r="AP105" s="80" t="b">
        <v>0</v>
      </c>
      <c r="AQ105" s="88" t="s">
        <v>669</v>
      </c>
      <c r="AR105" s="80" t="s">
        <v>197</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9">
        <v>2</v>
      </c>
      <c r="BG105" s="50">
        <v>6.25</v>
      </c>
      <c r="BH105" s="49">
        <v>0</v>
      </c>
      <c r="BI105" s="50">
        <v>0</v>
      </c>
      <c r="BJ105" s="49">
        <v>0</v>
      </c>
      <c r="BK105" s="50">
        <v>0</v>
      </c>
      <c r="BL105" s="49">
        <v>30</v>
      </c>
      <c r="BM105" s="50">
        <v>93.75</v>
      </c>
      <c r="BN105" s="49">
        <v>32</v>
      </c>
    </row>
    <row r="106" spans="1:66" ht="15">
      <c r="A106" s="65" t="s">
        <v>271</v>
      </c>
      <c r="B106" s="65" t="s">
        <v>280</v>
      </c>
      <c r="C106" s="66" t="s">
        <v>2153</v>
      </c>
      <c r="D106" s="67">
        <v>3</v>
      </c>
      <c r="E106" s="66" t="s">
        <v>132</v>
      </c>
      <c r="F106" s="69">
        <v>32</v>
      </c>
      <c r="G106" s="66"/>
      <c r="H106" s="70"/>
      <c r="I106" s="71"/>
      <c r="J106" s="71"/>
      <c r="K106" s="35" t="s">
        <v>66</v>
      </c>
      <c r="L106" s="72">
        <v>106</v>
      </c>
      <c r="M106" s="72"/>
      <c r="N106" s="73"/>
      <c r="O106" s="80" t="s">
        <v>353</v>
      </c>
      <c r="P106" s="82">
        <v>44217.39231481482</v>
      </c>
      <c r="Q106" s="80" t="s">
        <v>378</v>
      </c>
      <c r="R106" s="84" t="str">
        <f>HYPERLINK("https://www.tiess.online/registration?utm_source=SM&amp;utm_medium=Joysy&amp;utm_campaign=TIESS&amp;utm_term=036")</f>
        <v>https://www.tiess.online/registration?utm_source=SM&amp;utm_medium=Joysy&amp;utm_campaign=TIESS&amp;utm_term=036</v>
      </c>
      <c r="S106" s="80" t="s">
        <v>444</v>
      </c>
      <c r="T106" s="80" t="s">
        <v>455</v>
      </c>
      <c r="U106" s="84" t="str">
        <f>HYPERLINK("https://pbs.twimg.com/media/EsPtbHwUYEQ3rkA.jpg")</f>
        <v>https://pbs.twimg.com/media/EsPtbHwUYEQ3rkA.jpg</v>
      </c>
      <c r="V106" s="84" t="str">
        <f>HYPERLINK("https://pbs.twimg.com/media/EsPtbHwUYEQ3rkA.jpg")</f>
        <v>https://pbs.twimg.com/media/EsPtbHwUYEQ3rkA.jpg</v>
      </c>
      <c r="W106" s="82">
        <v>44217.39231481482</v>
      </c>
      <c r="X106" s="86">
        <v>44217</v>
      </c>
      <c r="Y106" s="88" t="s">
        <v>518</v>
      </c>
      <c r="Z106" s="84" t="str">
        <f>HYPERLINK("https://twitter.com/indiadidac/status/1352185400450715649")</f>
        <v>https://twitter.com/indiadidac/status/1352185400450715649</v>
      </c>
      <c r="AA106" s="80"/>
      <c r="AB106" s="80"/>
      <c r="AC106" s="88" t="s">
        <v>669</v>
      </c>
      <c r="AD106" s="80"/>
      <c r="AE106" s="80" t="b">
        <v>0</v>
      </c>
      <c r="AF106" s="80">
        <v>1</v>
      </c>
      <c r="AG106" s="88" t="s">
        <v>763</v>
      </c>
      <c r="AH106" s="80" t="b">
        <v>0</v>
      </c>
      <c r="AI106" s="80" t="s">
        <v>764</v>
      </c>
      <c r="AJ106" s="80"/>
      <c r="AK106" s="88" t="s">
        <v>763</v>
      </c>
      <c r="AL106" s="80" t="b">
        <v>0</v>
      </c>
      <c r="AM106" s="80">
        <v>1</v>
      </c>
      <c r="AN106" s="88" t="s">
        <v>763</v>
      </c>
      <c r="AO106" s="80" t="s">
        <v>765</v>
      </c>
      <c r="AP106" s="80" t="b">
        <v>0</v>
      </c>
      <c r="AQ106" s="88" t="s">
        <v>669</v>
      </c>
      <c r="AR106" s="80" t="s">
        <v>197</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9">
        <v>2</v>
      </c>
      <c r="BG106" s="50">
        <v>6.25</v>
      </c>
      <c r="BH106" s="49">
        <v>0</v>
      </c>
      <c r="BI106" s="50">
        <v>0</v>
      </c>
      <c r="BJ106" s="49">
        <v>0</v>
      </c>
      <c r="BK106" s="50">
        <v>0</v>
      </c>
      <c r="BL106" s="49">
        <v>30</v>
      </c>
      <c r="BM106" s="50">
        <v>93.75</v>
      </c>
      <c r="BN106" s="49">
        <v>32</v>
      </c>
    </row>
    <row r="107" spans="1:66" ht="15">
      <c r="A107" s="65" t="s">
        <v>281</v>
      </c>
      <c r="B107" s="65" t="s">
        <v>281</v>
      </c>
      <c r="C107" s="66" t="s">
        <v>2153</v>
      </c>
      <c r="D107" s="67">
        <v>3</v>
      </c>
      <c r="E107" s="66" t="s">
        <v>132</v>
      </c>
      <c r="F107" s="69">
        <v>32</v>
      </c>
      <c r="G107" s="66"/>
      <c r="H107" s="70"/>
      <c r="I107" s="71"/>
      <c r="J107" s="71"/>
      <c r="K107" s="35" t="s">
        <v>65</v>
      </c>
      <c r="L107" s="72">
        <v>107</v>
      </c>
      <c r="M107" s="72"/>
      <c r="N107" s="73"/>
      <c r="O107" s="80" t="s">
        <v>197</v>
      </c>
      <c r="P107" s="82">
        <v>44217.64332175926</v>
      </c>
      <c r="Q107" s="80" t="s">
        <v>379</v>
      </c>
      <c r="R107" s="84" t="str">
        <f>HYPERLINK("https://twitter.com/Indiadidac/status/1352210574285836289")</f>
        <v>https://twitter.com/Indiadidac/status/1352210574285836289</v>
      </c>
      <c r="S107" s="80" t="s">
        <v>445</v>
      </c>
      <c r="T107" s="80" t="s">
        <v>451</v>
      </c>
      <c r="U107" s="80"/>
      <c r="V107" s="84" t="str">
        <f>HYPERLINK("https://pbs.twimg.com/profile_images/378800000505780506/380279f4542aa3128451061b83b28637_normal.jpeg")</f>
        <v>https://pbs.twimg.com/profile_images/378800000505780506/380279f4542aa3128451061b83b28637_normal.jpeg</v>
      </c>
      <c r="W107" s="82">
        <v>44217.64332175926</v>
      </c>
      <c r="X107" s="86">
        <v>44217</v>
      </c>
      <c r="Y107" s="88" t="s">
        <v>519</v>
      </c>
      <c r="Z107" s="84" t="str">
        <f>HYPERLINK("https://twitter.com/kw_research/status/1352276361109528577")</f>
        <v>https://twitter.com/kw_research/status/1352276361109528577</v>
      </c>
      <c r="AA107" s="80"/>
      <c r="AB107" s="80"/>
      <c r="AC107" s="88" t="s">
        <v>670</v>
      </c>
      <c r="AD107" s="80"/>
      <c r="AE107" s="80" t="b">
        <v>0</v>
      </c>
      <c r="AF107" s="80">
        <v>2</v>
      </c>
      <c r="AG107" s="88" t="s">
        <v>763</v>
      </c>
      <c r="AH107" s="80" t="b">
        <v>1</v>
      </c>
      <c r="AI107" s="80" t="s">
        <v>764</v>
      </c>
      <c r="AJ107" s="80"/>
      <c r="AK107" s="88" t="s">
        <v>671</v>
      </c>
      <c r="AL107" s="80" t="b">
        <v>0</v>
      </c>
      <c r="AM107" s="80">
        <v>0</v>
      </c>
      <c r="AN107" s="88" t="s">
        <v>763</v>
      </c>
      <c r="AO107" s="80" t="s">
        <v>767</v>
      </c>
      <c r="AP107" s="80" t="b">
        <v>0</v>
      </c>
      <c r="AQ107" s="88" t="s">
        <v>670</v>
      </c>
      <c r="AR107" s="80" t="s">
        <v>197</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9">
        <v>1</v>
      </c>
      <c r="BG107" s="50">
        <v>4.166666666666667</v>
      </c>
      <c r="BH107" s="49">
        <v>0</v>
      </c>
      <c r="BI107" s="50">
        <v>0</v>
      </c>
      <c r="BJ107" s="49">
        <v>0</v>
      </c>
      <c r="BK107" s="50">
        <v>0</v>
      </c>
      <c r="BL107" s="49">
        <v>23</v>
      </c>
      <c r="BM107" s="50">
        <v>95.83333333333333</v>
      </c>
      <c r="BN107" s="49">
        <v>24</v>
      </c>
    </row>
    <row r="108" spans="1:66" ht="15">
      <c r="A108" s="65" t="s">
        <v>271</v>
      </c>
      <c r="B108" s="65" t="s">
        <v>281</v>
      </c>
      <c r="C108" s="66" t="s">
        <v>2153</v>
      </c>
      <c r="D108" s="67">
        <v>3</v>
      </c>
      <c r="E108" s="66" t="s">
        <v>132</v>
      </c>
      <c r="F108" s="69">
        <v>32</v>
      </c>
      <c r="G108" s="66"/>
      <c r="H108" s="70"/>
      <c r="I108" s="71"/>
      <c r="J108" s="71"/>
      <c r="K108" s="35" t="s">
        <v>65</v>
      </c>
      <c r="L108" s="72">
        <v>108</v>
      </c>
      <c r="M108" s="72"/>
      <c r="N108" s="73"/>
      <c r="O108" s="80" t="s">
        <v>353</v>
      </c>
      <c r="P108" s="82">
        <v>44217.46178240741</v>
      </c>
      <c r="Q108" s="80" t="s">
        <v>380</v>
      </c>
      <c r="R108" s="84" t="str">
        <f>HYPERLINK("https://www.tiess.online/registration?utm_source=SM&amp;utm_medium=Kristen&amp;utm_campaign=TIESS&amp;utm_term=037")</f>
        <v>https://www.tiess.online/registration?utm_source=SM&amp;utm_medium=Kristen&amp;utm_campaign=TIESS&amp;utm_term=037</v>
      </c>
      <c r="S108" s="80" t="s">
        <v>444</v>
      </c>
      <c r="T108" s="80" t="s">
        <v>450</v>
      </c>
      <c r="U108" s="84" t="str">
        <f>HYPERLINK("https://pbs.twimg.com/media/EsQER2BU0AAwhTe.jpg")</f>
        <v>https://pbs.twimg.com/media/EsQER2BU0AAwhTe.jpg</v>
      </c>
      <c r="V108" s="84" t="str">
        <f>HYPERLINK("https://pbs.twimg.com/media/EsQER2BU0AAwhTe.jpg")</f>
        <v>https://pbs.twimg.com/media/EsQER2BU0AAwhTe.jpg</v>
      </c>
      <c r="W108" s="82">
        <v>44217.46178240741</v>
      </c>
      <c r="X108" s="86">
        <v>44217</v>
      </c>
      <c r="Y108" s="88" t="s">
        <v>520</v>
      </c>
      <c r="Z108" s="84" t="str">
        <f>HYPERLINK("https://twitter.com/indiadidac/status/1352210574285836289")</f>
        <v>https://twitter.com/indiadidac/status/1352210574285836289</v>
      </c>
      <c r="AA108" s="80"/>
      <c r="AB108" s="80"/>
      <c r="AC108" s="88" t="s">
        <v>671</v>
      </c>
      <c r="AD108" s="80"/>
      <c r="AE108" s="80" t="b">
        <v>0</v>
      </c>
      <c r="AF108" s="80">
        <v>1</v>
      </c>
      <c r="AG108" s="88" t="s">
        <v>763</v>
      </c>
      <c r="AH108" s="80" t="b">
        <v>0</v>
      </c>
      <c r="AI108" s="80" t="s">
        <v>764</v>
      </c>
      <c r="AJ108" s="80"/>
      <c r="AK108" s="88" t="s">
        <v>763</v>
      </c>
      <c r="AL108" s="80" t="b">
        <v>0</v>
      </c>
      <c r="AM108" s="80">
        <v>0</v>
      </c>
      <c r="AN108" s="88" t="s">
        <v>763</v>
      </c>
      <c r="AO108" s="80" t="s">
        <v>765</v>
      </c>
      <c r="AP108" s="80" t="b">
        <v>0</v>
      </c>
      <c r="AQ108" s="88" t="s">
        <v>671</v>
      </c>
      <c r="AR108" s="80" t="s">
        <v>197</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9">
        <v>1</v>
      </c>
      <c r="BG108" s="50">
        <v>3.8461538461538463</v>
      </c>
      <c r="BH108" s="49">
        <v>0</v>
      </c>
      <c r="BI108" s="50">
        <v>0</v>
      </c>
      <c r="BJ108" s="49">
        <v>0</v>
      </c>
      <c r="BK108" s="50">
        <v>0</v>
      </c>
      <c r="BL108" s="49">
        <v>25</v>
      </c>
      <c r="BM108" s="50">
        <v>96.15384615384616</v>
      </c>
      <c r="BN108" s="49">
        <v>26</v>
      </c>
    </row>
    <row r="109" spans="1:66" ht="15">
      <c r="A109" s="65" t="s">
        <v>271</v>
      </c>
      <c r="B109" s="65" t="s">
        <v>317</v>
      </c>
      <c r="C109" s="66" t="s">
        <v>2153</v>
      </c>
      <c r="D109" s="67">
        <v>3</v>
      </c>
      <c r="E109" s="66" t="s">
        <v>132</v>
      </c>
      <c r="F109" s="69">
        <v>32</v>
      </c>
      <c r="G109" s="66"/>
      <c r="H109" s="70"/>
      <c r="I109" s="71"/>
      <c r="J109" s="71"/>
      <c r="K109" s="35" t="s">
        <v>65</v>
      </c>
      <c r="L109" s="72">
        <v>109</v>
      </c>
      <c r="M109" s="72"/>
      <c r="N109" s="73"/>
      <c r="O109" s="80" t="s">
        <v>353</v>
      </c>
      <c r="P109" s="82">
        <v>44218.28359953704</v>
      </c>
      <c r="Q109" s="80" t="s">
        <v>381</v>
      </c>
      <c r="R109" s="84" t="str">
        <f>HYPERLINK("https://www.tiess.online/registration?utm_source=Brechner&amp;utm_medium=Email&amp;utm_campaign=TIESS&amp;utm_term=012")</f>
        <v>https://www.tiess.online/registration?utm_source=Brechner&amp;utm_medium=Email&amp;utm_campaign=TIESS&amp;utm_term=012</v>
      </c>
      <c r="S109" s="80" t="s">
        <v>444</v>
      </c>
      <c r="T109" s="80" t="s">
        <v>451</v>
      </c>
      <c r="U109" s="84" t="str">
        <f>HYPERLINK("https://pbs.twimg.com/media/EsUTNSRVcAAMLTd.jpg")</f>
        <v>https://pbs.twimg.com/media/EsUTNSRVcAAMLTd.jpg</v>
      </c>
      <c r="V109" s="84" t="str">
        <f>HYPERLINK("https://pbs.twimg.com/media/EsUTNSRVcAAMLTd.jpg")</f>
        <v>https://pbs.twimg.com/media/EsUTNSRVcAAMLTd.jpg</v>
      </c>
      <c r="W109" s="82">
        <v>44218.28359953704</v>
      </c>
      <c r="X109" s="86">
        <v>44218</v>
      </c>
      <c r="Y109" s="88" t="s">
        <v>521</v>
      </c>
      <c r="Z109" s="84" t="str">
        <f>HYPERLINK("https://twitter.com/indiadidac/status/1352508393248813056")</f>
        <v>https://twitter.com/indiadidac/status/1352508393248813056</v>
      </c>
      <c r="AA109" s="80"/>
      <c r="AB109" s="80"/>
      <c r="AC109" s="88" t="s">
        <v>672</v>
      </c>
      <c r="AD109" s="80"/>
      <c r="AE109" s="80" t="b">
        <v>0</v>
      </c>
      <c r="AF109" s="80">
        <v>2</v>
      </c>
      <c r="AG109" s="88" t="s">
        <v>763</v>
      </c>
      <c r="AH109" s="80" t="b">
        <v>0</v>
      </c>
      <c r="AI109" s="80" t="s">
        <v>764</v>
      </c>
      <c r="AJ109" s="80"/>
      <c r="AK109" s="88" t="s">
        <v>763</v>
      </c>
      <c r="AL109" s="80" t="b">
        <v>0</v>
      </c>
      <c r="AM109" s="80">
        <v>0</v>
      </c>
      <c r="AN109" s="88" t="s">
        <v>763</v>
      </c>
      <c r="AO109" s="80" t="s">
        <v>765</v>
      </c>
      <c r="AP109" s="80" t="b">
        <v>0</v>
      </c>
      <c r="AQ109" s="88" t="s">
        <v>672</v>
      </c>
      <c r="AR109" s="80" t="s">
        <v>197</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9">
        <v>1</v>
      </c>
      <c r="BG109" s="50">
        <v>3.5714285714285716</v>
      </c>
      <c r="BH109" s="49">
        <v>0</v>
      </c>
      <c r="BI109" s="50">
        <v>0</v>
      </c>
      <c r="BJ109" s="49">
        <v>0</v>
      </c>
      <c r="BK109" s="50">
        <v>0</v>
      </c>
      <c r="BL109" s="49">
        <v>27</v>
      </c>
      <c r="BM109" s="50">
        <v>96.42857142857143</v>
      </c>
      <c r="BN109" s="49">
        <v>28</v>
      </c>
    </row>
    <row r="110" spans="1:66" ht="15">
      <c r="A110" s="65" t="s">
        <v>271</v>
      </c>
      <c r="B110" s="65" t="s">
        <v>318</v>
      </c>
      <c r="C110" s="66" t="s">
        <v>2153</v>
      </c>
      <c r="D110" s="67">
        <v>3</v>
      </c>
      <c r="E110" s="66" t="s">
        <v>132</v>
      </c>
      <c r="F110" s="69">
        <v>32</v>
      </c>
      <c r="G110" s="66"/>
      <c r="H110" s="70"/>
      <c r="I110" s="71"/>
      <c r="J110" s="71"/>
      <c r="K110" s="35" t="s">
        <v>65</v>
      </c>
      <c r="L110" s="72">
        <v>110</v>
      </c>
      <c r="M110" s="72"/>
      <c r="N110" s="73"/>
      <c r="O110" s="80" t="s">
        <v>353</v>
      </c>
      <c r="P110" s="82">
        <v>44218.31104166667</v>
      </c>
      <c r="Q110" s="80" t="s">
        <v>382</v>
      </c>
      <c r="R110" s="84" t="str">
        <f>HYPERLINK("https://www.tiess.online/registration?utm_source=Saku&amp;utm_medium=Email&amp;utm_campaign=TIESS&amp;utm_term=014")</f>
        <v>https://www.tiess.online/registration?utm_source=Saku&amp;utm_medium=Email&amp;utm_campaign=TIESS&amp;utm_term=014</v>
      </c>
      <c r="S110" s="80" t="s">
        <v>444</v>
      </c>
      <c r="T110" s="80" t="s">
        <v>450</v>
      </c>
      <c r="U110" s="84" t="str">
        <f>HYPERLINK("https://pbs.twimg.com/media/EsUb-CSUYAAL7kp.jpg")</f>
        <v>https://pbs.twimg.com/media/EsUb-CSUYAAL7kp.jpg</v>
      </c>
      <c r="V110" s="84" t="str">
        <f>HYPERLINK("https://pbs.twimg.com/media/EsUb-CSUYAAL7kp.jpg")</f>
        <v>https://pbs.twimg.com/media/EsUb-CSUYAAL7kp.jpg</v>
      </c>
      <c r="W110" s="82">
        <v>44218.31104166667</v>
      </c>
      <c r="X110" s="86">
        <v>44218</v>
      </c>
      <c r="Y110" s="88" t="s">
        <v>522</v>
      </c>
      <c r="Z110" s="84" t="str">
        <f>HYPERLINK("https://twitter.com/indiadidac/status/1352518334571401217")</f>
        <v>https://twitter.com/indiadidac/status/1352518334571401217</v>
      </c>
      <c r="AA110" s="80"/>
      <c r="AB110" s="80"/>
      <c r="AC110" s="88" t="s">
        <v>673</v>
      </c>
      <c r="AD110" s="80"/>
      <c r="AE110" s="80" t="b">
        <v>0</v>
      </c>
      <c r="AF110" s="80">
        <v>3</v>
      </c>
      <c r="AG110" s="88" t="s">
        <v>763</v>
      </c>
      <c r="AH110" s="80" t="b">
        <v>0</v>
      </c>
      <c r="AI110" s="80" t="s">
        <v>764</v>
      </c>
      <c r="AJ110" s="80"/>
      <c r="AK110" s="88" t="s">
        <v>763</v>
      </c>
      <c r="AL110" s="80" t="b">
        <v>0</v>
      </c>
      <c r="AM110" s="80">
        <v>0</v>
      </c>
      <c r="AN110" s="88" t="s">
        <v>763</v>
      </c>
      <c r="AO110" s="80" t="s">
        <v>765</v>
      </c>
      <c r="AP110" s="80" t="b">
        <v>0</v>
      </c>
      <c r="AQ110" s="88" t="s">
        <v>673</v>
      </c>
      <c r="AR110" s="80" t="s">
        <v>197</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9">
        <v>1</v>
      </c>
      <c r="BG110" s="50">
        <v>4</v>
      </c>
      <c r="BH110" s="49">
        <v>0</v>
      </c>
      <c r="BI110" s="50">
        <v>0</v>
      </c>
      <c r="BJ110" s="49">
        <v>0</v>
      </c>
      <c r="BK110" s="50">
        <v>0</v>
      </c>
      <c r="BL110" s="49">
        <v>24</v>
      </c>
      <c r="BM110" s="50">
        <v>96</v>
      </c>
      <c r="BN110" s="49">
        <v>25</v>
      </c>
    </row>
    <row r="111" spans="1:66" ht="15">
      <c r="A111" s="65" t="s">
        <v>271</v>
      </c>
      <c r="B111" s="65" t="s">
        <v>319</v>
      </c>
      <c r="C111" s="66" t="s">
        <v>2153</v>
      </c>
      <c r="D111" s="67">
        <v>3</v>
      </c>
      <c r="E111" s="66" t="s">
        <v>132</v>
      </c>
      <c r="F111" s="69">
        <v>32</v>
      </c>
      <c r="G111" s="66"/>
      <c r="H111" s="70"/>
      <c r="I111" s="71"/>
      <c r="J111" s="71"/>
      <c r="K111" s="35" t="s">
        <v>65</v>
      </c>
      <c r="L111" s="72">
        <v>111</v>
      </c>
      <c r="M111" s="72"/>
      <c r="N111" s="73"/>
      <c r="O111" s="80" t="s">
        <v>353</v>
      </c>
      <c r="P111" s="82">
        <v>44218.329050925924</v>
      </c>
      <c r="Q111" s="80" t="s">
        <v>383</v>
      </c>
      <c r="R111" s="84" t="str">
        <f>HYPERLINK("https://www.tiess.online/registration?utm_source=Blom&amp;utm_medium=Email&amp;utm_campaign=TIESS&amp;utm_term=017")</f>
        <v>https://www.tiess.online/registration?utm_source=Blom&amp;utm_medium=Email&amp;utm_campaign=TIESS&amp;utm_term=017</v>
      </c>
      <c r="S111" s="80" t="s">
        <v>444</v>
      </c>
      <c r="T111" s="80" t="s">
        <v>449</v>
      </c>
      <c r="U111" s="84" t="str">
        <f>HYPERLINK("https://pbs.twimg.com/media/EsUiKnhUYAAOFL3.jpg")</f>
        <v>https://pbs.twimg.com/media/EsUiKnhUYAAOFL3.jpg</v>
      </c>
      <c r="V111" s="84" t="str">
        <f>HYPERLINK("https://pbs.twimg.com/media/EsUiKnhUYAAOFL3.jpg")</f>
        <v>https://pbs.twimg.com/media/EsUiKnhUYAAOFL3.jpg</v>
      </c>
      <c r="W111" s="82">
        <v>44218.329050925924</v>
      </c>
      <c r="X111" s="86">
        <v>44218</v>
      </c>
      <c r="Y111" s="88" t="s">
        <v>523</v>
      </c>
      <c r="Z111" s="84" t="str">
        <f>HYPERLINK("https://twitter.com/indiadidac/status/1352524861923422217")</f>
        <v>https://twitter.com/indiadidac/status/1352524861923422217</v>
      </c>
      <c r="AA111" s="80"/>
      <c r="AB111" s="80"/>
      <c r="AC111" s="88" t="s">
        <v>674</v>
      </c>
      <c r="AD111" s="80"/>
      <c r="AE111" s="80" t="b">
        <v>0</v>
      </c>
      <c r="AF111" s="80">
        <v>2</v>
      </c>
      <c r="AG111" s="88" t="s">
        <v>763</v>
      </c>
      <c r="AH111" s="80" t="b">
        <v>0</v>
      </c>
      <c r="AI111" s="80" t="s">
        <v>764</v>
      </c>
      <c r="AJ111" s="80"/>
      <c r="AK111" s="88" t="s">
        <v>763</v>
      </c>
      <c r="AL111" s="80" t="b">
        <v>0</v>
      </c>
      <c r="AM111" s="80">
        <v>0</v>
      </c>
      <c r="AN111" s="88" t="s">
        <v>763</v>
      </c>
      <c r="AO111" s="80" t="s">
        <v>765</v>
      </c>
      <c r="AP111" s="80" t="b">
        <v>0</v>
      </c>
      <c r="AQ111" s="88" t="s">
        <v>674</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9">
        <v>0</v>
      </c>
      <c r="BG111" s="50">
        <v>0</v>
      </c>
      <c r="BH111" s="49">
        <v>0</v>
      </c>
      <c r="BI111" s="50">
        <v>0</v>
      </c>
      <c r="BJ111" s="49">
        <v>0</v>
      </c>
      <c r="BK111" s="50">
        <v>0</v>
      </c>
      <c r="BL111" s="49">
        <v>33</v>
      </c>
      <c r="BM111" s="50">
        <v>100</v>
      </c>
      <c r="BN111" s="49">
        <v>33</v>
      </c>
    </row>
    <row r="112" spans="1:66" ht="15">
      <c r="A112" s="65" t="s">
        <v>271</v>
      </c>
      <c r="B112" s="65" t="s">
        <v>320</v>
      </c>
      <c r="C112" s="66" t="s">
        <v>2153</v>
      </c>
      <c r="D112" s="67">
        <v>3</v>
      </c>
      <c r="E112" s="66" t="s">
        <v>132</v>
      </c>
      <c r="F112" s="69">
        <v>32</v>
      </c>
      <c r="G112" s="66"/>
      <c r="H112" s="70"/>
      <c r="I112" s="71"/>
      <c r="J112" s="71"/>
      <c r="K112" s="35" t="s">
        <v>65</v>
      </c>
      <c r="L112" s="72">
        <v>112</v>
      </c>
      <c r="M112" s="72"/>
      <c r="N112" s="73"/>
      <c r="O112" s="80" t="s">
        <v>353</v>
      </c>
      <c r="P112" s="82">
        <v>44218.356087962966</v>
      </c>
      <c r="Q112" s="80" t="s">
        <v>384</v>
      </c>
      <c r="R112" s="84" t="str">
        <f>HYPERLINK("https://www.tiess.online/registration?utm_source=Musa&amp;utm_medium=Email&amp;utm_campaign=TIESS&amp;utm_term=019")</f>
        <v>https://www.tiess.online/registration?utm_source=Musa&amp;utm_medium=Email&amp;utm_campaign=TIESS&amp;utm_term=019</v>
      </c>
      <c r="S112" s="80" t="s">
        <v>444</v>
      </c>
      <c r="T112" s="80" t="s">
        <v>451</v>
      </c>
      <c r="U112" s="84" t="str">
        <f>HYPERLINK("https://pbs.twimg.com/media/EsUrDRYUYAQ_08Z.jpg")</f>
        <v>https://pbs.twimg.com/media/EsUrDRYUYAQ_08Z.jpg</v>
      </c>
      <c r="V112" s="84" t="str">
        <f>HYPERLINK("https://pbs.twimg.com/media/EsUrDRYUYAQ_08Z.jpg")</f>
        <v>https://pbs.twimg.com/media/EsUrDRYUYAQ_08Z.jpg</v>
      </c>
      <c r="W112" s="82">
        <v>44218.356087962966</v>
      </c>
      <c r="X112" s="86">
        <v>44218</v>
      </c>
      <c r="Y112" s="88" t="s">
        <v>524</v>
      </c>
      <c r="Z112" s="84" t="str">
        <f>HYPERLINK("https://twitter.com/indiadidac/status/1352534660060876801")</f>
        <v>https://twitter.com/indiadidac/status/1352534660060876801</v>
      </c>
      <c r="AA112" s="80"/>
      <c r="AB112" s="80"/>
      <c r="AC112" s="88" t="s">
        <v>675</v>
      </c>
      <c r="AD112" s="80"/>
      <c r="AE112" s="80" t="b">
        <v>0</v>
      </c>
      <c r="AF112" s="80">
        <v>3</v>
      </c>
      <c r="AG112" s="88" t="s">
        <v>763</v>
      </c>
      <c r="AH112" s="80" t="b">
        <v>0</v>
      </c>
      <c r="AI112" s="80" t="s">
        <v>764</v>
      </c>
      <c r="AJ112" s="80"/>
      <c r="AK112" s="88" t="s">
        <v>763</v>
      </c>
      <c r="AL112" s="80" t="b">
        <v>0</v>
      </c>
      <c r="AM112" s="80">
        <v>0</v>
      </c>
      <c r="AN112" s="88" t="s">
        <v>763</v>
      </c>
      <c r="AO112" s="80" t="s">
        <v>765</v>
      </c>
      <c r="AP112" s="80" t="b">
        <v>0</v>
      </c>
      <c r="AQ112" s="88" t="s">
        <v>675</v>
      </c>
      <c r="AR112" s="80" t="s">
        <v>197</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9">
        <v>1</v>
      </c>
      <c r="BG112" s="50">
        <v>4</v>
      </c>
      <c r="BH112" s="49">
        <v>0</v>
      </c>
      <c r="BI112" s="50">
        <v>0</v>
      </c>
      <c r="BJ112" s="49">
        <v>0</v>
      </c>
      <c r="BK112" s="50">
        <v>0</v>
      </c>
      <c r="BL112" s="49">
        <v>24</v>
      </c>
      <c r="BM112" s="50">
        <v>96</v>
      </c>
      <c r="BN112" s="49">
        <v>25</v>
      </c>
    </row>
    <row r="113" spans="1:66" ht="15">
      <c r="A113" s="65" t="s">
        <v>271</v>
      </c>
      <c r="B113" s="65" t="s">
        <v>321</v>
      </c>
      <c r="C113" s="66" t="s">
        <v>2153</v>
      </c>
      <c r="D113" s="67">
        <v>3</v>
      </c>
      <c r="E113" s="66" t="s">
        <v>132</v>
      </c>
      <c r="F113" s="69">
        <v>32</v>
      </c>
      <c r="G113" s="66"/>
      <c r="H113" s="70"/>
      <c r="I113" s="71"/>
      <c r="J113" s="71"/>
      <c r="K113" s="35" t="s">
        <v>65</v>
      </c>
      <c r="L113" s="72">
        <v>113</v>
      </c>
      <c r="M113" s="72"/>
      <c r="N113" s="73"/>
      <c r="O113" s="80" t="s">
        <v>353</v>
      </c>
      <c r="P113" s="82">
        <v>44218.368622685186</v>
      </c>
      <c r="Q113" s="80" t="s">
        <v>385</v>
      </c>
      <c r="R113" s="84" t="str">
        <f>HYPERLINK("https://www.tiess.online/registration?utm_source=SM&amp;utm_medium=Hammadi&amp;utm_campaign=TIESS&amp;utm_term=002")</f>
        <v>https://www.tiess.online/registration?utm_source=SM&amp;utm_medium=Hammadi&amp;utm_campaign=TIESS&amp;utm_term=002</v>
      </c>
      <c r="S113" s="80" t="s">
        <v>444</v>
      </c>
      <c r="T113" s="80" t="s">
        <v>451</v>
      </c>
      <c r="U113" s="84" t="str">
        <f>HYPERLINK("https://pbs.twimg.com/media/EsUvGU9U0AI0Zem.jpg")</f>
        <v>https://pbs.twimg.com/media/EsUvGU9U0AI0Zem.jpg</v>
      </c>
      <c r="V113" s="84" t="str">
        <f>HYPERLINK("https://pbs.twimg.com/media/EsUvGU9U0AI0Zem.jpg")</f>
        <v>https://pbs.twimg.com/media/EsUvGU9U0AI0Zem.jpg</v>
      </c>
      <c r="W113" s="82">
        <v>44218.368622685186</v>
      </c>
      <c r="X113" s="86">
        <v>44218</v>
      </c>
      <c r="Y113" s="88" t="s">
        <v>525</v>
      </c>
      <c r="Z113" s="84" t="str">
        <f>HYPERLINK("https://twitter.com/indiadidac/status/1352539203251314690")</f>
        <v>https://twitter.com/indiadidac/status/1352539203251314690</v>
      </c>
      <c r="AA113" s="80"/>
      <c r="AB113" s="80"/>
      <c r="AC113" s="88" t="s">
        <v>676</v>
      </c>
      <c r="AD113" s="80"/>
      <c r="AE113" s="80" t="b">
        <v>0</v>
      </c>
      <c r="AF113" s="80">
        <v>2</v>
      </c>
      <c r="AG113" s="88" t="s">
        <v>763</v>
      </c>
      <c r="AH113" s="80" t="b">
        <v>0</v>
      </c>
      <c r="AI113" s="80" t="s">
        <v>764</v>
      </c>
      <c r="AJ113" s="80"/>
      <c r="AK113" s="88" t="s">
        <v>763</v>
      </c>
      <c r="AL113" s="80" t="b">
        <v>0</v>
      </c>
      <c r="AM113" s="80">
        <v>0</v>
      </c>
      <c r="AN113" s="88" t="s">
        <v>763</v>
      </c>
      <c r="AO113" s="80" t="s">
        <v>765</v>
      </c>
      <c r="AP113" s="80" t="b">
        <v>0</v>
      </c>
      <c r="AQ113" s="88" t="s">
        <v>676</v>
      </c>
      <c r="AR113" s="80" t="s">
        <v>197</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9">
        <v>0</v>
      </c>
      <c r="BG113" s="50">
        <v>0</v>
      </c>
      <c r="BH113" s="49">
        <v>0</v>
      </c>
      <c r="BI113" s="50">
        <v>0</v>
      </c>
      <c r="BJ113" s="49">
        <v>0</v>
      </c>
      <c r="BK113" s="50">
        <v>0</v>
      </c>
      <c r="BL113" s="49">
        <v>37</v>
      </c>
      <c r="BM113" s="50">
        <v>100</v>
      </c>
      <c r="BN113" s="49">
        <v>37</v>
      </c>
    </row>
    <row r="114" spans="1:66" ht="15">
      <c r="A114" s="65" t="s">
        <v>271</v>
      </c>
      <c r="B114" s="65" t="s">
        <v>307</v>
      </c>
      <c r="C114" s="66" t="s">
        <v>2153</v>
      </c>
      <c r="D114" s="67">
        <v>3</v>
      </c>
      <c r="E114" s="66" t="s">
        <v>132</v>
      </c>
      <c r="F114" s="69">
        <v>32</v>
      </c>
      <c r="G114" s="66"/>
      <c r="H114" s="70"/>
      <c r="I114" s="71"/>
      <c r="J114" s="71"/>
      <c r="K114" s="35" t="s">
        <v>65</v>
      </c>
      <c r="L114" s="72">
        <v>114</v>
      </c>
      <c r="M114" s="72"/>
      <c r="N114" s="73"/>
      <c r="O114" s="80" t="s">
        <v>353</v>
      </c>
      <c r="P114" s="82">
        <v>44218.37856481481</v>
      </c>
      <c r="Q114" s="80" t="s">
        <v>361</v>
      </c>
      <c r="R114" s="84" t="str">
        <f>HYPERLINK("https://www.tiess.online/registration?utm_source=TIESS&amp;utm_medium=Amity&amp;utm_campaign=TIESS&amp;utm_term=010")</f>
        <v>https://www.tiess.online/registration?utm_source=TIESS&amp;utm_medium=Amity&amp;utm_campaign=TIESS&amp;utm_term=010</v>
      </c>
      <c r="S114" s="80" t="s">
        <v>444</v>
      </c>
      <c r="T114" s="80" t="s">
        <v>449</v>
      </c>
      <c r="U114" s="84" t="str">
        <f>HYPERLINK("https://pbs.twimg.com/media/EsUyST3U0AA3Z4O.jpg")</f>
        <v>https://pbs.twimg.com/media/EsUyST3U0AA3Z4O.jpg</v>
      </c>
      <c r="V114" s="84" t="str">
        <f>HYPERLINK("https://pbs.twimg.com/media/EsUyST3U0AA3Z4O.jpg")</f>
        <v>https://pbs.twimg.com/media/EsUyST3U0AA3Z4O.jpg</v>
      </c>
      <c r="W114" s="82">
        <v>44218.37856481481</v>
      </c>
      <c r="X114" s="86">
        <v>44218</v>
      </c>
      <c r="Y114" s="88" t="s">
        <v>526</v>
      </c>
      <c r="Z114" s="84" t="str">
        <f>HYPERLINK("https://twitter.com/indiadidac/status/1352542806426804227")</f>
        <v>https://twitter.com/indiadidac/status/1352542806426804227</v>
      </c>
      <c r="AA114" s="80"/>
      <c r="AB114" s="80"/>
      <c r="AC114" s="88" t="s">
        <v>677</v>
      </c>
      <c r="AD114" s="80"/>
      <c r="AE114" s="80" t="b">
        <v>0</v>
      </c>
      <c r="AF114" s="80">
        <v>28</v>
      </c>
      <c r="AG114" s="88" t="s">
        <v>763</v>
      </c>
      <c r="AH114" s="80" t="b">
        <v>0</v>
      </c>
      <c r="AI114" s="80" t="s">
        <v>764</v>
      </c>
      <c r="AJ114" s="80"/>
      <c r="AK114" s="88" t="s">
        <v>763</v>
      </c>
      <c r="AL114" s="80" t="b">
        <v>0</v>
      </c>
      <c r="AM114" s="80">
        <v>7</v>
      </c>
      <c r="AN114" s="88" t="s">
        <v>763</v>
      </c>
      <c r="AO114" s="80" t="s">
        <v>765</v>
      </c>
      <c r="AP114" s="80" t="b">
        <v>0</v>
      </c>
      <c r="AQ114" s="88" t="s">
        <v>677</v>
      </c>
      <c r="AR114" s="80" t="s">
        <v>197</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4</v>
      </c>
      <c r="BF114" s="49">
        <v>3</v>
      </c>
      <c r="BG114" s="50">
        <v>9.67741935483871</v>
      </c>
      <c r="BH114" s="49">
        <v>0</v>
      </c>
      <c r="BI114" s="50">
        <v>0</v>
      </c>
      <c r="BJ114" s="49">
        <v>0</v>
      </c>
      <c r="BK114" s="50">
        <v>0</v>
      </c>
      <c r="BL114" s="49">
        <v>28</v>
      </c>
      <c r="BM114" s="50">
        <v>90.3225806451613</v>
      </c>
      <c r="BN114" s="49">
        <v>31</v>
      </c>
    </row>
    <row r="115" spans="1:66" ht="15">
      <c r="A115" s="65" t="s">
        <v>271</v>
      </c>
      <c r="B115" s="65" t="s">
        <v>322</v>
      </c>
      <c r="C115" s="66" t="s">
        <v>2153</v>
      </c>
      <c r="D115" s="67">
        <v>3</v>
      </c>
      <c r="E115" s="66" t="s">
        <v>132</v>
      </c>
      <c r="F115" s="69">
        <v>32</v>
      </c>
      <c r="G115" s="66"/>
      <c r="H115" s="70"/>
      <c r="I115" s="71"/>
      <c r="J115" s="71"/>
      <c r="K115" s="35" t="s">
        <v>65</v>
      </c>
      <c r="L115" s="72">
        <v>115</v>
      </c>
      <c r="M115" s="72"/>
      <c r="N115" s="73"/>
      <c r="O115" s="80" t="s">
        <v>353</v>
      </c>
      <c r="P115" s="82">
        <v>44218.407685185186</v>
      </c>
      <c r="Q115" s="80" t="s">
        <v>386</v>
      </c>
      <c r="R115" s="84" t="str">
        <f>HYPERLINK("https://www.tiess.online/registration?utm_source=SM&amp;utm_medium=Abdulla&amp;utm_campaign=TIESS&amp;utm_term=005")</f>
        <v>https://www.tiess.online/registration?utm_source=SM&amp;utm_medium=Abdulla&amp;utm_campaign=TIESS&amp;utm_term=005</v>
      </c>
      <c r="S115" s="80" t="s">
        <v>444</v>
      </c>
      <c r="T115" s="80" t="s">
        <v>450</v>
      </c>
      <c r="U115" s="84" t="str">
        <f>HYPERLINK("https://pbs.twimg.com/media/EsU8GM3UUAE-AFJ.jpg")</f>
        <v>https://pbs.twimg.com/media/EsU8GM3UUAE-AFJ.jpg</v>
      </c>
      <c r="V115" s="84" t="str">
        <f>HYPERLINK("https://pbs.twimg.com/media/EsU8GM3UUAE-AFJ.jpg")</f>
        <v>https://pbs.twimg.com/media/EsU8GM3UUAE-AFJ.jpg</v>
      </c>
      <c r="W115" s="82">
        <v>44218.407685185186</v>
      </c>
      <c r="X115" s="86">
        <v>44218</v>
      </c>
      <c r="Y115" s="88" t="s">
        <v>527</v>
      </c>
      <c r="Z115" s="84" t="str">
        <f>HYPERLINK("https://twitter.com/indiadidac/status/1352553356284153856")</f>
        <v>https://twitter.com/indiadidac/status/1352553356284153856</v>
      </c>
      <c r="AA115" s="80"/>
      <c r="AB115" s="80"/>
      <c r="AC115" s="88" t="s">
        <v>678</v>
      </c>
      <c r="AD115" s="80"/>
      <c r="AE115" s="80" t="b">
        <v>0</v>
      </c>
      <c r="AF115" s="80">
        <v>1</v>
      </c>
      <c r="AG115" s="88" t="s">
        <v>763</v>
      </c>
      <c r="AH115" s="80" t="b">
        <v>0</v>
      </c>
      <c r="AI115" s="80" t="s">
        <v>764</v>
      </c>
      <c r="AJ115" s="80"/>
      <c r="AK115" s="88" t="s">
        <v>763</v>
      </c>
      <c r="AL115" s="80" t="b">
        <v>0</v>
      </c>
      <c r="AM115" s="80">
        <v>0</v>
      </c>
      <c r="AN115" s="88" t="s">
        <v>763</v>
      </c>
      <c r="AO115" s="80" t="s">
        <v>765</v>
      </c>
      <c r="AP115" s="80" t="b">
        <v>0</v>
      </c>
      <c r="AQ115" s="88" t="s">
        <v>678</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271</v>
      </c>
      <c r="B116" s="65" t="s">
        <v>323</v>
      </c>
      <c r="C116" s="66" t="s">
        <v>2153</v>
      </c>
      <c r="D116" s="67">
        <v>3</v>
      </c>
      <c r="E116" s="66" t="s">
        <v>132</v>
      </c>
      <c r="F116" s="69">
        <v>32</v>
      </c>
      <c r="G116" s="66"/>
      <c r="H116" s="70"/>
      <c r="I116" s="71"/>
      <c r="J116" s="71"/>
      <c r="K116" s="35" t="s">
        <v>65</v>
      </c>
      <c r="L116" s="72">
        <v>116</v>
      </c>
      <c r="M116" s="72"/>
      <c r="N116" s="73"/>
      <c r="O116" s="80" t="s">
        <v>353</v>
      </c>
      <c r="P116" s="82">
        <v>44218.407685185186</v>
      </c>
      <c r="Q116" s="80" t="s">
        <v>386</v>
      </c>
      <c r="R116" s="84" t="str">
        <f>HYPERLINK("https://www.tiess.online/registration?utm_source=SM&amp;utm_medium=Abdulla&amp;utm_campaign=TIESS&amp;utm_term=005")</f>
        <v>https://www.tiess.online/registration?utm_source=SM&amp;utm_medium=Abdulla&amp;utm_campaign=TIESS&amp;utm_term=005</v>
      </c>
      <c r="S116" s="80" t="s">
        <v>444</v>
      </c>
      <c r="T116" s="80" t="s">
        <v>450</v>
      </c>
      <c r="U116" s="84" t="str">
        <f>HYPERLINK("https://pbs.twimg.com/media/EsU8GM3UUAE-AFJ.jpg")</f>
        <v>https://pbs.twimg.com/media/EsU8GM3UUAE-AFJ.jpg</v>
      </c>
      <c r="V116" s="84" t="str">
        <f>HYPERLINK("https://pbs.twimg.com/media/EsU8GM3UUAE-AFJ.jpg")</f>
        <v>https://pbs.twimg.com/media/EsU8GM3UUAE-AFJ.jpg</v>
      </c>
      <c r="W116" s="82">
        <v>44218.407685185186</v>
      </c>
      <c r="X116" s="86">
        <v>44218</v>
      </c>
      <c r="Y116" s="88" t="s">
        <v>527</v>
      </c>
      <c r="Z116" s="84" t="str">
        <f>HYPERLINK("https://twitter.com/indiadidac/status/1352553356284153856")</f>
        <v>https://twitter.com/indiadidac/status/1352553356284153856</v>
      </c>
      <c r="AA116" s="80"/>
      <c r="AB116" s="80"/>
      <c r="AC116" s="88" t="s">
        <v>678</v>
      </c>
      <c r="AD116" s="80"/>
      <c r="AE116" s="80" t="b">
        <v>0</v>
      </c>
      <c r="AF116" s="80">
        <v>1</v>
      </c>
      <c r="AG116" s="88" t="s">
        <v>763</v>
      </c>
      <c r="AH116" s="80" t="b">
        <v>0</v>
      </c>
      <c r="AI116" s="80" t="s">
        <v>764</v>
      </c>
      <c r="AJ116" s="80"/>
      <c r="AK116" s="88" t="s">
        <v>763</v>
      </c>
      <c r="AL116" s="80" t="b">
        <v>0</v>
      </c>
      <c r="AM116" s="80">
        <v>0</v>
      </c>
      <c r="AN116" s="88" t="s">
        <v>763</v>
      </c>
      <c r="AO116" s="80" t="s">
        <v>765</v>
      </c>
      <c r="AP116" s="80" t="b">
        <v>0</v>
      </c>
      <c r="AQ116" s="88" t="s">
        <v>678</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9">
        <v>1</v>
      </c>
      <c r="BG116" s="50">
        <v>2.9411764705882355</v>
      </c>
      <c r="BH116" s="49">
        <v>0</v>
      </c>
      <c r="BI116" s="50">
        <v>0</v>
      </c>
      <c r="BJ116" s="49">
        <v>0</v>
      </c>
      <c r="BK116" s="50">
        <v>0</v>
      </c>
      <c r="BL116" s="49">
        <v>33</v>
      </c>
      <c r="BM116" s="50">
        <v>97.05882352941177</v>
      </c>
      <c r="BN116" s="49">
        <v>34</v>
      </c>
    </row>
    <row r="117" spans="1:66" ht="15">
      <c r="A117" s="65" t="s">
        <v>282</v>
      </c>
      <c r="B117" s="65" t="s">
        <v>283</v>
      </c>
      <c r="C117" s="66" t="s">
        <v>2153</v>
      </c>
      <c r="D117" s="67">
        <v>3</v>
      </c>
      <c r="E117" s="66" t="s">
        <v>132</v>
      </c>
      <c r="F117" s="69">
        <v>32</v>
      </c>
      <c r="G117" s="66"/>
      <c r="H117" s="70"/>
      <c r="I117" s="71"/>
      <c r="J117" s="71"/>
      <c r="K117" s="35" t="s">
        <v>66</v>
      </c>
      <c r="L117" s="72">
        <v>117</v>
      </c>
      <c r="M117" s="72"/>
      <c r="N117" s="73"/>
      <c r="O117" s="80" t="s">
        <v>353</v>
      </c>
      <c r="P117" s="82">
        <v>44220.839733796296</v>
      </c>
      <c r="Q117" s="80" t="s">
        <v>387</v>
      </c>
      <c r="R117" s="84" t="str">
        <f>HYPERLINK("https://virtual.tiess.online")</f>
        <v>https://virtual.tiess.online</v>
      </c>
      <c r="S117" s="80" t="s">
        <v>444</v>
      </c>
      <c r="T117" s="80" t="s">
        <v>456</v>
      </c>
      <c r="U117" s="84" t="str">
        <f>HYPERLINK("https://pbs.twimg.com/media/EshdofwU0AA_AW0.jpg")</f>
        <v>https://pbs.twimg.com/media/EshdofwU0AA_AW0.jpg</v>
      </c>
      <c r="V117" s="84" t="str">
        <f>HYPERLINK("https://pbs.twimg.com/media/EshdofwU0AA_AW0.jpg")</f>
        <v>https://pbs.twimg.com/media/EshdofwU0AA_AW0.jpg</v>
      </c>
      <c r="W117" s="82">
        <v>44220.839733796296</v>
      </c>
      <c r="X117" s="86">
        <v>44220</v>
      </c>
      <c r="Y117" s="88" t="s">
        <v>528</v>
      </c>
      <c r="Z117" s="84" t="str">
        <f>HYPERLINK("https://twitter.com/timunwin/status/1353434704154943489")</f>
        <v>https://twitter.com/timunwin/status/1353434704154943489</v>
      </c>
      <c r="AA117" s="80"/>
      <c r="AB117" s="80"/>
      <c r="AC117" s="88" t="s">
        <v>679</v>
      </c>
      <c r="AD117" s="80"/>
      <c r="AE117" s="80" t="b">
        <v>0</v>
      </c>
      <c r="AF117" s="80">
        <v>7</v>
      </c>
      <c r="AG117" s="88" t="s">
        <v>763</v>
      </c>
      <c r="AH117" s="80" t="b">
        <v>0</v>
      </c>
      <c r="AI117" s="80" t="s">
        <v>764</v>
      </c>
      <c r="AJ117" s="80"/>
      <c r="AK117" s="88" t="s">
        <v>763</v>
      </c>
      <c r="AL117" s="80" t="b">
        <v>0</v>
      </c>
      <c r="AM117" s="80">
        <v>1</v>
      </c>
      <c r="AN117" s="88" t="s">
        <v>763</v>
      </c>
      <c r="AO117" s="80" t="s">
        <v>765</v>
      </c>
      <c r="AP117" s="80" t="b">
        <v>0</v>
      </c>
      <c r="AQ117" s="88" t="s">
        <v>679</v>
      </c>
      <c r="AR117" s="80" t="s">
        <v>197</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9">
        <v>0</v>
      </c>
      <c r="BG117" s="50">
        <v>0</v>
      </c>
      <c r="BH117" s="49">
        <v>0</v>
      </c>
      <c r="BI117" s="50">
        <v>0</v>
      </c>
      <c r="BJ117" s="49">
        <v>0</v>
      </c>
      <c r="BK117" s="50">
        <v>0</v>
      </c>
      <c r="BL117" s="49">
        <v>27</v>
      </c>
      <c r="BM117" s="50">
        <v>100</v>
      </c>
      <c r="BN117" s="49">
        <v>27</v>
      </c>
    </row>
    <row r="118" spans="1:66" ht="15">
      <c r="A118" s="65" t="s">
        <v>274</v>
      </c>
      <c r="B118" s="65" t="s">
        <v>283</v>
      </c>
      <c r="C118" s="66" t="s">
        <v>2153</v>
      </c>
      <c r="D118" s="67">
        <v>3</v>
      </c>
      <c r="E118" s="66" t="s">
        <v>132</v>
      </c>
      <c r="F118" s="69">
        <v>32</v>
      </c>
      <c r="G118" s="66"/>
      <c r="H118" s="70"/>
      <c r="I118" s="71"/>
      <c r="J118" s="71"/>
      <c r="K118" s="35" t="s">
        <v>65</v>
      </c>
      <c r="L118" s="72">
        <v>118</v>
      </c>
      <c r="M118" s="72"/>
      <c r="N118" s="73"/>
      <c r="O118" s="80" t="s">
        <v>352</v>
      </c>
      <c r="P118" s="82">
        <v>44218.48719907407</v>
      </c>
      <c r="Q118" s="80" t="s">
        <v>388</v>
      </c>
      <c r="R118" s="84" t="str">
        <f>HYPERLINK("https://www.tiess.online/registration?utm_source=SM&amp;utm_medium=Tim&amp;utm_campaign=TIESS&amp;utm_term=010")</f>
        <v>https://www.tiess.online/registration?utm_source=SM&amp;utm_medium=Tim&amp;utm_campaign=TIESS&amp;utm_term=010</v>
      </c>
      <c r="S118" s="80" t="s">
        <v>444</v>
      </c>
      <c r="T118" s="80" t="s">
        <v>450</v>
      </c>
      <c r="U118" s="84" t="str">
        <f>HYPERLINK("https://pbs.twimg.com/media/EsVHjnWVcAIPA3y.jpg")</f>
        <v>https://pbs.twimg.com/media/EsVHjnWVcAIPA3y.jpg</v>
      </c>
      <c r="V118" s="84" t="str">
        <f>HYPERLINK("https://pbs.twimg.com/media/EsVHjnWVcAIPA3y.jpg")</f>
        <v>https://pbs.twimg.com/media/EsVHjnWVcAIPA3y.jpg</v>
      </c>
      <c r="W118" s="82">
        <v>44218.48719907407</v>
      </c>
      <c r="X118" s="86">
        <v>44218</v>
      </c>
      <c r="Y118" s="88" t="s">
        <v>529</v>
      </c>
      <c r="Z118" s="84" t="str">
        <f>HYPERLINK("https://twitter.com/gavindk/status/1352582174596358147")</f>
        <v>https://twitter.com/gavindk/status/1352582174596358147</v>
      </c>
      <c r="AA118" s="80"/>
      <c r="AB118" s="80"/>
      <c r="AC118" s="88" t="s">
        <v>680</v>
      </c>
      <c r="AD118" s="80"/>
      <c r="AE118" s="80" t="b">
        <v>0</v>
      </c>
      <c r="AF118" s="80">
        <v>0</v>
      </c>
      <c r="AG118" s="88" t="s">
        <v>763</v>
      </c>
      <c r="AH118" s="80" t="b">
        <v>0</v>
      </c>
      <c r="AI118" s="80" t="s">
        <v>764</v>
      </c>
      <c r="AJ118" s="80"/>
      <c r="AK118" s="88" t="s">
        <v>763</v>
      </c>
      <c r="AL118" s="80" t="b">
        <v>0</v>
      </c>
      <c r="AM118" s="80">
        <v>1</v>
      </c>
      <c r="AN118" s="88" t="s">
        <v>682</v>
      </c>
      <c r="AO118" s="80" t="s">
        <v>765</v>
      </c>
      <c r="AP118" s="80" t="b">
        <v>0</v>
      </c>
      <c r="AQ118" s="88" t="s">
        <v>682</v>
      </c>
      <c r="AR118" s="80" t="s">
        <v>197</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283</v>
      </c>
      <c r="B119" s="65" t="s">
        <v>271</v>
      </c>
      <c r="C119" s="66" t="s">
        <v>2153</v>
      </c>
      <c r="D119" s="67">
        <v>3</v>
      </c>
      <c r="E119" s="66" t="s">
        <v>132</v>
      </c>
      <c r="F119" s="69">
        <v>32</v>
      </c>
      <c r="G119" s="66"/>
      <c r="H119" s="70"/>
      <c r="I119" s="71"/>
      <c r="J119" s="71"/>
      <c r="K119" s="35" t="s">
        <v>66</v>
      </c>
      <c r="L119" s="72">
        <v>119</v>
      </c>
      <c r="M119" s="72"/>
      <c r="N119" s="73"/>
      <c r="O119" s="80" t="s">
        <v>352</v>
      </c>
      <c r="P119" s="82">
        <v>44221.546215277776</v>
      </c>
      <c r="Q119" s="80" t="s">
        <v>387</v>
      </c>
      <c r="R119" s="84" t="str">
        <f>HYPERLINK("https://virtual.tiess.online")</f>
        <v>https://virtual.tiess.online</v>
      </c>
      <c r="S119" s="80" t="s">
        <v>444</v>
      </c>
      <c r="T119" s="80" t="s">
        <v>456</v>
      </c>
      <c r="U119" s="84" t="str">
        <f>HYPERLINK("https://pbs.twimg.com/media/EshdofwU0AA_AW0.jpg")</f>
        <v>https://pbs.twimg.com/media/EshdofwU0AA_AW0.jpg</v>
      </c>
      <c r="V119" s="84" t="str">
        <f>HYPERLINK("https://pbs.twimg.com/media/EshdofwU0AA_AW0.jpg")</f>
        <v>https://pbs.twimg.com/media/EshdofwU0AA_AW0.jpg</v>
      </c>
      <c r="W119" s="82">
        <v>44221.546215277776</v>
      </c>
      <c r="X119" s="86">
        <v>44221</v>
      </c>
      <c r="Y119" s="88" t="s">
        <v>530</v>
      </c>
      <c r="Z119" s="84" t="str">
        <f>HYPERLINK("https://twitter.com/unescoict4d/status/1353690725431599104")</f>
        <v>https://twitter.com/unescoict4d/status/1353690725431599104</v>
      </c>
      <c r="AA119" s="80"/>
      <c r="AB119" s="80"/>
      <c r="AC119" s="88" t="s">
        <v>681</v>
      </c>
      <c r="AD119" s="80"/>
      <c r="AE119" s="80" t="b">
        <v>0</v>
      </c>
      <c r="AF119" s="80">
        <v>0</v>
      </c>
      <c r="AG119" s="88" t="s">
        <v>763</v>
      </c>
      <c r="AH119" s="80" t="b">
        <v>0</v>
      </c>
      <c r="AI119" s="80" t="s">
        <v>764</v>
      </c>
      <c r="AJ119" s="80"/>
      <c r="AK119" s="88" t="s">
        <v>763</v>
      </c>
      <c r="AL119" s="80" t="b">
        <v>0</v>
      </c>
      <c r="AM119" s="80">
        <v>1</v>
      </c>
      <c r="AN119" s="88" t="s">
        <v>679</v>
      </c>
      <c r="AO119" s="80" t="s">
        <v>765</v>
      </c>
      <c r="AP119" s="80" t="b">
        <v>0</v>
      </c>
      <c r="AQ119" s="88" t="s">
        <v>679</v>
      </c>
      <c r="AR119" s="80" t="s">
        <v>197</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1</v>
      </c>
      <c r="BF119" s="49"/>
      <c r="BG119" s="50"/>
      <c r="BH119" s="49"/>
      <c r="BI119" s="50"/>
      <c r="BJ119" s="49"/>
      <c r="BK119" s="50"/>
      <c r="BL119" s="49"/>
      <c r="BM119" s="50"/>
      <c r="BN119" s="49"/>
    </row>
    <row r="120" spans="1:66" ht="15">
      <c r="A120" s="65" t="s">
        <v>283</v>
      </c>
      <c r="B120" s="65" t="s">
        <v>282</v>
      </c>
      <c r="C120" s="66" t="s">
        <v>2153</v>
      </c>
      <c r="D120" s="67">
        <v>3</v>
      </c>
      <c r="E120" s="66" t="s">
        <v>132</v>
      </c>
      <c r="F120" s="69">
        <v>32</v>
      </c>
      <c r="G120" s="66"/>
      <c r="H120" s="70"/>
      <c r="I120" s="71"/>
      <c r="J120" s="71"/>
      <c r="K120" s="35" t="s">
        <v>66</v>
      </c>
      <c r="L120" s="72">
        <v>120</v>
      </c>
      <c r="M120" s="72"/>
      <c r="N120" s="73"/>
      <c r="O120" s="80" t="s">
        <v>351</v>
      </c>
      <c r="P120" s="82">
        <v>44221.546215277776</v>
      </c>
      <c r="Q120" s="80" t="s">
        <v>387</v>
      </c>
      <c r="R120" s="84" t="str">
        <f>HYPERLINK("https://virtual.tiess.online")</f>
        <v>https://virtual.tiess.online</v>
      </c>
      <c r="S120" s="80" t="s">
        <v>444</v>
      </c>
      <c r="T120" s="80" t="s">
        <v>456</v>
      </c>
      <c r="U120" s="84" t="str">
        <f>HYPERLINK("https://pbs.twimg.com/media/EshdofwU0AA_AW0.jpg")</f>
        <v>https://pbs.twimg.com/media/EshdofwU0AA_AW0.jpg</v>
      </c>
      <c r="V120" s="84" t="str">
        <f>HYPERLINK("https://pbs.twimg.com/media/EshdofwU0AA_AW0.jpg")</f>
        <v>https://pbs.twimg.com/media/EshdofwU0AA_AW0.jpg</v>
      </c>
      <c r="W120" s="82">
        <v>44221.546215277776</v>
      </c>
      <c r="X120" s="86">
        <v>44221</v>
      </c>
      <c r="Y120" s="88" t="s">
        <v>530</v>
      </c>
      <c r="Z120" s="84" t="str">
        <f>HYPERLINK("https://twitter.com/unescoict4d/status/1353690725431599104")</f>
        <v>https://twitter.com/unescoict4d/status/1353690725431599104</v>
      </c>
      <c r="AA120" s="80"/>
      <c r="AB120" s="80"/>
      <c r="AC120" s="88" t="s">
        <v>681</v>
      </c>
      <c r="AD120" s="80"/>
      <c r="AE120" s="80" t="b">
        <v>0</v>
      </c>
      <c r="AF120" s="80">
        <v>0</v>
      </c>
      <c r="AG120" s="88" t="s">
        <v>763</v>
      </c>
      <c r="AH120" s="80" t="b">
        <v>0</v>
      </c>
      <c r="AI120" s="80" t="s">
        <v>764</v>
      </c>
      <c r="AJ120" s="80"/>
      <c r="AK120" s="88" t="s">
        <v>763</v>
      </c>
      <c r="AL120" s="80" t="b">
        <v>0</v>
      </c>
      <c r="AM120" s="80">
        <v>1</v>
      </c>
      <c r="AN120" s="88" t="s">
        <v>679</v>
      </c>
      <c r="AO120" s="80" t="s">
        <v>765</v>
      </c>
      <c r="AP120" s="80" t="b">
        <v>0</v>
      </c>
      <c r="AQ120" s="88" t="s">
        <v>679</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3</v>
      </c>
      <c r="BF120" s="49">
        <v>0</v>
      </c>
      <c r="BG120" s="50">
        <v>0</v>
      </c>
      <c r="BH120" s="49">
        <v>0</v>
      </c>
      <c r="BI120" s="50">
        <v>0</v>
      </c>
      <c r="BJ120" s="49">
        <v>0</v>
      </c>
      <c r="BK120" s="50">
        <v>0</v>
      </c>
      <c r="BL120" s="49">
        <v>27</v>
      </c>
      <c r="BM120" s="50">
        <v>100</v>
      </c>
      <c r="BN120" s="49">
        <v>27</v>
      </c>
    </row>
    <row r="121" spans="1:66" ht="15">
      <c r="A121" s="65" t="s">
        <v>271</v>
      </c>
      <c r="B121" s="65" t="s">
        <v>283</v>
      </c>
      <c r="C121" s="66" t="s">
        <v>2153</v>
      </c>
      <c r="D121" s="67">
        <v>3</v>
      </c>
      <c r="E121" s="66" t="s">
        <v>132</v>
      </c>
      <c r="F121" s="69">
        <v>32</v>
      </c>
      <c r="G121" s="66"/>
      <c r="H121" s="70"/>
      <c r="I121" s="71"/>
      <c r="J121" s="71"/>
      <c r="K121" s="35" t="s">
        <v>66</v>
      </c>
      <c r="L121" s="72">
        <v>121</v>
      </c>
      <c r="M121" s="72"/>
      <c r="N121" s="73"/>
      <c r="O121" s="80" t="s">
        <v>353</v>
      </c>
      <c r="P121" s="82">
        <v>44218.44265046297</v>
      </c>
      <c r="Q121" s="80" t="s">
        <v>388</v>
      </c>
      <c r="R121" s="84" t="str">
        <f>HYPERLINK("https://www.tiess.online/registration?utm_source=SM&amp;utm_medium=Tim&amp;utm_campaign=TIESS&amp;utm_term=010")</f>
        <v>https://www.tiess.online/registration?utm_source=SM&amp;utm_medium=Tim&amp;utm_campaign=TIESS&amp;utm_term=010</v>
      </c>
      <c r="S121" s="80" t="s">
        <v>444</v>
      </c>
      <c r="T121" s="80" t="s">
        <v>450</v>
      </c>
      <c r="U121" s="84" t="str">
        <f>HYPERLINK("https://pbs.twimg.com/media/EsVHjnWVcAIPA3y.jpg")</f>
        <v>https://pbs.twimg.com/media/EsVHjnWVcAIPA3y.jpg</v>
      </c>
      <c r="V121" s="84" t="str">
        <f>HYPERLINK("https://pbs.twimg.com/media/EsVHjnWVcAIPA3y.jpg")</f>
        <v>https://pbs.twimg.com/media/EsVHjnWVcAIPA3y.jpg</v>
      </c>
      <c r="W121" s="82">
        <v>44218.44265046297</v>
      </c>
      <c r="X121" s="86">
        <v>44218</v>
      </c>
      <c r="Y121" s="88" t="s">
        <v>531</v>
      </c>
      <c r="Z121" s="84" t="str">
        <f>HYPERLINK("https://twitter.com/indiadidac/status/1352566027909881859")</f>
        <v>https://twitter.com/indiadidac/status/1352566027909881859</v>
      </c>
      <c r="AA121" s="80"/>
      <c r="AB121" s="80"/>
      <c r="AC121" s="88" t="s">
        <v>682</v>
      </c>
      <c r="AD121" s="80"/>
      <c r="AE121" s="80" t="b">
        <v>0</v>
      </c>
      <c r="AF121" s="80">
        <v>3</v>
      </c>
      <c r="AG121" s="88" t="s">
        <v>763</v>
      </c>
      <c r="AH121" s="80" t="b">
        <v>0</v>
      </c>
      <c r="AI121" s="80" t="s">
        <v>764</v>
      </c>
      <c r="AJ121" s="80"/>
      <c r="AK121" s="88" t="s">
        <v>763</v>
      </c>
      <c r="AL121" s="80" t="b">
        <v>0</v>
      </c>
      <c r="AM121" s="80">
        <v>1</v>
      </c>
      <c r="AN121" s="88" t="s">
        <v>763</v>
      </c>
      <c r="AO121" s="80" t="s">
        <v>765</v>
      </c>
      <c r="AP121" s="80" t="b">
        <v>0</v>
      </c>
      <c r="AQ121" s="88" t="s">
        <v>682</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3</v>
      </c>
      <c r="BF121" s="49"/>
      <c r="BG121" s="50"/>
      <c r="BH121" s="49"/>
      <c r="BI121" s="50"/>
      <c r="BJ121" s="49"/>
      <c r="BK121" s="50"/>
      <c r="BL121" s="49"/>
      <c r="BM121" s="50"/>
      <c r="BN121" s="49"/>
    </row>
    <row r="122" spans="1:66" ht="15">
      <c r="A122" s="65" t="s">
        <v>274</v>
      </c>
      <c r="B122" s="65" t="s">
        <v>324</v>
      </c>
      <c r="C122" s="66" t="s">
        <v>2153</v>
      </c>
      <c r="D122" s="67">
        <v>3</v>
      </c>
      <c r="E122" s="66" t="s">
        <v>132</v>
      </c>
      <c r="F122" s="69">
        <v>32</v>
      </c>
      <c r="G122" s="66"/>
      <c r="H122" s="70"/>
      <c r="I122" s="71"/>
      <c r="J122" s="71"/>
      <c r="K122" s="35" t="s">
        <v>65</v>
      </c>
      <c r="L122" s="72">
        <v>122</v>
      </c>
      <c r="M122" s="72"/>
      <c r="N122" s="73"/>
      <c r="O122" s="80" t="s">
        <v>352</v>
      </c>
      <c r="P122" s="82">
        <v>44218.48719907407</v>
      </c>
      <c r="Q122" s="80" t="s">
        <v>388</v>
      </c>
      <c r="R122" s="84" t="str">
        <f>HYPERLINK("https://www.tiess.online/registration?utm_source=SM&amp;utm_medium=Tim&amp;utm_campaign=TIESS&amp;utm_term=010")</f>
        <v>https://www.tiess.online/registration?utm_source=SM&amp;utm_medium=Tim&amp;utm_campaign=TIESS&amp;utm_term=010</v>
      </c>
      <c r="S122" s="80" t="s">
        <v>444</v>
      </c>
      <c r="T122" s="80" t="s">
        <v>450</v>
      </c>
      <c r="U122" s="84" t="str">
        <f>HYPERLINK("https://pbs.twimg.com/media/EsVHjnWVcAIPA3y.jpg")</f>
        <v>https://pbs.twimg.com/media/EsVHjnWVcAIPA3y.jpg</v>
      </c>
      <c r="V122" s="84" t="str">
        <f>HYPERLINK("https://pbs.twimg.com/media/EsVHjnWVcAIPA3y.jpg")</f>
        <v>https://pbs.twimg.com/media/EsVHjnWVcAIPA3y.jpg</v>
      </c>
      <c r="W122" s="82">
        <v>44218.48719907407</v>
      </c>
      <c r="X122" s="86">
        <v>44218</v>
      </c>
      <c r="Y122" s="88" t="s">
        <v>529</v>
      </c>
      <c r="Z122" s="84" t="str">
        <f>HYPERLINK("https://twitter.com/gavindk/status/1352582174596358147")</f>
        <v>https://twitter.com/gavindk/status/1352582174596358147</v>
      </c>
      <c r="AA122" s="80"/>
      <c r="AB122" s="80"/>
      <c r="AC122" s="88" t="s">
        <v>680</v>
      </c>
      <c r="AD122" s="80"/>
      <c r="AE122" s="80" t="b">
        <v>0</v>
      </c>
      <c r="AF122" s="80">
        <v>0</v>
      </c>
      <c r="AG122" s="88" t="s">
        <v>763</v>
      </c>
      <c r="AH122" s="80" t="b">
        <v>0</v>
      </c>
      <c r="AI122" s="80" t="s">
        <v>764</v>
      </c>
      <c r="AJ122" s="80"/>
      <c r="AK122" s="88" t="s">
        <v>763</v>
      </c>
      <c r="AL122" s="80" t="b">
        <v>0</v>
      </c>
      <c r="AM122" s="80">
        <v>1</v>
      </c>
      <c r="AN122" s="88" t="s">
        <v>682</v>
      </c>
      <c r="AO122" s="80" t="s">
        <v>765</v>
      </c>
      <c r="AP122" s="80" t="b">
        <v>0</v>
      </c>
      <c r="AQ122" s="88" t="s">
        <v>682</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9">
        <v>1</v>
      </c>
      <c r="BG122" s="50">
        <v>4</v>
      </c>
      <c r="BH122" s="49">
        <v>0</v>
      </c>
      <c r="BI122" s="50">
        <v>0</v>
      </c>
      <c r="BJ122" s="49">
        <v>0</v>
      </c>
      <c r="BK122" s="50">
        <v>0</v>
      </c>
      <c r="BL122" s="49">
        <v>24</v>
      </c>
      <c r="BM122" s="50">
        <v>96</v>
      </c>
      <c r="BN122" s="49">
        <v>25</v>
      </c>
    </row>
    <row r="123" spans="1:66" ht="15">
      <c r="A123" s="65" t="s">
        <v>271</v>
      </c>
      <c r="B123" s="65" t="s">
        <v>324</v>
      </c>
      <c r="C123" s="66" t="s">
        <v>2153</v>
      </c>
      <c r="D123" s="67">
        <v>3</v>
      </c>
      <c r="E123" s="66" t="s">
        <v>132</v>
      </c>
      <c r="F123" s="69">
        <v>32</v>
      </c>
      <c r="G123" s="66"/>
      <c r="H123" s="70"/>
      <c r="I123" s="71"/>
      <c r="J123" s="71"/>
      <c r="K123" s="35" t="s">
        <v>65</v>
      </c>
      <c r="L123" s="72">
        <v>123</v>
      </c>
      <c r="M123" s="72"/>
      <c r="N123" s="73"/>
      <c r="O123" s="80" t="s">
        <v>353</v>
      </c>
      <c r="P123" s="82">
        <v>44218.44265046297</v>
      </c>
      <c r="Q123" s="80" t="s">
        <v>388</v>
      </c>
      <c r="R123" s="84" t="str">
        <f>HYPERLINK("https://www.tiess.online/registration?utm_source=SM&amp;utm_medium=Tim&amp;utm_campaign=TIESS&amp;utm_term=010")</f>
        <v>https://www.tiess.online/registration?utm_source=SM&amp;utm_medium=Tim&amp;utm_campaign=TIESS&amp;utm_term=010</v>
      </c>
      <c r="S123" s="80" t="s">
        <v>444</v>
      </c>
      <c r="T123" s="80" t="s">
        <v>450</v>
      </c>
      <c r="U123" s="84" t="str">
        <f>HYPERLINK("https://pbs.twimg.com/media/EsVHjnWVcAIPA3y.jpg")</f>
        <v>https://pbs.twimg.com/media/EsVHjnWVcAIPA3y.jpg</v>
      </c>
      <c r="V123" s="84" t="str">
        <f>HYPERLINK("https://pbs.twimg.com/media/EsVHjnWVcAIPA3y.jpg")</f>
        <v>https://pbs.twimg.com/media/EsVHjnWVcAIPA3y.jpg</v>
      </c>
      <c r="W123" s="82">
        <v>44218.44265046297</v>
      </c>
      <c r="X123" s="86">
        <v>44218</v>
      </c>
      <c r="Y123" s="88" t="s">
        <v>531</v>
      </c>
      <c r="Z123" s="84" t="str">
        <f>HYPERLINK("https://twitter.com/indiadidac/status/1352566027909881859")</f>
        <v>https://twitter.com/indiadidac/status/1352566027909881859</v>
      </c>
      <c r="AA123" s="80"/>
      <c r="AB123" s="80"/>
      <c r="AC123" s="88" t="s">
        <v>682</v>
      </c>
      <c r="AD123" s="80"/>
      <c r="AE123" s="80" t="b">
        <v>0</v>
      </c>
      <c r="AF123" s="80">
        <v>3</v>
      </c>
      <c r="AG123" s="88" t="s">
        <v>763</v>
      </c>
      <c r="AH123" s="80" t="b">
        <v>0</v>
      </c>
      <c r="AI123" s="80" t="s">
        <v>764</v>
      </c>
      <c r="AJ123" s="80"/>
      <c r="AK123" s="88" t="s">
        <v>763</v>
      </c>
      <c r="AL123" s="80" t="b">
        <v>0</v>
      </c>
      <c r="AM123" s="80">
        <v>1</v>
      </c>
      <c r="AN123" s="88" t="s">
        <v>763</v>
      </c>
      <c r="AO123" s="80" t="s">
        <v>765</v>
      </c>
      <c r="AP123" s="80" t="b">
        <v>0</v>
      </c>
      <c r="AQ123" s="88" t="s">
        <v>682</v>
      </c>
      <c r="AR123" s="80" t="s">
        <v>197</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3</v>
      </c>
      <c r="BF123" s="49">
        <v>1</v>
      </c>
      <c r="BG123" s="50">
        <v>4</v>
      </c>
      <c r="BH123" s="49">
        <v>0</v>
      </c>
      <c r="BI123" s="50">
        <v>0</v>
      </c>
      <c r="BJ123" s="49">
        <v>0</v>
      </c>
      <c r="BK123" s="50">
        <v>0</v>
      </c>
      <c r="BL123" s="49">
        <v>24</v>
      </c>
      <c r="BM123" s="50">
        <v>96</v>
      </c>
      <c r="BN123" s="49">
        <v>25</v>
      </c>
    </row>
    <row r="124" spans="1:66" ht="15">
      <c r="A124" s="65" t="s">
        <v>282</v>
      </c>
      <c r="B124" s="65" t="s">
        <v>271</v>
      </c>
      <c r="C124" s="66" t="s">
        <v>2153</v>
      </c>
      <c r="D124" s="67">
        <v>3</v>
      </c>
      <c r="E124" s="66" t="s">
        <v>132</v>
      </c>
      <c r="F124" s="69">
        <v>32</v>
      </c>
      <c r="G124" s="66"/>
      <c r="H124" s="70"/>
      <c r="I124" s="71"/>
      <c r="J124" s="71"/>
      <c r="K124" s="35" t="s">
        <v>66</v>
      </c>
      <c r="L124" s="72">
        <v>124</v>
      </c>
      <c r="M124" s="72"/>
      <c r="N124" s="73"/>
      <c r="O124" s="80" t="s">
        <v>351</v>
      </c>
      <c r="P124" s="82">
        <v>44220.837175925924</v>
      </c>
      <c r="Q124" s="80" t="s">
        <v>389</v>
      </c>
      <c r="R124" s="80"/>
      <c r="S124" s="80"/>
      <c r="T124" s="80" t="s">
        <v>450</v>
      </c>
      <c r="U124" s="84" t="str">
        <f>HYPERLINK("https://pbs.twimg.com/media/EsgPDwCUcAYZq66.jpg")</f>
        <v>https://pbs.twimg.com/media/EsgPDwCUcAYZq66.jpg</v>
      </c>
      <c r="V124" s="84" t="str">
        <f>HYPERLINK("https://pbs.twimg.com/media/EsgPDwCUcAYZq66.jpg")</f>
        <v>https://pbs.twimg.com/media/EsgPDwCUcAYZq66.jpg</v>
      </c>
      <c r="W124" s="82">
        <v>44220.837175925924</v>
      </c>
      <c r="X124" s="86">
        <v>44220</v>
      </c>
      <c r="Y124" s="88" t="s">
        <v>532</v>
      </c>
      <c r="Z124" s="84" t="str">
        <f>HYPERLINK("https://twitter.com/timunwin/status/1353433777599557633")</f>
        <v>https://twitter.com/timunwin/status/1353433777599557633</v>
      </c>
      <c r="AA124" s="80"/>
      <c r="AB124" s="80"/>
      <c r="AC124" s="88" t="s">
        <v>683</v>
      </c>
      <c r="AD124" s="80"/>
      <c r="AE124" s="80" t="b">
        <v>0</v>
      </c>
      <c r="AF124" s="80">
        <v>0</v>
      </c>
      <c r="AG124" s="88" t="s">
        <v>763</v>
      </c>
      <c r="AH124" s="80" t="b">
        <v>0</v>
      </c>
      <c r="AI124" s="80" t="s">
        <v>764</v>
      </c>
      <c r="AJ124" s="80"/>
      <c r="AK124" s="88" t="s">
        <v>763</v>
      </c>
      <c r="AL124" s="80" t="b">
        <v>0</v>
      </c>
      <c r="AM124" s="80">
        <v>2</v>
      </c>
      <c r="AN124" s="88" t="s">
        <v>753</v>
      </c>
      <c r="AO124" s="80" t="s">
        <v>765</v>
      </c>
      <c r="AP124" s="80" t="b">
        <v>0</v>
      </c>
      <c r="AQ124" s="88" t="s">
        <v>753</v>
      </c>
      <c r="AR124" s="80" t="s">
        <v>197</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1</v>
      </c>
      <c r="BF124" s="49">
        <v>2</v>
      </c>
      <c r="BG124" s="50">
        <v>5.555555555555555</v>
      </c>
      <c r="BH124" s="49">
        <v>0</v>
      </c>
      <c r="BI124" s="50">
        <v>0</v>
      </c>
      <c r="BJ124" s="49">
        <v>0</v>
      </c>
      <c r="BK124" s="50">
        <v>0</v>
      </c>
      <c r="BL124" s="49">
        <v>34</v>
      </c>
      <c r="BM124" s="50">
        <v>94.44444444444444</v>
      </c>
      <c r="BN124" s="49">
        <v>36</v>
      </c>
    </row>
    <row r="125" spans="1:66" ht="15">
      <c r="A125" s="65" t="s">
        <v>282</v>
      </c>
      <c r="B125" s="65" t="s">
        <v>271</v>
      </c>
      <c r="C125" s="66" t="s">
        <v>2153</v>
      </c>
      <c r="D125" s="67">
        <v>3</v>
      </c>
      <c r="E125" s="66" t="s">
        <v>132</v>
      </c>
      <c r="F125" s="69">
        <v>32</v>
      </c>
      <c r="G125" s="66"/>
      <c r="H125" s="70"/>
      <c r="I125" s="71"/>
      <c r="J125" s="71"/>
      <c r="K125" s="35" t="s">
        <v>66</v>
      </c>
      <c r="L125" s="72">
        <v>125</v>
      </c>
      <c r="M125" s="72"/>
      <c r="N125" s="73"/>
      <c r="O125" s="80" t="s">
        <v>353</v>
      </c>
      <c r="P125" s="82">
        <v>44220.839733796296</v>
      </c>
      <c r="Q125" s="80" t="s">
        <v>387</v>
      </c>
      <c r="R125" s="84" t="str">
        <f>HYPERLINK("https://virtual.tiess.online")</f>
        <v>https://virtual.tiess.online</v>
      </c>
      <c r="S125" s="80" t="s">
        <v>444</v>
      </c>
      <c r="T125" s="80" t="s">
        <v>456</v>
      </c>
      <c r="U125" s="84" t="str">
        <f>HYPERLINK("https://pbs.twimg.com/media/EshdofwU0AA_AW0.jpg")</f>
        <v>https://pbs.twimg.com/media/EshdofwU0AA_AW0.jpg</v>
      </c>
      <c r="V125" s="84" t="str">
        <f>HYPERLINK("https://pbs.twimg.com/media/EshdofwU0AA_AW0.jpg")</f>
        <v>https://pbs.twimg.com/media/EshdofwU0AA_AW0.jpg</v>
      </c>
      <c r="W125" s="82">
        <v>44220.839733796296</v>
      </c>
      <c r="X125" s="86">
        <v>44220</v>
      </c>
      <c r="Y125" s="88" t="s">
        <v>528</v>
      </c>
      <c r="Z125" s="84" t="str">
        <f>HYPERLINK("https://twitter.com/timunwin/status/1353434704154943489")</f>
        <v>https://twitter.com/timunwin/status/1353434704154943489</v>
      </c>
      <c r="AA125" s="80"/>
      <c r="AB125" s="80"/>
      <c r="AC125" s="88" t="s">
        <v>679</v>
      </c>
      <c r="AD125" s="80"/>
      <c r="AE125" s="80" t="b">
        <v>0</v>
      </c>
      <c r="AF125" s="80">
        <v>7</v>
      </c>
      <c r="AG125" s="88" t="s">
        <v>763</v>
      </c>
      <c r="AH125" s="80" t="b">
        <v>0</v>
      </c>
      <c r="AI125" s="80" t="s">
        <v>764</v>
      </c>
      <c r="AJ125" s="80"/>
      <c r="AK125" s="88" t="s">
        <v>763</v>
      </c>
      <c r="AL125" s="80" t="b">
        <v>0</v>
      </c>
      <c r="AM125" s="80">
        <v>1</v>
      </c>
      <c r="AN125" s="88" t="s">
        <v>763</v>
      </c>
      <c r="AO125" s="80" t="s">
        <v>765</v>
      </c>
      <c r="AP125" s="80" t="b">
        <v>0</v>
      </c>
      <c r="AQ125" s="88" t="s">
        <v>679</v>
      </c>
      <c r="AR125" s="80" t="s">
        <v>197</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1</v>
      </c>
      <c r="BF125" s="49"/>
      <c r="BG125" s="50"/>
      <c r="BH125" s="49"/>
      <c r="BI125" s="50"/>
      <c r="BJ125" s="49"/>
      <c r="BK125" s="50"/>
      <c r="BL125" s="49"/>
      <c r="BM125" s="50"/>
      <c r="BN125" s="49"/>
    </row>
    <row r="126" spans="1:66" ht="15">
      <c r="A126" s="65" t="s">
        <v>274</v>
      </c>
      <c r="B126" s="65" t="s">
        <v>282</v>
      </c>
      <c r="C126" s="66" t="s">
        <v>2153</v>
      </c>
      <c r="D126" s="67">
        <v>3</v>
      </c>
      <c r="E126" s="66" t="s">
        <v>132</v>
      </c>
      <c r="F126" s="69">
        <v>32</v>
      </c>
      <c r="G126" s="66"/>
      <c r="H126" s="70"/>
      <c r="I126" s="71"/>
      <c r="J126" s="71"/>
      <c r="K126" s="35" t="s">
        <v>65</v>
      </c>
      <c r="L126" s="72">
        <v>126</v>
      </c>
      <c r="M126" s="72"/>
      <c r="N126" s="73"/>
      <c r="O126" s="80" t="s">
        <v>352</v>
      </c>
      <c r="P126" s="82">
        <v>44218.48719907407</v>
      </c>
      <c r="Q126" s="80" t="s">
        <v>388</v>
      </c>
      <c r="R126" s="84" t="str">
        <f>HYPERLINK("https://www.tiess.online/registration?utm_source=SM&amp;utm_medium=Tim&amp;utm_campaign=TIESS&amp;utm_term=010")</f>
        <v>https://www.tiess.online/registration?utm_source=SM&amp;utm_medium=Tim&amp;utm_campaign=TIESS&amp;utm_term=010</v>
      </c>
      <c r="S126" s="80" t="s">
        <v>444</v>
      </c>
      <c r="T126" s="80" t="s">
        <v>450</v>
      </c>
      <c r="U126" s="84" t="str">
        <f>HYPERLINK("https://pbs.twimg.com/media/EsVHjnWVcAIPA3y.jpg")</f>
        <v>https://pbs.twimg.com/media/EsVHjnWVcAIPA3y.jpg</v>
      </c>
      <c r="V126" s="84" t="str">
        <f>HYPERLINK("https://pbs.twimg.com/media/EsVHjnWVcAIPA3y.jpg")</f>
        <v>https://pbs.twimg.com/media/EsVHjnWVcAIPA3y.jpg</v>
      </c>
      <c r="W126" s="82">
        <v>44218.48719907407</v>
      </c>
      <c r="X126" s="86">
        <v>44218</v>
      </c>
      <c r="Y126" s="88" t="s">
        <v>529</v>
      </c>
      <c r="Z126" s="84" t="str">
        <f>HYPERLINK("https://twitter.com/gavindk/status/1352582174596358147")</f>
        <v>https://twitter.com/gavindk/status/1352582174596358147</v>
      </c>
      <c r="AA126" s="80"/>
      <c r="AB126" s="80"/>
      <c r="AC126" s="88" t="s">
        <v>680</v>
      </c>
      <c r="AD126" s="80"/>
      <c r="AE126" s="80" t="b">
        <v>0</v>
      </c>
      <c r="AF126" s="80">
        <v>0</v>
      </c>
      <c r="AG126" s="88" t="s">
        <v>763</v>
      </c>
      <c r="AH126" s="80" t="b">
        <v>0</v>
      </c>
      <c r="AI126" s="80" t="s">
        <v>764</v>
      </c>
      <c r="AJ126" s="80"/>
      <c r="AK126" s="88" t="s">
        <v>763</v>
      </c>
      <c r="AL126" s="80" t="b">
        <v>0</v>
      </c>
      <c r="AM126" s="80">
        <v>1</v>
      </c>
      <c r="AN126" s="88" t="s">
        <v>682</v>
      </c>
      <c r="AO126" s="80" t="s">
        <v>765</v>
      </c>
      <c r="AP126" s="80" t="b">
        <v>0</v>
      </c>
      <c r="AQ126" s="88" t="s">
        <v>682</v>
      </c>
      <c r="AR126" s="80" t="s">
        <v>197</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271</v>
      </c>
      <c r="B127" s="65" t="s">
        <v>282</v>
      </c>
      <c r="C127" s="66" t="s">
        <v>2153</v>
      </c>
      <c r="D127" s="67">
        <v>3</v>
      </c>
      <c r="E127" s="66" t="s">
        <v>132</v>
      </c>
      <c r="F127" s="69">
        <v>32</v>
      </c>
      <c r="G127" s="66"/>
      <c r="H127" s="70"/>
      <c r="I127" s="71"/>
      <c r="J127" s="71"/>
      <c r="K127" s="35" t="s">
        <v>66</v>
      </c>
      <c r="L127" s="72">
        <v>127</v>
      </c>
      <c r="M127" s="72"/>
      <c r="N127" s="73"/>
      <c r="O127" s="80" t="s">
        <v>353</v>
      </c>
      <c r="P127" s="82">
        <v>44218.44265046297</v>
      </c>
      <c r="Q127" s="80" t="s">
        <v>388</v>
      </c>
      <c r="R127" s="84" t="str">
        <f>HYPERLINK("https://www.tiess.online/registration?utm_source=SM&amp;utm_medium=Tim&amp;utm_campaign=TIESS&amp;utm_term=010")</f>
        <v>https://www.tiess.online/registration?utm_source=SM&amp;utm_medium=Tim&amp;utm_campaign=TIESS&amp;utm_term=010</v>
      </c>
      <c r="S127" s="80" t="s">
        <v>444</v>
      </c>
      <c r="T127" s="80" t="s">
        <v>450</v>
      </c>
      <c r="U127" s="84" t="str">
        <f>HYPERLINK("https://pbs.twimg.com/media/EsVHjnWVcAIPA3y.jpg")</f>
        <v>https://pbs.twimg.com/media/EsVHjnWVcAIPA3y.jpg</v>
      </c>
      <c r="V127" s="84" t="str">
        <f>HYPERLINK("https://pbs.twimg.com/media/EsVHjnWVcAIPA3y.jpg")</f>
        <v>https://pbs.twimg.com/media/EsVHjnWVcAIPA3y.jpg</v>
      </c>
      <c r="W127" s="82">
        <v>44218.44265046297</v>
      </c>
      <c r="X127" s="86">
        <v>44218</v>
      </c>
      <c r="Y127" s="88" t="s">
        <v>531</v>
      </c>
      <c r="Z127" s="84" t="str">
        <f>HYPERLINK("https://twitter.com/indiadidac/status/1352566027909881859")</f>
        <v>https://twitter.com/indiadidac/status/1352566027909881859</v>
      </c>
      <c r="AA127" s="80"/>
      <c r="AB127" s="80"/>
      <c r="AC127" s="88" t="s">
        <v>682</v>
      </c>
      <c r="AD127" s="80"/>
      <c r="AE127" s="80" t="b">
        <v>0</v>
      </c>
      <c r="AF127" s="80">
        <v>3</v>
      </c>
      <c r="AG127" s="88" t="s">
        <v>763</v>
      </c>
      <c r="AH127" s="80" t="b">
        <v>0</v>
      </c>
      <c r="AI127" s="80" t="s">
        <v>764</v>
      </c>
      <c r="AJ127" s="80"/>
      <c r="AK127" s="88" t="s">
        <v>763</v>
      </c>
      <c r="AL127" s="80" t="b">
        <v>0</v>
      </c>
      <c r="AM127" s="80">
        <v>1</v>
      </c>
      <c r="AN127" s="88" t="s">
        <v>763</v>
      </c>
      <c r="AO127" s="80" t="s">
        <v>765</v>
      </c>
      <c r="AP127" s="80" t="b">
        <v>0</v>
      </c>
      <c r="AQ127" s="88" t="s">
        <v>682</v>
      </c>
      <c r="AR127" s="80" t="s">
        <v>197</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3</v>
      </c>
      <c r="BF127" s="49"/>
      <c r="BG127" s="50"/>
      <c r="BH127" s="49"/>
      <c r="BI127" s="50"/>
      <c r="BJ127" s="49"/>
      <c r="BK127" s="50"/>
      <c r="BL127" s="49"/>
      <c r="BM127" s="50"/>
      <c r="BN127" s="49"/>
    </row>
    <row r="128" spans="1:66" ht="15">
      <c r="A128" s="65" t="s">
        <v>271</v>
      </c>
      <c r="B128" s="65" t="s">
        <v>325</v>
      </c>
      <c r="C128" s="66" t="s">
        <v>2153</v>
      </c>
      <c r="D128" s="67">
        <v>3</v>
      </c>
      <c r="E128" s="66" t="s">
        <v>132</v>
      </c>
      <c r="F128" s="69">
        <v>32</v>
      </c>
      <c r="G128" s="66"/>
      <c r="H128" s="70"/>
      <c r="I128" s="71"/>
      <c r="J128" s="71"/>
      <c r="K128" s="35" t="s">
        <v>65</v>
      </c>
      <c r="L128" s="72">
        <v>128</v>
      </c>
      <c r="M128" s="72"/>
      <c r="N128" s="73"/>
      <c r="O128" s="80" t="s">
        <v>353</v>
      </c>
      <c r="P128" s="82">
        <v>44218.468090277776</v>
      </c>
      <c r="Q128" s="80" t="s">
        <v>390</v>
      </c>
      <c r="R128" s="84" t="str">
        <f>HYPERLINK("https://www.tiess.online/registration?utm_source=RadhaChauhan&amp;utm_medium=Email&amp;utm_campaign=TIESS&amp;utm_term=021")</f>
        <v>https://www.tiess.online/registration?utm_source=RadhaChauhan&amp;utm_medium=Email&amp;utm_campaign=TIESS&amp;utm_term=021</v>
      </c>
      <c r="S128" s="80" t="s">
        <v>444</v>
      </c>
      <c r="T128" s="80" t="s">
        <v>449</v>
      </c>
      <c r="U128" s="84" t="str">
        <f>HYPERLINK("https://pbs.twimg.com/media/EsVP5ghUYAAdQD1.jpg")</f>
        <v>https://pbs.twimg.com/media/EsVP5ghUYAAdQD1.jpg</v>
      </c>
      <c r="V128" s="84" t="str">
        <f>HYPERLINK("https://pbs.twimg.com/media/EsVP5ghUYAAdQD1.jpg")</f>
        <v>https://pbs.twimg.com/media/EsVP5ghUYAAdQD1.jpg</v>
      </c>
      <c r="W128" s="82">
        <v>44218.468090277776</v>
      </c>
      <c r="X128" s="86">
        <v>44218</v>
      </c>
      <c r="Y128" s="88" t="s">
        <v>533</v>
      </c>
      <c r="Z128" s="84" t="str">
        <f>HYPERLINK("https://twitter.com/indiadidac/status/1352575249158529028")</f>
        <v>https://twitter.com/indiadidac/status/1352575249158529028</v>
      </c>
      <c r="AA128" s="80"/>
      <c r="AB128" s="80"/>
      <c r="AC128" s="88" t="s">
        <v>684</v>
      </c>
      <c r="AD128" s="80"/>
      <c r="AE128" s="80" t="b">
        <v>0</v>
      </c>
      <c r="AF128" s="80">
        <v>1</v>
      </c>
      <c r="AG128" s="88" t="s">
        <v>763</v>
      </c>
      <c r="AH128" s="80" t="b">
        <v>0</v>
      </c>
      <c r="AI128" s="80" t="s">
        <v>764</v>
      </c>
      <c r="AJ128" s="80"/>
      <c r="AK128" s="88" t="s">
        <v>763</v>
      </c>
      <c r="AL128" s="80" t="b">
        <v>0</v>
      </c>
      <c r="AM128" s="80">
        <v>0</v>
      </c>
      <c r="AN128" s="88" t="s">
        <v>763</v>
      </c>
      <c r="AO128" s="80" t="s">
        <v>765</v>
      </c>
      <c r="AP128" s="80" t="b">
        <v>0</v>
      </c>
      <c r="AQ128" s="88" t="s">
        <v>684</v>
      </c>
      <c r="AR128" s="80" t="s">
        <v>197</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9">
        <v>1</v>
      </c>
      <c r="BG128" s="50">
        <v>3.225806451612903</v>
      </c>
      <c r="BH128" s="49">
        <v>0</v>
      </c>
      <c r="BI128" s="50">
        <v>0</v>
      </c>
      <c r="BJ128" s="49">
        <v>0</v>
      </c>
      <c r="BK128" s="50">
        <v>0</v>
      </c>
      <c r="BL128" s="49">
        <v>30</v>
      </c>
      <c r="BM128" s="50">
        <v>96.7741935483871</v>
      </c>
      <c r="BN128" s="49">
        <v>31</v>
      </c>
    </row>
    <row r="129" spans="1:66" ht="15">
      <c r="A129" s="65" t="s">
        <v>271</v>
      </c>
      <c r="B129" s="65" t="s">
        <v>326</v>
      </c>
      <c r="C129" s="66" t="s">
        <v>2153</v>
      </c>
      <c r="D129" s="67">
        <v>3</v>
      </c>
      <c r="E129" s="66" t="s">
        <v>132</v>
      </c>
      <c r="F129" s="69">
        <v>32</v>
      </c>
      <c r="G129" s="66"/>
      <c r="H129" s="70"/>
      <c r="I129" s="71"/>
      <c r="J129" s="71"/>
      <c r="K129" s="35" t="s">
        <v>65</v>
      </c>
      <c r="L129" s="72">
        <v>129</v>
      </c>
      <c r="M129" s="72"/>
      <c r="N129" s="73"/>
      <c r="O129" s="80" t="s">
        <v>353</v>
      </c>
      <c r="P129" s="82">
        <v>44218.497881944444</v>
      </c>
      <c r="Q129" s="80" t="s">
        <v>391</v>
      </c>
      <c r="R129" s="84" t="str">
        <f>HYPERLINK("https://www.tiess.online/registration?utm_source=Diana%20El-Azar&amp;utm_medium=Email&amp;utm_campaign=TIESS&amp;utm_term=022")</f>
        <v>https://www.tiess.online/registration?utm_source=Diana%20El-Azar&amp;utm_medium=Email&amp;utm_campaign=TIESS&amp;utm_term=022</v>
      </c>
      <c r="S129" s="80" t="s">
        <v>444</v>
      </c>
      <c r="T129" s="80" t="s">
        <v>450</v>
      </c>
      <c r="U129" s="84" t="str">
        <f>HYPERLINK("https://pbs.twimg.com/media/EsVZygxU4AM-dyR.jpg")</f>
        <v>https://pbs.twimg.com/media/EsVZygxU4AM-dyR.jpg</v>
      </c>
      <c r="V129" s="84" t="str">
        <f>HYPERLINK("https://pbs.twimg.com/media/EsVZygxU4AM-dyR.jpg")</f>
        <v>https://pbs.twimg.com/media/EsVZygxU4AM-dyR.jpg</v>
      </c>
      <c r="W129" s="82">
        <v>44218.497881944444</v>
      </c>
      <c r="X129" s="86">
        <v>44218</v>
      </c>
      <c r="Y129" s="88" t="s">
        <v>534</v>
      </c>
      <c r="Z129" s="84" t="str">
        <f>HYPERLINK("https://twitter.com/indiadidac/status/1352586044688879618")</f>
        <v>https://twitter.com/indiadidac/status/1352586044688879618</v>
      </c>
      <c r="AA129" s="80"/>
      <c r="AB129" s="80"/>
      <c r="AC129" s="88" t="s">
        <v>685</v>
      </c>
      <c r="AD129" s="80"/>
      <c r="AE129" s="80" t="b">
        <v>0</v>
      </c>
      <c r="AF129" s="80">
        <v>1</v>
      </c>
      <c r="AG129" s="88" t="s">
        <v>763</v>
      </c>
      <c r="AH129" s="80" t="b">
        <v>0</v>
      </c>
      <c r="AI129" s="80" t="s">
        <v>764</v>
      </c>
      <c r="AJ129" s="80"/>
      <c r="AK129" s="88" t="s">
        <v>763</v>
      </c>
      <c r="AL129" s="80" t="b">
        <v>0</v>
      </c>
      <c r="AM129" s="80">
        <v>0</v>
      </c>
      <c r="AN129" s="88" t="s">
        <v>763</v>
      </c>
      <c r="AO129" s="80" t="s">
        <v>765</v>
      </c>
      <c r="AP129" s="80" t="b">
        <v>0</v>
      </c>
      <c r="AQ129" s="88" t="s">
        <v>685</v>
      </c>
      <c r="AR129" s="80" t="s">
        <v>197</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9">
        <v>0</v>
      </c>
      <c r="BG129" s="50">
        <v>0</v>
      </c>
      <c r="BH129" s="49">
        <v>0</v>
      </c>
      <c r="BI129" s="50">
        <v>0</v>
      </c>
      <c r="BJ129" s="49">
        <v>0</v>
      </c>
      <c r="BK129" s="50">
        <v>0</v>
      </c>
      <c r="BL129" s="49">
        <v>28</v>
      </c>
      <c r="BM129" s="50">
        <v>100</v>
      </c>
      <c r="BN129" s="49">
        <v>28</v>
      </c>
    </row>
    <row r="130" spans="1:66" ht="15">
      <c r="A130" s="65" t="s">
        <v>271</v>
      </c>
      <c r="B130" s="65" t="s">
        <v>327</v>
      </c>
      <c r="C130" s="66" t="s">
        <v>2153</v>
      </c>
      <c r="D130" s="67">
        <v>3</v>
      </c>
      <c r="E130" s="66" t="s">
        <v>132</v>
      </c>
      <c r="F130" s="69">
        <v>32</v>
      </c>
      <c r="G130" s="66"/>
      <c r="H130" s="70"/>
      <c r="I130" s="71"/>
      <c r="J130" s="71"/>
      <c r="K130" s="35" t="s">
        <v>65</v>
      </c>
      <c r="L130" s="72">
        <v>130</v>
      </c>
      <c r="M130" s="72"/>
      <c r="N130" s="73"/>
      <c r="O130" s="80" t="s">
        <v>353</v>
      </c>
      <c r="P130" s="82">
        <v>44218.51814814815</v>
      </c>
      <c r="Q130" s="80" t="s">
        <v>392</v>
      </c>
      <c r="R130" s="84" t="str">
        <f>HYPERLINK("https://www.tiess.online/registration?utm_source=SM&amp;utm_medium=Chelsea&amp;utm_campaign=TIESS&amp;utm_term=019")</f>
        <v>https://www.tiess.online/registration?utm_source=SM&amp;utm_medium=Chelsea&amp;utm_campaign=TIESS&amp;utm_term=019</v>
      </c>
      <c r="S130" s="80" t="s">
        <v>444</v>
      </c>
      <c r="T130" s="80" t="s">
        <v>449</v>
      </c>
      <c r="U130" s="84" t="str">
        <f>HYPERLINK("https://pbs.twimg.com/media/EsVgdp3UwAMIf6D.jpg")</f>
        <v>https://pbs.twimg.com/media/EsVgdp3UwAMIf6D.jpg</v>
      </c>
      <c r="V130" s="84" t="str">
        <f>HYPERLINK("https://pbs.twimg.com/media/EsVgdp3UwAMIf6D.jpg")</f>
        <v>https://pbs.twimg.com/media/EsVgdp3UwAMIf6D.jpg</v>
      </c>
      <c r="W130" s="82">
        <v>44218.51814814815</v>
      </c>
      <c r="X130" s="86">
        <v>44218</v>
      </c>
      <c r="Y130" s="88" t="s">
        <v>535</v>
      </c>
      <c r="Z130" s="84" t="str">
        <f>HYPERLINK("https://twitter.com/indiadidac/status/1352593389095628806")</f>
        <v>https://twitter.com/indiadidac/status/1352593389095628806</v>
      </c>
      <c r="AA130" s="80"/>
      <c r="AB130" s="80"/>
      <c r="AC130" s="88" t="s">
        <v>686</v>
      </c>
      <c r="AD130" s="80"/>
      <c r="AE130" s="80" t="b">
        <v>0</v>
      </c>
      <c r="AF130" s="80">
        <v>2</v>
      </c>
      <c r="AG130" s="88" t="s">
        <v>763</v>
      </c>
      <c r="AH130" s="80" t="b">
        <v>0</v>
      </c>
      <c r="AI130" s="80" t="s">
        <v>764</v>
      </c>
      <c r="AJ130" s="80"/>
      <c r="AK130" s="88" t="s">
        <v>763</v>
      </c>
      <c r="AL130" s="80" t="b">
        <v>0</v>
      </c>
      <c r="AM130" s="80">
        <v>0</v>
      </c>
      <c r="AN130" s="88" t="s">
        <v>763</v>
      </c>
      <c r="AO130" s="80" t="s">
        <v>765</v>
      </c>
      <c r="AP130" s="80" t="b">
        <v>0</v>
      </c>
      <c r="AQ130" s="88" t="s">
        <v>686</v>
      </c>
      <c r="AR130" s="80" t="s">
        <v>197</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271</v>
      </c>
      <c r="B131" s="65" t="s">
        <v>328</v>
      </c>
      <c r="C131" s="66" t="s">
        <v>2153</v>
      </c>
      <c r="D131" s="67">
        <v>3</v>
      </c>
      <c r="E131" s="66" t="s">
        <v>132</v>
      </c>
      <c r="F131" s="69">
        <v>32</v>
      </c>
      <c r="G131" s="66"/>
      <c r="H131" s="70"/>
      <c r="I131" s="71"/>
      <c r="J131" s="71"/>
      <c r="K131" s="35" t="s">
        <v>65</v>
      </c>
      <c r="L131" s="72">
        <v>131</v>
      </c>
      <c r="M131" s="72"/>
      <c r="N131" s="73"/>
      <c r="O131" s="80" t="s">
        <v>353</v>
      </c>
      <c r="P131" s="82">
        <v>44218.51814814815</v>
      </c>
      <c r="Q131" s="80" t="s">
        <v>392</v>
      </c>
      <c r="R131" s="84" t="str">
        <f>HYPERLINK("https://www.tiess.online/registration?utm_source=SM&amp;utm_medium=Chelsea&amp;utm_campaign=TIESS&amp;utm_term=019")</f>
        <v>https://www.tiess.online/registration?utm_source=SM&amp;utm_medium=Chelsea&amp;utm_campaign=TIESS&amp;utm_term=019</v>
      </c>
      <c r="S131" s="80" t="s">
        <v>444</v>
      </c>
      <c r="T131" s="80" t="s">
        <v>449</v>
      </c>
      <c r="U131" s="84" t="str">
        <f>HYPERLINK("https://pbs.twimg.com/media/EsVgdp3UwAMIf6D.jpg")</f>
        <v>https://pbs.twimg.com/media/EsVgdp3UwAMIf6D.jpg</v>
      </c>
      <c r="V131" s="84" t="str">
        <f>HYPERLINK("https://pbs.twimg.com/media/EsVgdp3UwAMIf6D.jpg")</f>
        <v>https://pbs.twimg.com/media/EsVgdp3UwAMIf6D.jpg</v>
      </c>
      <c r="W131" s="82">
        <v>44218.51814814815</v>
      </c>
      <c r="X131" s="86">
        <v>44218</v>
      </c>
      <c r="Y131" s="88" t="s">
        <v>535</v>
      </c>
      <c r="Z131" s="84" t="str">
        <f>HYPERLINK("https://twitter.com/indiadidac/status/1352593389095628806")</f>
        <v>https://twitter.com/indiadidac/status/1352593389095628806</v>
      </c>
      <c r="AA131" s="80"/>
      <c r="AB131" s="80"/>
      <c r="AC131" s="88" t="s">
        <v>686</v>
      </c>
      <c r="AD131" s="80"/>
      <c r="AE131" s="80" t="b">
        <v>0</v>
      </c>
      <c r="AF131" s="80">
        <v>2</v>
      </c>
      <c r="AG131" s="88" t="s">
        <v>763</v>
      </c>
      <c r="AH131" s="80" t="b">
        <v>0</v>
      </c>
      <c r="AI131" s="80" t="s">
        <v>764</v>
      </c>
      <c r="AJ131" s="80"/>
      <c r="AK131" s="88" t="s">
        <v>763</v>
      </c>
      <c r="AL131" s="80" t="b">
        <v>0</v>
      </c>
      <c r="AM131" s="80">
        <v>0</v>
      </c>
      <c r="AN131" s="88" t="s">
        <v>763</v>
      </c>
      <c r="AO131" s="80" t="s">
        <v>765</v>
      </c>
      <c r="AP131" s="80" t="b">
        <v>0</v>
      </c>
      <c r="AQ131" s="88" t="s">
        <v>686</v>
      </c>
      <c r="AR131" s="80" t="s">
        <v>197</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9">
        <v>1</v>
      </c>
      <c r="BG131" s="50">
        <v>3.3333333333333335</v>
      </c>
      <c r="BH131" s="49">
        <v>0</v>
      </c>
      <c r="BI131" s="50">
        <v>0</v>
      </c>
      <c r="BJ131" s="49">
        <v>0</v>
      </c>
      <c r="BK131" s="50">
        <v>0</v>
      </c>
      <c r="BL131" s="49">
        <v>29</v>
      </c>
      <c r="BM131" s="50">
        <v>96.66666666666667</v>
      </c>
      <c r="BN131" s="49">
        <v>30</v>
      </c>
    </row>
    <row r="132" spans="1:66" ht="15">
      <c r="A132" s="65" t="s">
        <v>271</v>
      </c>
      <c r="B132" s="65" t="s">
        <v>329</v>
      </c>
      <c r="C132" s="66" t="s">
        <v>2153</v>
      </c>
      <c r="D132" s="67">
        <v>3</v>
      </c>
      <c r="E132" s="66" t="s">
        <v>132</v>
      </c>
      <c r="F132" s="69">
        <v>32</v>
      </c>
      <c r="G132" s="66"/>
      <c r="H132" s="70"/>
      <c r="I132" s="71"/>
      <c r="J132" s="71"/>
      <c r="K132" s="35" t="s">
        <v>65</v>
      </c>
      <c r="L132" s="72">
        <v>132</v>
      </c>
      <c r="M132" s="72"/>
      <c r="N132" s="73"/>
      <c r="O132" s="80" t="s">
        <v>353</v>
      </c>
      <c r="P132" s="82">
        <v>44218.54950231482</v>
      </c>
      <c r="Q132" s="80" t="s">
        <v>393</v>
      </c>
      <c r="R132" s="84" t="str">
        <f>HYPERLINK("https://www.tiess.online/registration?utm_source=SM&amp;utm_medium=Lapinski&amp;utm_campaign=TIESS&amp;utm_term=033")</f>
        <v>https://www.tiess.online/registration?utm_source=SM&amp;utm_medium=Lapinski&amp;utm_campaign=TIESS&amp;utm_term=033</v>
      </c>
      <c r="S132" s="80" t="s">
        <v>444</v>
      </c>
      <c r="T132" s="80" t="s">
        <v>450</v>
      </c>
      <c r="U132" s="84" t="str">
        <f>HYPERLINK("https://pbs.twimg.com/media/EsVmIQUUYAMQHEt.jpg")</f>
        <v>https://pbs.twimg.com/media/EsVmIQUUYAMQHEt.jpg</v>
      </c>
      <c r="V132" s="84" t="str">
        <f>HYPERLINK("https://pbs.twimg.com/media/EsVmIQUUYAMQHEt.jpg")</f>
        <v>https://pbs.twimg.com/media/EsVmIQUUYAMQHEt.jpg</v>
      </c>
      <c r="W132" s="82">
        <v>44218.54950231482</v>
      </c>
      <c r="X132" s="86">
        <v>44218</v>
      </c>
      <c r="Y132" s="88" t="s">
        <v>536</v>
      </c>
      <c r="Z132" s="84" t="str">
        <f>HYPERLINK("https://twitter.com/indiadidac/status/1352604749959368708")</f>
        <v>https://twitter.com/indiadidac/status/1352604749959368708</v>
      </c>
      <c r="AA132" s="80"/>
      <c r="AB132" s="80"/>
      <c r="AC132" s="88" t="s">
        <v>687</v>
      </c>
      <c r="AD132" s="80"/>
      <c r="AE132" s="80" t="b">
        <v>0</v>
      </c>
      <c r="AF132" s="80">
        <v>0</v>
      </c>
      <c r="AG132" s="88" t="s">
        <v>763</v>
      </c>
      <c r="AH132" s="80" t="b">
        <v>0</v>
      </c>
      <c r="AI132" s="80" t="s">
        <v>764</v>
      </c>
      <c r="AJ132" s="80"/>
      <c r="AK132" s="88" t="s">
        <v>763</v>
      </c>
      <c r="AL132" s="80" t="b">
        <v>0</v>
      </c>
      <c r="AM132" s="80">
        <v>0</v>
      </c>
      <c r="AN132" s="88" t="s">
        <v>763</v>
      </c>
      <c r="AO132" s="80" t="s">
        <v>765</v>
      </c>
      <c r="AP132" s="80" t="b">
        <v>0</v>
      </c>
      <c r="AQ132" s="88" t="s">
        <v>687</v>
      </c>
      <c r="AR132" s="80" t="s">
        <v>197</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49">
        <v>1</v>
      </c>
      <c r="BG132" s="50">
        <v>3.4482758620689653</v>
      </c>
      <c r="BH132" s="49">
        <v>0</v>
      </c>
      <c r="BI132" s="50">
        <v>0</v>
      </c>
      <c r="BJ132" s="49">
        <v>0</v>
      </c>
      <c r="BK132" s="50">
        <v>0</v>
      </c>
      <c r="BL132" s="49">
        <v>28</v>
      </c>
      <c r="BM132" s="50">
        <v>96.55172413793103</v>
      </c>
      <c r="BN132" s="49">
        <v>29</v>
      </c>
    </row>
    <row r="133" spans="1:66" ht="15">
      <c r="A133" s="65" t="s">
        <v>271</v>
      </c>
      <c r="B133" s="65" t="s">
        <v>330</v>
      </c>
      <c r="C133" s="66" t="s">
        <v>2155</v>
      </c>
      <c r="D133" s="67">
        <v>5.333333333333334</v>
      </c>
      <c r="E133" s="66" t="s">
        <v>136</v>
      </c>
      <c r="F133" s="69">
        <v>30.63157894736842</v>
      </c>
      <c r="G133" s="66"/>
      <c r="H133" s="70"/>
      <c r="I133" s="71"/>
      <c r="J133" s="71"/>
      <c r="K133" s="35" t="s">
        <v>65</v>
      </c>
      <c r="L133" s="72">
        <v>133</v>
      </c>
      <c r="M133" s="72"/>
      <c r="N133" s="73"/>
      <c r="O133" s="80" t="s">
        <v>353</v>
      </c>
      <c r="P133" s="82">
        <v>44217.22672453704</v>
      </c>
      <c r="Q133" s="80" t="s">
        <v>394</v>
      </c>
      <c r="R133" s="84" t="str">
        <f>HYPERLINK("https://www.tiess.online/registration?utm_source=SM&amp;utm_medium=Schmedlen&amp;utm_campaign=TIESS&amp;utm_term=032")</f>
        <v>https://www.tiess.online/registration?utm_source=SM&amp;utm_medium=Schmedlen&amp;utm_campaign=TIESS&amp;utm_term=032</v>
      </c>
      <c r="S133" s="80" t="s">
        <v>444</v>
      </c>
      <c r="T133" s="80" t="s">
        <v>450</v>
      </c>
      <c r="U133" s="84" t="str">
        <f>HYPERLINK("https://pbs.twimg.com/media/EsO23IoUcAA6owe.jpg")</f>
        <v>https://pbs.twimg.com/media/EsO23IoUcAA6owe.jpg</v>
      </c>
      <c r="V133" s="84" t="str">
        <f>HYPERLINK("https://pbs.twimg.com/media/EsO23IoUcAA6owe.jpg")</f>
        <v>https://pbs.twimg.com/media/EsO23IoUcAA6owe.jpg</v>
      </c>
      <c r="W133" s="82">
        <v>44217.22672453704</v>
      </c>
      <c r="X133" s="86">
        <v>44217</v>
      </c>
      <c r="Y133" s="88" t="s">
        <v>537</v>
      </c>
      <c r="Z133" s="84" t="str">
        <f>HYPERLINK("https://twitter.com/indiadidac/status/1352125390752366594")</f>
        <v>https://twitter.com/indiadidac/status/1352125390752366594</v>
      </c>
      <c r="AA133" s="80"/>
      <c r="AB133" s="80"/>
      <c r="AC133" s="88" t="s">
        <v>688</v>
      </c>
      <c r="AD133" s="80"/>
      <c r="AE133" s="80" t="b">
        <v>0</v>
      </c>
      <c r="AF133" s="80">
        <v>2</v>
      </c>
      <c r="AG133" s="88" t="s">
        <v>763</v>
      </c>
      <c r="AH133" s="80" t="b">
        <v>0</v>
      </c>
      <c r="AI133" s="80" t="s">
        <v>764</v>
      </c>
      <c r="AJ133" s="80"/>
      <c r="AK133" s="88" t="s">
        <v>763</v>
      </c>
      <c r="AL133" s="80" t="b">
        <v>0</v>
      </c>
      <c r="AM133" s="80">
        <v>0</v>
      </c>
      <c r="AN133" s="88" t="s">
        <v>763</v>
      </c>
      <c r="AO133" s="80" t="s">
        <v>765</v>
      </c>
      <c r="AP133" s="80" t="b">
        <v>0</v>
      </c>
      <c r="AQ133" s="88" t="s">
        <v>688</v>
      </c>
      <c r="AR133" s="80" t="s">
        <v>197</v>
      </c>
      <c r="AS133" s="80">
        <v>0</v>
      </c>
      <c r="AT133" s="80">
        <v>0</v>
      </c>
      <c r="AU133" s="80"/>
      <c r="AV133" s="80"/>
      <c r="AW133" s="80"/>
      <c r="AX133" s="80"/>
      <c r="AY133" s="80"/>
      <c r="AZ133" s="80"/>
      <c r="BA133" s="80"/>
      <c r="BB133" s="80"/>
      <c r="BC133">
        <v>2</v>
      </c>
      <c r="BD133" s="79" t="str">
        <f>REPLACE(INDEX(GroupVertices[Group],MATCH(Edges[[#This Row],[Vertex 1]],GroupVertices[Vertex],0)),1,1,"")</f>
        <v>1</v>
      </c>
      <c r="BE133" s="79" t="str">
        <f>REPLACE(INDEX(GroupVertices[Group],MATCH(Edges[[#This Row],[Vertex 2]],GroupVertices[Vertex],0)),1,1,"")</f>
        <v>1</v>
      </c>
      <c r="BF133" s="49">
        <v>1</v>
      </c>
      <c r="BG133" s="50">
        <v>3.125</v>
      </c>
      <c r="BH133" s="49">
        <v>0</v>
      </c>
      <c r="BI133" s="50">
        <v>0</v>
      </c>
      <c r="BJ133" s="49">
        <v>0</v>
      </c>
      <c r="BK133" s="50">
        <v>0</v>
      </c>
      <c r="BL133" s="49">
        <v>31</v>
      </c>
      <c r="BM133" s="50">
        <v>96.875</v>
      </c>
      <c r="BN133" s="49">
        <v>32</v>
      </c>
    </row>
    <row r="134" spans="1:66" ht="15">
      <c r="A134" s="65" t="s">
        <v>271</v>
      </c>
      <c r="B134" s="65" t="s">
        <v>330</v>
      </c>
      <c r="C134" s="66" t="s">
        <v>2155</v>
      </c>
      <c r="D134" s="67">
        <v>5.333333333333334</v>
      </c>
      <c r="E134" s="66" t="s">
        <v>136</v>
      </c>
      <c r="F134" s="69">
        <v>30.63157894736842</v>
      </c>
      <c r="G134" s="66"/>
      <c r="H134" s="70"/>
      <c r="I134" s="71"/>
      <c r="J134" s="71"/>
      <c r="K134" s="35" t="s">
        <v>65</v>
      </c>
      <c r="L134" s="72">
        <v>134</v>
      </c>
      <c r="M134" s="72"/>
      <c r="N134" s="73"/>
      <c r="O134" s="80" t="s">
        <v>353</v>
      </c>
      <c r="P134" s="82">
        <v>44218.55034722222</v>
      </c>
      <c r="Q134" s="80" t="s">
        <v>395</v>
      </c>
      <c r="R134" s="84" t="str">
        <f>HYPERLINK("https://www.tiess.online/registration?utm_source=SM&amp;utm_medium=Schmedlen&amp;utm_campaign=TIESS&amp;utm_term=032")</f>
        <v>https://www.tiess.online/registration?utm_source=SM&amp;utm_medium=Schmedlen&amp;utm_campaign=TIESS&amp;utm_term=032</v>
      </c>
      <c r="S134" s="80" t="s">
        <v>444</v>
      </c>
      <c r="T134" s="80" t="s">
        <v>449</v>
      </c>
      <c r="U134" s="84" t="str">
        <f>HYPERLINK("https://pbs.twimg.com/media/EsVq8xtUYAAXOTE.jpg")</f>
        <v>https://pbs.twimg.com/media/EsVq8xtUYAAXOTE.jpg</v>
      </c>
      <c r="V134" s="84" t="str">
        <f>HYPERLINK("https://pbs.twimg.com/media/EsVq8xtUYAAXOTE.jpg")</f>
        <v>https://pbs.twimg.com/media/EsVq8xtUYAAXOTE.jpg</v>
      </c>
      <c r="W134" s="82">
        <v>44218.55034722222</v>
      </c>
      <c r="X134" s="86">
        <v>44218</v>
      </c>
      <c r="Y134" s="88" t="s">
        <v>538</v>
      </c>
      <c r="Z134" s="84" t="str">
        <f>HYPERLINK("https://twitter.com/indiadidac/status/1352605055203983369")</f>
        <v>https://twitter.com/indiadidac/status/1352605055203983369</v>
      </c>
      <c r="AA134" s="80"/>
      <c r="AB134" s="80"/>
      <c r="AC134" s="88" t="s">
        <v>689</v>
      </c>
      <c r="AD134" s="80"/>
      <c r="AE134" s="80" t="b">
        <v>0</v>
      </c>
      <c r="AF134" s="80">
        <v>0</v>
      </c>
      <c r="AG134" s="88" t="s">
        <v>763</v>
      </c>
      <c r="AH134" s="80" t="b">
        <v>0</v>
      </c>
      <c r="AI134" s="80" t="s">
        <v>764</v>
      </c>
      <c r="AJ134" s="80"/>
      <c r="AK134" s="88" t="s">
        <v>763</v>
      </c>
      <c r="AL134" s="80" t="b">
        <v>0</v>
      </c>
      <c r="AM134" s="80">
        <v>0</v>
      </c>
      <c r="AN134" s="88" t="s">
        <v>763</v>
      </c>
      <c r="AO134" s="80" t="s">
        <v>765</v>
      </c>
      <c r="AP134" s="80" t="b">
        <v>0</v>
      </c>
      <c r="AQ134" s="88" t="s">
        <v>689</v>
      </c>
      <c r="AR134" s="80" t="s">
        <v>197</v>
      </c>
      <c r="AS134" s="80">
        <v>0</v>
      </c>
      <c r="AT134" s="80">
        <v>0</v>
      </c>
      <c r="AU134" s="80"/>
      <c r="AV134" s="80"/>
      <c r="AW134" s="80"/>
      <c r="AX134" s="80"/>
      <c r="AY134" s="80"/>
      <c r="AZ134" s="80"/>
      <c r="BA134" s="80"/>
      <c r="BB134" s="80"/>
      <c r="BC134">
        <v>2</v>
      </c>
      <c r="BD134" s="79" t="str">
        <f>REPLACE(INDEX(GroupVertices[Group],MATCH(Edges[[#This Row],[Vertex 1]],GroupVertices[Vertex],0)),1,1,"")</f>
        <v>1</v>
      </c>
      <c r="BE134" s="79" t="str">
        <f>REPLACE(INDEX(GroupVertices[Group],MATCH(Edges[[#This Row],[Vertex 2]],GroupVertices[Vertex],0)),1,1,"")</f>
        <v>1</v>
      </c>
      <c r="BF134" s="49">
        <v>1</v>
      </c>
      <c r="BG134" s="50">
        <v>2.9411764705882355</v>
      </c>
      <c r="BH134" s="49">
        <v>0</v>
      </c>
      <c r="BI134" s="50">
        <v>0</v>
      </c>
      <c r="BJ134" s="49">
        <v>0</v>
      </c>
      <c r="BK134" s="50">
        <v>0</v>
      </c>
      <c r="BL134" s="49">
        <v>33</v>
      </c>
      <c r="BM134" s="50">
        <v>97.05882352941177</v>
      </c>
      <c r="BN134" s="49">
        <v>34</v>
      </c>
    </row>
    <row r="135" spans="1:66" ht="15">
      <c r="A135" s="65" t="s">
        <v>271</v>
      </c>
      <c r="B135" s="65" t="s">
        <v>331</v>
      </c>
      <c r="C135" s="66" t="s">
        <v>2153</v>
      </c>
      <c r="D135" s="67">
        <v>3</v>
      </c>
      <c r="E135" s="66" t="s">
        <v>132</v>
      </c>
      <c r="F135" s="69">
        <v>32</v>
      </c>
      <c r="G135" s="66"/>
      <c r="H135" s="70"/>
      <c r="I135" s="71"/>
      <c r="J135" s="71"/>
      <c r="K135" s="35" t="s">
        <v>65</v>
      </c>
      <c r="L135" s="72">
        <v>135</v>
      </c>
      <c r="M135" s="72"/>
      <c r="N135" s="73"/>
      <c r="O135" s="80" t="s">
        <v>353</v>
      </c>
      <c r="P135" s="82">
        <v>44218.56261574074</v>
      </c>
      <c r="Q135" s="80" t="s">
        <v>396</v>
      </c>
      <c r="R135" s="84" t="str">
        <f>HYPERLINK("https://www.tiess.online/registration?utm_source=SM&amp;utm_medium=Michelle&amp;utm_campaign=TIESS&amp;utm_term=006")</f>
        <v>https://www.tiess.online/registration?utm_source=SM&amp;utm_medium=Michelle&amp;utm_campaign=TIESS&amp;utm_term=006</v>
      </c>
      <c r="S135" s="80" t="s">
        <v>444</v>
      </c>
      <c r="T135" s="80" t="s">
        <v>450</v>
      </c>
      <c r="U135" s="84" t="str">
        <f>HYPERLINK("https://pbs.twimg.com/media/EsVvHmMUUAA9uWA.jpg")</f>
        <v>https://pbs.twimg.com/media/EsVvHmMUUAA9uWA.jpg</v>
      </c>
      <c r="V135" s="84" t="str">
        <f>HYPERLINK("https://pbs.twimg.com/media/EsVvHmMUUAA9uWA.jpg")</f>
        <v>https://pbs.twimg.com/media/EsVvHmMUUAA9uWA.jpg</v>
      </c>
      <c r="W135" s="82">
        <v>44218.56261574074</v>
      </c>
      <c r="X135" s="86">
        <v>44218</v>
      </c>
      <c r="Y135" s="88" t="s">
        <v>539</v>
      </c>
      <c r="Z135" s="84" t="str">
        <f>HYPERLINK("https://twitter.com/indiadidac/status/1352609502156087298")</f>
        <v>https://twitter.com/indiadidac/status/1352609502156087298</v>
      </c>
      <c r="AA135" s="80"/>
      <c r="AB135" s="80"/>
      <c r="AC135" s="88" t="s">
        <v>690</v>
      </c>
      <c r="AD135" s="80"/>
      <c r="AE135" s="80" t="b">
        <v>0</v>
      </c>
      <c r="AF135" s="80">
        <v>0</v>
      </c>
      <c r="AG135" s="88" t="s">
        <v>763</v>
      </c>
      <c r="AH135" s="80" t="b">
        <v>0</v>
      </c>
      <c r="AI135" s="80" t="s">
        <v>764</v>
      </c>
      <c r="AJ135" s="80"/>
      <c r="AK135" s="88" t="s">
        <v>763</v>
      </c>
      <c r="AL135" s="80" t="b">
        <v>0</v>
      </c>
      <c r="AM135" s="80">
        <v>0</v>
      </c>
      <c r="AN135" s="88" t="s">
        <v>763</v>
      </c>
      <c r="AO135" s="80" t="s">
        <v>765</v>
      </c>
      <c r="AP135" s="80" t="b">
        <v>0</v>
      </c>
      <c r="AQ135" s="88" t="s">
        <v>690</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9">
        <v>0</v>
      </c>
      <c r="BG135" s="50">
        <v>0</v>
      </c>
      <c r="BH135" s="49">
        <v>0</v>
      </c>
      <c r="BI135" s="50">
        <v>0</v>
      </c>
      <c r="BJ135" s="49">
        <v>0</v>
      </c>
      <c r="BK135" s="50">
        <v>0</v>
      </c>
      <c r="BL135" s="49">
        <v>28</v>
      </c>
      <c r="BM135" s="50">
        <v>100</v>
      </c>
      <c r="BN135" s="49">
        <v>28</v>
      </c>
    </row>
    <row r="136" spans="1:66" ht="15">
      <c r="A136" s="65" t="s">
        <v>271</v>
      </c>
      <c r="B136" s="65" t="s">
        <v>332</v>
      </c>
      <c r="C136" s="66" t="s">
        <v>2153</v>
      </c>
      <c r="D136" s="67">
        <v>3</v>
      </c>
      <c r="E136" s="66" t="s">
        <v>132</v>
      </c>
      <c r="F136" s="69">
        <v>32</v>
      </c>
      <c r="G136" s="66"/>
      <c r="H136" s="70"/>
      <c r="I136" s="71"/>
      <c r="J136" s="71"/>
      <c r="K136" s="35" t="s">
        <v>65</v>
      </c>
      <c r="L136" s="72">
        <v>136</v>
      </c>
      <c r="M136" s="72"/>
      <c r="N136" s="73"/>
      <c r="O136" s="80" t="s">
        <v>353</v>
      </c>
      <c r="P136" s="82">
        <v>44218.587534722225</v>
      </c>
      <c r="Q136" s="80" t="s">
        <v>397</v>
      </c>
      <c r="R136" s="84" t="str">
        <f>HYPERLINK("https://www.tiess.online/registration?utm_source=SM&amp;utm_medium=Musson&amp;utm_campaign=TIESS&amp;utm_term=027")</f>
        <v>https://www.tiess.online/registration?utm_source=SM&amp;utm_medium=Musson&amp;utm_campaign=TIESS&amp;utm_term=027</v>
      </c>
      <c r="S136" s="80" t="s">
        <v>444</v>
      </c>
      <c r="T136" s="80" t="s">
        <v>449</v>
      </c>
      <c r="U136" s="84" t="str">
        <f>HYPERLINK("https://pbs.twimg.com/media/EsV3U7XVcAIRdp7.jpg")</f>
        <v>https://pbs.twimg.com/media/EsV3U7XVcAIRdp7.jpg</v>
      </c>
      <c r="V136" s="84" t="str">
        <f>HYPERLINK("https://pbs.twimg.com/media/EsV3U7XVcAIRdp7.jpg")</f>
        <v>https://pbs.twimg.com/media/EsV3U7XVcAIRdp7.jpg</v>
      </c>
      <c r="W136" s="82">
        <v>44218.587534722225</v>
      </c>
      <c r="X136" s="86">
        <v>44218</v>
      </c>
      <c r="Y136" s="88" t="s">
        <v>540</v>
      </c>
      <c r="Z136" s="84" t="str">
        <f>HYPERLINK("https://twitter.com/indiadidac/status/1352618533872525312")</f>
        <v>https://twitter.com/indiadidac/status/1352618533872525312</v>
      </c>
      <c r="AA136" s="80"/>
      <c r="AB136" s="80"/>
      <c r="AC136" s="88" t="s">
        <v>691</v>
      </c>
      <c r="AD136" s="80"/>
      <c r="AE136" s="80" t="b">
        <v>0</v>
      </c>
      <c r="AF136" s="80">
        <v>1</v>
      </c>
      <c r="AG136" s="88" t="s">
        <v>763</v>
      </c>
      <c r="AH136" s="80" t="b">
        <v>0</v>
      </c>
      <c r="AI136" s="80" t="s">
        <v>764</v>
      </c>
      <c r="AJ136" s="80"/>
      <c r="AK136" s="88" t="s">
        <v>763</v>
      </c>
      <c r="AL136" s="80" t="b">
        <v>0</v>
      </c>
      <c r="AM136" s="80">
        <v>0</v>
      </c>
      <c r="AN136" s="88" t="s">
        <v>763</v>
      </c>
      <c r="AO136" s="80" t="s">
        <v>765</v>
      </c>
      <c r="AP136" s="80" t="b">
        <v>0</v>
      </c>
      <c r="AQ136" s="88" t="s">
        <v>691</v>
      </c>
      <c r="AR136" s="80" t="s">
        <v>197</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49">
        <v>0</v>
      </c>
      <c r="BG136" s="50">
        <v>0</v>
      </c>
      <c r="BH136" s="49">
        <v>0</v>
      </c>
      <c r="BI136" s="50">
        <v>0</v>
      </c>
      <c r="BJ136" s="49">
        <v>0</v>
      </c>
      <c r="BK136" s="50">
        <v>0</v>
      </c>
      <c r="BL136" s="49">
        <v>31</v>
      </c>
      <c r="BM136" s="50">
        <v>100</v>
      </c>
      <c r="BN136" s="49">
        <v>31</v>
      </c>
    </row>
    <row r="137" spans="1:66" ht="15">
      <c r="A137" s="65" t="s">
        <v>271</v>
      </c>
      <c r="B137" s="65" t="s">
        <v>333</v>
      </c>
      <c r="C137" s="66" t="s">
        <v>2153</v>
      </c>
      <c r="D137" s="67">
        <v>3</v>
      </c>
      <c r="E137" s="66" t="s">
        <v>132</v>
      </c>
      <c r="F137" s="69">
        <v>32</v>
      </c>
      <c r="G137" s="66"/>
      <c r="H137" s="70"/>
      <c r="I137" s="71"/>
      <c r="J137" s="71"/>
      <c r="K137" s="35" t="s">
        <v>65</v>
      </c>
      <c r="L137" s="72">
        <v>137</v>
      </c>
      <c r="M137" s="72"/>
      <c r="N137" s="73"/>
      <c r="O137" s="80" t="s">
        <v>353</v>
      </c>
      <c r="P137" s="82">
        <v>44218.60072916667</v>
      </c>
      <c r="Q137" s="80" t="s">
        <v>398</v>
      </c>
      <c r="R137" s="84" t="str">
        <f>HYPERLINK("https://www.tiess.online/registration?utm_source=Russell&amp;utm_medium=Email&amp;utm_campaign=TIESS&amp;utm_term=026")</f>
        <v>https://www.tiess.online/registration?utm_source=Russell&amp;utm_medium=Email&amp;utm_campaign=TIESS&amp;utm_term=026</v>
      </c>
      <c r="S137" s="80" t="s">
        <v>444</v>
      </c>
      <c r="T137" s="80" t="s">
        <v>450</v>
      </c>
      <c r="U137" s="84" t="str">
        <f>HYPERLINK("https://pbs.twimg.com/media/EsV7qWRVcAIpJFS.jpg")</f>
        <v>https://pbs.twimg.com/media/EsV7qWRVcAIpJFS.jpg</v>
      </c>
      <c r="V137" s="84" t="str">
        <f>HYPERLINK("https://pbs.twimg.com/media/EsV7qWRVcAIpJFS.jpg")</f>
        <v>https://pbs.twimg.com/media/EsV7qWRVcAIpJFS.jpg</v>
      </c>
      <c r="W137" s="82">
        <v>44218.60072916667</v>
      </c>
      <c r="X137" s="86">
        <v>44218</v>
      </c>
      <c r="Y137" s="88" t="s">
        <v>541</v>
      </c>
      <c r="Z137" s="84" t="str">
        <f>HYPERLINK("https://twitter.com/indiadidac/status/1352623314431143940")</f>
        <v>https://twitter.com/indiadidac/status/1352623314431143940</v>
      </c>
      <c r="AA137" s="80"/>
      <c r="AB137" s="80"/>
      <c r="AC137" s="88" t="s">
        <v>692</v>
      </c>
      <c r="AD137" s="80"/>
      <c r="AE137" s="80" t="b">
        <v>0</v>
      </c>
      <c r="AF137" s="80">
        <v>0</v>
      </c>
      <c r="AG137" s="88" t="s">
        <v>763</v>
      </c>
      <c r="AH137" s="80" t="b">
        <v>0</v>
      </c>
      <c r="AI137" s="80" t="s">
        <v>764</v>
      </c>
      <c r="AJ137" s="80"/>
      <c r="AK137" s="88" t="s">
        <v>763</v>
      </c>
      <c r="AL137" s="80" t="b">
        <v>0</v>
      </c>
      <c r="AM137" s="80">
        <v>0</v>
      </c>
      <c r="AN137" s="88" t="s">
        <v>763</v>
      </c>
      <c r="AO137" s="80" t="s">
        <v>765</v>
      </c>
      <c r="AP137" s="80" t="b">
        <v>0</v>
      </c>
      <c r="AQ137" s="88" t="s">
        <v>692</v>
      </c>
      <c r="AR137" s="80" t="s">
        <v>197</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9">
        <v>1</v>
      </c>
      <c r="BG137" s="50">
        <v>3.225806451612903</v>
      </c>
      <c r="BH137" s="49">
        <v>0</v>
      </c>
      <c r="BI137" s="50">
        <v>0</v>
      </c>
      <c r="BJ137" s="49">
        <v>0</v>
      </c>
      <c r="BK137" s="50">
        <v>0</v>
      </c>
      <c r="BL137" s="49">
        <v>30</v>
      </c>
      <c r="BM137" s="50">
        <v>96.7741935483871</v>
      </c>
      <c r="BN137" s="49">
        <v>31</v>
      </c>
    </row>
    <row r="138" spans="1:66" ht="15">
      <c r="A138" s="65" t="s">
        <v>284</v>
      </c>
      <c r="B138" s="65" t="s">
        <v>271</v>
      </c>
      <c r="C138" s="66" t="s">
        <v>2153</v>
      </c>
      <c r="D138" s="67">
        <v>3</v>
      </c>
      <c r="E138" s="66" t="s">
        <v>132</v>
      </c>
      <c r="F138" s="69">
        <v>32</v>
      </c>
      <c r="G138" s="66"/>
      <c r="H138" s="70"/>
      <c r="I138" s="71"/>
      <c r="J138" s="71"/>
      <c r="K138" s="35" t="s">
        <v>66</v>
      </c>
      <c r="L138" s="72">
        <v>138</v>
      </c>
      <c r="M138" s="72"/>
      <c r="N138" s="73"/>
      <c r="O138" s="80" t="s">
        <v>351</v>
      </c>
      <c r="P138" s="82">
        <v>44219.42162037037</v>
      </c>
      <c r="Q138" s="80" t="s">
        <v>364</v>
      </c>
      <c r="R138" s="84" t="str">
        <f>HYPERLINK("https://www.tiess.online/registration?utm_source=SM&amp;utm_medium=Raghavan&amp;utm_campaign=TIESS&amp;utm_term=023")</f>
        <v>https://www.tiess.online/registration?utm_source=SM&amp;utm_medium=Raghavan&amp;utm_campaign=TIESS&amp;utm_term=023</v>
      </c>
      <c r="S138" s="80" t="s">
        <v>444</v>
      </c>
      <c r="T138" s="80" t="s">
        <v>449</v>
      </c>
      <c r="U138" s="84" t="str">
        <f>HYPERLINK("https://pbs.twimg.com/media/EsWDr3BU4AAvApB.jpg")</f>
        <v>https://pbs.twimg.com/media/EsWDr3BU4AAvApB.jpg</v>
      </c>
      <c r="V138" s="84" t="str">
        <f>HYPERLINK("https://pbs.twimg.com/media/EsWDr3BU4AAvApB.jpg")</f>
        <v>https://pbs.twimg.com/media/EsWDr3BU4AAvApB.jpg</v>
      </c>
      <c r="W138" s="82">
        <v>44219.42162037037</v>
      </c>
      <c r="X138" s="86">
        <v>44219</v>
      </c>
      <c r="Y138" s="88" t="s">
        <v>542</v>
      </c>
      <c r="Z138" s="84" t="str">
        <f>HYPERLINK("https://twitter.com/agastyasparks/status/1352920797350793217")</f>
        <v>https://twitter.com/agastyasparks/status/1352920797350793217</v>
      </c>
      <c r="AA138" s="80"/>
      <c r="AB138" s="80"/>
      <c r="AC138" s="88" t="s">
        <v>693</v>
      </c>
      <c r="AD138" s="80"/>
      <c r="AE138" s="80" t="b">
        <v>0</v>
      </c>
      <c r="AF138" s="80">
        <v>0</v>
      </c>
      <c r="AG138" s="88" t="s">
        <v>763</v>
      </c>
      <c r="AH138" s="80" t="b">
        <v>0</v>
      </c>
      <c r="AI138" s="80" t="s">
        <v>764</v>
      </c>
      <c r="AJ138" s="80"/>
      <c r="AK138" s="88" t="s">
        <v>763</v>
      </c>
      <c r="AL138" s="80" t="b">
        <v>0</v>
      </c>
      <c r="AM138" s="80">
        <v>4</v>
      </c>
      <c r="AN138" s="88" t="s">
        <v>694</v>
      </c>
      <c r="AO138" s="80" t="s">
        <v>765</v>
      </c>
      <c r="AP138" s="80" t="b">
        <v>0</v>
      </c>
      <c r="AQ138" s="88" t="s">
        <v>694</v>
      </c>
      <c r="AR138" s="80" t="s">
        <v>197</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9">
        <v>0</v>
      </c>
      <c r="BG138" s="50">
        <v>0</v>
      </c>
      <c r="BH138" s="49">
        <v>0</v>
      </c>
      <c r="BI138" s="50">
        <v>0</v>
      </c>
      <c r="BJ138" s="49">
        <v>0</v>
      </c>
      <c r="BK138" s="50">
        <v>0</v>
      </c>
      <c r="BL138" s="49">
        <v>32</v>
      </c>
      <c r="BM138" s="50">
        <v>100</v>
      </c>
      <c r="BN138" s="49">
        <v>32</v>
      </c>
    </row>
    <row r="139" spans="1:66" ht="15">
      <c r="A139" s="65" t="s">
        <v>271</v>
      </c>
      <c r="B139" s="65" t="s">
        <v>284</v>
      </c>
      <c r="C139" s="66" t="s">
        <v>2153</v>
      </c>
      <c r="D139" s="67">
        <v>3</v>
      </c>
      <c r="E139" s="66" t="s">
        <v>132</v>
      </c>
      <c r="F139" s="69">
        <v>32</v>
      </c>
      <c r="G139" s="66"/>
      <c r="H139" s="70"/>
      <c r="I139" s="71"/>
      <c r="J139" s="71"/>
      <c r="K139" s="35" t="s">
        <v>66</v>
      </c>
      <c r="L139" s="72">
        <v>139</v>
      </c>
      <c r="M139" s="72"/>
      <c r="N139" s="73"/>
      <c r="O139" s="80" t="s">
        <v>353</v>
      </c>
      <c r="P139" s="82">
        <v>44218.624872685185</v>
      </c>
      <c r="Q139" s="80" t="s">
        <v>364</v>
      </c>
      <c r="R139" s="84" t="str">
        <f>HYPERLINK("https://www.tiess.online/registration?utm_source=SM&amp;utm_medium=Raghavan&amp;utm_campaign=TIESS&amp;utm_term=023")</f>
        <v>https://www.tiess.online/registration?utm_source=SM&amp;utm_medium=Raghavan&amp;utm_campaign=TIESS&amp;utm_term=023</v>
      </c>
      <c r="S139" s="80" t="s">
        <v>444</v>
      </c>
      <c r="T139" s="80" t="s">
        <v>449</v>
      </c>
      <c r="U139" s="84" t="str">
        <f>HYPERLINK("https://pbs.twimg.com/media/EsWDr3BU4AAvApB.jpg")</f>
        <v>https://pbs.twimg.com/media/EsWDr3BU4AAvApB.jpg</v>
      </c>
      <c r="V139" s="84" t="str">
        <f>HYPERLINK("https://pbs.twimg.com/media/EsWDr3BU4AAvApB.jpg")</f>
        <v>https://pbs.twimg.com/media/EsWDr3BU4AAvApB.jpg</v>
      </c>
      <c r="W139" s="82">
        <v>44218.624872685185</v>
      </c>
      <c r="X139" s="86">
        <v>44218</v>
      </c>
      <c r="Y139" s="88" t="s">
        <v>543</v>
      </c>
      <c r="Z139" s="84" t="str">
        <f>HYPERLINK("https://twitter.com/indiadidac/status/1352632063707336706")</f>
        <v>https://twitter.com/indiadidac/status/1352632063707336706</v>
      </c>
      <c r="AA139" s="80"/>
      <c r="AB139" s="80"/>
      <c r="AC139" s="88" t="s">
        <v>694</v>
      </c>
      <c r="AD139" s="80"/>
      <c r="AE139" s="80" t="b">
        <v>0</v>
      </c>
      <c r="AF139" s="80">
        <v>6</v>
      </c>
      <c r="AG139" s="88" t="s">
        <v>763</v>
      </c>
      <c r="AH139" s="80" t="b">
        <v>0</v>
      </c>
      <c r="AI139" s="80" t="s">
        <v>764</v>
      </c>
      <c r="AJ139" s="80"/>
      <c r="AK139" s="88" t="s">
        <v>763</v>
      </c>
      <c r="AL139" s="80" t="b">
        <v>0</v>
      </c>
      <c r="AM139" s="80">
        <v>4</v>
      </c>
      <c r="AN139" s="88" t="s">
        <v>763</v>
      </c>
      <c r="AO139" s="80" t="s">
        <v>765</v>
      </c>
      <c r="AP139" s="80" t="b">
        <v>0</v>
      </c>
      <c r="AQ139" s="88" t="s">
        <v>694</v>
      </c>
      <c r="AR139" s="80" t="s">
        <v>197</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32</v>
      </c>
      <c r="BM139" s="50">
        <v>100</v>
      </c>
      <c r="BN139" s="49">
        <v>32</v>
      </c>
    </row>
    <row r="140" spans="1:66" ht="15">
      <c r="A140" s="65" t="s">
        <v>271</v>
      </c>
      <c r="B140" s="65" t="s">
        <v>308</v>
      </c>
      <c r="C140" s="66" t="s">
        <v>2153</v>
      </c>
      <c r="D140" s="67">
        <v>3</v>
      </c>
      <c r="E140" s="66" t="s">
        <v>132</v>
      </c>
      <c r="F140" s="69">
        <v>32</v>
      </c>
      <c r="G140" s="66"/>
      <c r="H140" s="70"/>
      <c r="I140" s="71"/>
      <c r="J140" s="71"/>
      <c r="K140" s="35" t="s">
        <v>65</v>
      </c>
      <c r="L140" s="72">
        <v>140</v>
      </c>
      <c r="M140" s="72"/>
      <c r="N140" s="73"/>
      <c r="O140" s="80" t="s">
        <v>353</v>
      </c>
      <c r="P140" s="82">
        <v>44218.635300925926</v>
      </c>
      <c r="Q140" s="80" t="s">
        <v>362</v>
      </c>
      <c r="R140" s="84" t="str">
        <f>HYPERLINK("https://www.tiess.online/registration?utm_source=SM&amp;utm_medium=Ramanan&amp;utm_campaign=TIESS&amp;utm_term=011")</f>
        <v>https://www.tiess.online/registration?utm_source=SM&amp;utm_medium=Ramanan&amp;utm_campaign=TIESS&amp;utm_term=011</v>
      </c>
      <c r="S140" s="80" t="s">
        <v>444</v>
      </c>
      <c r="T140" s="80" t="s">
        <v>451</v>
      </c>
      <c r="U140" s="84" t="str">
        <f>HYPERLINK("https://pbs.twimg.com/media/EsWHGdcVcAE-c4p.jpg")</f>
        <v>https://pbs.twimg.com/media/EsWHGdcVcAE-c4p.jpg</v>
      </c>
      <c r="V140" s="84" t="str">
        <f>HYPERLINK("https://pbs.twimg.com/media/EsWHGdcVcAE-c4p.jpg")</f>
        <v>https://pbs.twimg.com/media/EsWHGdcVcAE-c4p.jpg</v>
      </c>
      <c r="W140" s="82">
        <v>44218.635300925926</v>
      </c>
      <c r="X140" s="86">
        <v>44218</v>
      </c>
      <c r="Y140" s="88" t="s">
        <v>544</v>
      </c>
      <c r="Z140" s="84" t="str">
        <f>HYPERLINK("https://twitter.com/indiadidac/status/1352635841407971330")</f>
        <v>https://twitter.com/indiadidac/status/1352635841407971330</v>
      </c>
      <c r="AA140" s="80"/>
      <c r="AB140" s="80"/>
      <c r="AC140" s="88" t="s">
        <v>695</v>
      </c>
      <c r="AD140" s="80"/>
      <c r="AE140" s="80" t="b">
        <v>0</v>
      </c>
      <c r="AF140" s="80">
        <v>13</v>
      </c>
      <c r="AG140" s="88" t="s">
        <v>763</v>
      </c>
      <c r="AH140" s="80" t="b">
        <v>0</v>
      </c>
      <c r="AI140" s="80" t="s">
        <v>764</v>
      </c>
      <c r="AJ140" s="80"/>
      <c r="AK140" s="88" t="s">
        <v>763</v>
      </c>
      <c r="AL140" s="80" t="b">
        <v>0</v>
      </c>
      <c r="AM140" s="80">
        <v>3</v>
      </c>
      <c r="AN140" s="88" t="s">
        <v>763</v>
      </c>
      <c r="AO140" s="80" t="s">
        <v>765</v>
      </c>
      <c r="AP140" s="80" t="b">
        <v>0</v>
      </c>
      <c r="AQ140" s="88" t="s">
        <v>695</v>
      </c>
      <c r="AR140" s="80" t="s">
        <v>197</v>
      </c>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6</v>
      </c>
      <c r="BF140" s="49"/>
      <c r="BG140" s="50"/>
      <c r="BH140" s="49"/>
      <c r="BI140" s="50"/>
      <c r="BJ140" s="49"/>
      <c r="BK140" s="50"/>
      <c r="BL140" s="49"/>
      <c r="BM140" s="50"/>
      <c r="BN140" s="49"/>
    </row>
    <row r="141" spans="1:66" ht="15">
      <c r="A141" s="65" t="s">
        <v>271</v>
      </c>
      <c r="B141" s="65" t="s">
        <v>309</v>
      </c>
      <c r="C141" s="66" t="s">
        <v>2153</v>
      </c>
      <c r="D141" s="67">
        <v>3</v>
      </c>
      <c r="E141" s="66" t="s">
        <v>132</v>
      </c>
      <c r="F141" s="69">
        <v>32</v>
      </c>
      <c r="G141" s="66"/>
      <c r="H141" s="70"/>
      <c r="I141" s="71"/>
      <c r="J141" s="71"/>
      <c r="K141" s="35" t="s">
        <v>65</v>
      </c>
      <c r="L141" s="72">
        <v>141</v>
      </c>
      <c r="M141" s="72"/>
      <c r="N141" s="73"/>
      <c r="O141" s="80" t="s">
        <v>353</v>
      </c>
      <c r="P141" s="82">
        <v>44218.635300925926</v>
      </c>
      <c r="Q141" s="80" t="s">
        <v>362</v>
      </c>
      <c r="R141" s="84" t="str">
        <f>HYPERLINK("https://www.tiess.online/registration?utm_source=SM&amp;utm_medium=Ramanan&amp;utm_campaign=TIESS&amp;utm_term=011")</f>
        <v>https://www.tiess.online/registration?utm_source=SM&amp;utm_medium=Ramanan&amp;utm_campaign=TIESS&amp;utm_term=011</v>
      </c>
      <c r="S141" s="80" t="s">
        <v>444</v>
      </c>
      <c r="T141" s="80" t="s">
        <v>451</v>
      </c>
      <c r="U141" s="84" t="str">
        <f>HYPERLINK("https://pbs.twimg.com/media/EsWHGdcVcAE-c4p.jpg")</f>
        <v>https://pbs.twimg.com/media/EsWHGdcVcAE-c4p.jpg</v>
      </c>
      <c r="V141" s="84" t="str">
        <f>HYPERLINK("https://pbs.twimg.com/media/EsWHGdcVcAE-c4p.jpg")</f>
        <v>https://pbs.twimg.com/media/EsWHGdcVcAE-c4p.jpg</v>
      </c>
      <c r="W141" s="82">
        <v>44218.635300925926</v>
      </c>
      <c r="X141" s="86">
        <v>44218</v>
      </c>
      <c r="Y141" s="88" t="s">
        <v>544</v>
      </c>
      <c r="Z141" s="84" t="str">
        <f>HYPERLINK("https://twitter.com/indiadidac/status/1352635841407971330")</f>
        <v>https://twitter.com/indiadidac/status/1352635841407971330</v>
      </c>
      <c r="AA141" s="80"/>
      <c r="AB141" s="80"/>
      <c r="AC141" s="88" t="s">
        <v>695</v>
      </c>
      <c r="AD141" s="80"/>
      <c r="AE141" s="80" t="b">
        <v>0</v>
      </c>
      <c r="AF141" s="80">
        <v>13</v>
      </c>
      <c r="AG141" s="88" t="s">
        <v>763</v>
      </c>
      <c r="AH141" s="80" t="b">
        <v>0</v>
      </c>
      <c r="AI141" s="80" t="s">
        <v>764</v>
      </c>
      <c r="AJ141" s="80"/>
      <c r="AK141" s="88" t="s">
        <v>763</v>
      </c>
      <c r="AL141" s="80" t="b">
        <v>0</v>
      </c>
      <c r="AM141" s="80">
        <v>3</v>
      </c>
      <c r="AN141" s="88" t="s">
        <v>763</v>
      </c>
      <c r="AO141" s="80" t="s">
        <v>765</v>
      </c>
      <c r="AP141" s="80" t="b">
        <v>0</v>
      </c>
      <c r="AQ141" s="88" t="s">
        <v>695</v>
      </c>
      <c r="AR141" s="80" t="s">
        <v>197</v>
      </c>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6</v>
      </c>
      <c r="BF141" s="49">
        <v>1</v>
      </c>
      <c r="BG141" s="50">
        <v>2.7777777777777777</v>
      </c>
      <c r="BH141" s="49">
        <v>0</v>
      </c>
      <c r="BI141" s="50">
        <v>0</v>
      </c>
      <c r="BJ141" s="49">
        <v>0</v>
      </c>
      <c r="BK141" s="50">
        <v>0</v>
      </c>
      <c r="BL141" s="49">
        <v>35</v>
      </c>
      <c r="BM141" s="50">
        <v>97.22222222222223</v>
      </c>
      <c r="BN141" s="49">
        <v>36</v>
      </c>
    </row>
    <row r="142" spans="1:66" ht="15">
      <c r="A142" s="65" t="s">
        <v>285</v>
      </c>
      <c r="B142" s="65" t="s">
        <v>294</v>
      </c>
      <c r="C142" s="66" t="s">
        <v>2153</v>
      </c>
      <c r="D142" s="67">
        <v>3</v>
      </c>
      <c r="E142" s="66" t="s">
        <v>132</v>
      </c>
      <c r="F142" s="69">
        <v>32</v>
      </c>
      <c r="G142" s="66"/>
      <c r="H142" s="70"/>
      <c r="I142" s="71"/>
      <c r="J142" s="71"/>
      <c r="K142" s="35" t="s">
        <v>65</v>
      </c>
      <c r="L142" s="72">
        <v>142</v>
      </c>
      <c r="M142" s="72"/>
      <c r="N142" s="73"/>
      <c r="O142" s="80" t="s">
        <v>352</v>
      </c>
      <c r="P142" s="82">
        <v>44216.24728009259</v>
      </c>
      <c r="Q142" s="80" t="s">
        <v>399</v>
      </c>
      <c r="R142" s="84" t="str">
        <f>HYPERLINK("https://www.tiess.online/registration?utm_source=SM&amp;utm_medium=Rashef&amp;utm_campaign=TIESS&amp;utm_term=020")</f>
        <v>https://www.tiess.online/registration?utm_source=SM&amp;utm_medium=Rashef&amp;utm_campaign=TIESS&amp;utm_term=020</v>
      </c>
      <c r="S142" s="80" t="s">
        <v>444</v>
      </c>
      <c r="T142" s="80" t="s">
        <v>450</v>
      </c>
      <c r="U142" s="84" t="str">
        <f>HYPERLINK("https://pbs.twimg.com/media/EsF6A6rU0AAESdA.jpg")</f>
        <v>https://pbs.twimg.com/media/EsF6A6rU0AAESdA.jpg</v>
      </c>
      <c r="V142" s="84" t="str">
        <f>HYPERLINK("https://pbs.twimg.com/media/EsF6A6rU0AAESdA.jpg")</f>
        <v>https://pbs.twimg.com/media/EsF6A6rU0AAESdA.jpg</v>
      </c>
      <c r="W142" s="82">
        <v>44216.24728009259</v>
      </c>
      <c r="X142" s="86">
        <v>44216</v>
      </c>
      <c r="Y142" s="88" t="s">
        <v>545</v>
      </c>
      <c r="Z142" s="84" t="str">
        <f>HYPERLINK("https://twitter.com/connect_aditya/status/1351770452776030208")</f>
        <v>https://twitter.com/connect_aditya/status/1351770452776030208</v>
      </c>
      <c r="AA142" s="80"/>
      <c r="AB142" s="80"/>
      <c r="AC142" s="88" t="s">
        <v>696</v>
      </c>
      <c r="AD142" s="80"/>
      <c r="AE142" s="80" t="b">
        <v>0</v>
      </c>
      <c r="AF142" s="80">
        <v>0</v>
      </c>
      <c r="AG142" s="88" t="s">
        <v>763</v>
      </c>
      <c r="AH142" s="80" t="b">
        <v>0</v>
      </c>
      <c r="AI142" s="80" t="s">
        <v>764</v>
      </c>
      <c r="AJ142" s="80"/>
      <c r="AK142" s="88" t="s">
        <v>763</v>
      </c>
      <c r="AL142" s="80" t="b">
        <v>0</v>
      </c>
      <c r="AM142" s="80">
        <v>2</v>
      </c>
      <c r="AN142" s="88" t="s">
        <v>728</v>
      </c>
      <c r="AO142" s="80" t="s">
        <v>765</v>
      </c>
      <c r="AP142" s="80" t="b">
        <v>0</v>
      </c>
      <c r="AQ142" s="88" t="s">
        <v>728</v>
      </c>
      <c r="AR142" s="80" t="s">
        <v>197</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285</v>
      </c>
      <c r="B143" s="65" t="s">
        <v>292</v>
      </c>
      <c r="C143" s="66" t="s">
        <v>2153</v>
      </c>
      <c r="D143" s="67">
        <v>3</v>
      </c>
      <c r="E143" s="66" t="s">
        <v>132</v>
      </c>
      <c r="F143" s="69">
        <v>32</v>
      </c>
      <c r="G143" s="66"/>
      <c r="H143" s="70"/>
      <c r="I143" s="71"/>
      <c r="J143" s="71"/>
      <c r="K143" s="35" t="s">
        <v>65</v>
      </c>
      <c r="L143" s="72">
        <v>143</v>
      </c>
      <c r="M143" s="72"/>
      <c r="N143" s="73"/>
      <c r="O143" s="80" t="s">
        <v>352</v>
      </c>
      <c r="P143" s="82">
        <v>44216.24728009259</v>
      </c>
      <c r="Q143" s="80" t="s">
        <v>399</v>
      </c>
      <c r="R143" s="84" t="str">
        <f>HYPERLINK("https://www.tiess.online/registration?utm_source=SM&amp;utm_medium=Rashef&amp;utm_campaign=TIESS&amp;utm_term=020")</f>
        <v>https://www.tiess.online/registration?utm_source=SM&amp;utm_medium=Rashef&amp;utm_campaign=TIESS&amp;utm_term=020</v>
      </c>
      <c r="S143" s="80" t="s">
        <v>444</v>
      </c>
      <c r="T143" s="80" t="s">
        <v>450</v>
      </c>
      <c r="U143" s="84" t="str">
        <f>HYPERLINK("https://pbs.twimg.com/media/EsF6A6rU0AAESdA.jpg")</f>
        <v>https://pbs.twimg.com/media/EsF6A6rU0AAESdA.jpg</v>
      </c>
      <c r="V143" s="84" t="str">
        <f>HYPERLINK("https://pbs.twimg.com/media/EsF6A6rU0AAESdA.jpg")</f>
        <v>https://pbs.twimg.com/media/EsF6A6rU0AAESdA.jpg</v>
      </c>
      <c r="W143" s="82">
        <v>44216.24728009259</v>
      </c>
      <c r="X143" s="86">
        <v>44216</v>
      </c>
      <c r="Y143" s="88" t="s">
        <v>545</v>
      </c>
      <c r="Z143" s="84" t="str">
        <f>HYPERLINK("https://twitter.com/connect_aditya/status/1351770452776030208")</f>
        <v>https://twitter.com/connect_aditya/status/1351770452776030208</v>
      </c>
      <c r="AA143" s="80"/>
      <c r="AB143" s="80"/>
      <c r="AC143" s="88" t="s">
        <v>696</v>
      </c>
      <c r="AD143" s="80"/>
      <c r="AE143" s="80" t="b">
        <v>0</v>
      </c>
      <c r="AF143" s="80">
        <v>0</v>
      </c>
      <c r="AG143" s="88" t="s">
        <v>763</v>
      </c>
      <c r="AH143" s="80" t="b">
        <v>0</v>
      </c>
      <c r="AI143" s="80" t="s">
        <v>764</v>
      </c>
      <c r="AJ143" s="80"/>
      <c r="AK143" s="88" t="s">
        <v>763</v>
      </c>
      <c r="AL143" s="80" t="b">
        <v>0</v>
      </c>
      <c r="AM143" s="80">
        <v>2</v>
      </c>
      <c r="AN143" s="88" t="s">
        <v>728</v>
      </c>
      <c r="AO143" s="80" t="s">
        <v>765</v>
      </c>
      <c r="AP143" s="80" t="b">
        <v>0</v>
      </c>
      <c r="AQ143" s="88" t="s">
        <v>728</v>
      </c>
      <c r="AR143" s="80" t="s">
        <v>197</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9">
        <v>2</v>
      </c>
      <c r="BG143" s="50">
        <v>6.896551724137931</v>
      </c>
      <c r="BH143" s="49">
        <v>0</v>
      </c>
      <c r="BI143" s="50">
        <v>0</v>
      </c>
      <c r="BJ143" s="49">
        <v>0</v>
      </c>
      <c r="BK143" s="50">
        <v>0</v>
      </c>
      <c r="BL143" s="49">
        <v>27</v>
      </c>
      <c r="BM143" s="50">
        <v>93.10344827586206</v>
      </c>
      <c r="BN143" s="49">
        <v>29</v>
      </c>
    </row>
    <row r="144" spans="1:66" ht="15">
      <c r="A144" s="65" t="s">
        <v>285</v>
      </c>
      <c r="B144" s="65" t="s">
        <v>271</v>
      </c>
      <c r="C144" s="66" t="s">
        <v>2155</v>
      </c>
      <c r="D144" s="67">
        <v>5.333333333333334</v>
      </c>
      <c r="E144" s="66" t="s">
        <v>136</v>
      </c>
      <c r="F144" s="69">
        <v>30.63157894736842</v>
      </c>
      <c r="G144" s="66"/>
      <c r="H144" s="70"/>
      <c r="I144" s="71"/>
      <c r="J144" s="71"/>
      <c r="K144" s="35" t="s">
        <v>66</v>
      </c>
      <c r="L144" s="72">
        <v>144</v>
      </c>
      <c r="M144" s="72"/>
      <c r="N144" s="73"/>
      <c r="O144" s="80" t="s">
        <v>351</v>
      </c>
      <c r="P144" s="82">
        <v>44216.24728009259</v>
      </c>
      <c r="Q144" s="80" t="s">
        <v>399</v>
      </c>
      <c r="R144" s="84" t="str">
        <f>HYPERLINK("https://www.tiess.online/registration?utm_source=SM&amp;utm_medium=Rashef&amp;utm_campaign=TIESS&amp;utm_term=020")</f>
        <v>https://www.tiess.online/registration?utm_source=SM&amp;utm_medium=Rashef&amp;utm_campaign=TIESS&amp;utm_term=020</v>
      </c>
      <c r="S144" s="80" t="s">
        <v>444</v>
      </c>
      <c r="T144" s="80" t="s">
        <v>450</v>
      </c>
      <c r="U144" s="84" t="str">
        <f>HYPERLINK("https://pbs.twimg.com/media/EsF6A6rU0AAESdA.jpg")</f>
        <v>https://pbs.twimg.com/media/EsF6A6rU0AAESdA.jpg</v>
      </c>
      <c r="V144" s="84" t="str">
        <f>HYPERLINK("https://pbs.twimg.com/media/EsF6A6rU0AAESdA.jpg")</f>
        <v>https://pbs.twimg.com/media/EsF6A6rU0AAESdA.jpg</v>
      </c>
      <c r="W144" s="82">
        <v>44216.24728009259</v>
      </c>
      <c r="X144" s="86">
        <v>44216</v>
      </c>
      <c r="Y144" s="88" t="s">
        <v>545</v>
      </c>
      <c r="Z144" s="84" t="str">
        <f>HYPERLINK("https://twitter.com/connect_aditya/status/1351770452776030208")</f>
        <v>https://twitter.com/connect_aditya/status/1351770452776030208</v>
      </c>
      <c r="AA144" s="80"/>
      <c r="AB144" s="80"/>
      <c r="AC144" s="88" t="s">
        <v>696</v>
      </c>
      <c r="AD144" s="80"/>
      <c r="AE144" s="80" t="b">
        <v>0</v>
      </c>
      <c r="AF144" s="80">
        <v>0</v>
      </c>
      <c r="AG144" s="88" t="s">
        <v>763</v>
      </c>
      <c r="AH144" s="80" t="b">
        <v>0</v>
      </c>
      <c r="AI144" s="80" t="s">
        <v>764</v>
      </c>
      <c r="AJ144" s="80"/>
      <c r="AK144" s="88" t="s">
        <v>763</v>
      </c>
      <c r="AL144" s="80" t="b">
        <v>0</v>
      </c>
      <c r="AM144" s="80">
        <v>2</v>
      </c>
      <c r="AN144" s="88" t="s">
        <v>728</v>
      </c>
      <c r="AO144" s="80" t="s">
        <v>765</v>
      </c>
      <c r="AP144" s="80" t="b">
        <v>0</v>
      </c>
      <c r="AQ144" s="88" t="s">
        <v>728</v>
      </c>
      <c r="AR144" s="80" t="s">
        <v>197</v>
      </c>
      <c r="AS144" s="80">
        <v>0</v>
      </c>
      <c r="AT144" s="80">
        <v>0</v>
      </c>
      <c r="AU144" s="80"/>
      <c r="AV144" s="80"/>
      <c r="AW144" s="80"/>
      <c r="AX144" s="80"/>
      <c r="AY144" s="80"/>
      <c r="AZ144" s="80"/>
      <c r="BA144" s="80"/>
      <c r="BB144" s="80"/>
      <c r="BC144">
        <v>2</v>
      </c>
      <c r="BD144" s="79" t="str">
        <f>REPLACE(INDEX(GroupVertices[Group],MATCH(Edges[[#This Row],[Vertex 1]],GroupVertices[Vertex],0)),1,1,"")</f>
        <v>2</v>
      </c>
      <c r="BE144" s="79" t="str">
        <f>REPLACE(INDEX(GroupVertices[Group],MATCH(Edges[[#This Row],[Vertex 2]],GroupVertices[Vertex],0)),1,1,"")</f>
        <v>1</v>
      </c>
      <c r="BF144" s="49"/>
      <c r="BG144" s="50"/>
      <c r="BH144" s="49"/>
      <c r="BI144" s="50"/>
      <c r="BJ144" s="49"/>
      <c r="BK144" s="50"/>
      <c r="BL144" s="49"/>
      <c r="BM144" s="50"/>
      <c r="BN144" s="49"/>
    </row>
    <row r="145" spans="1:66" ht="15">
      <c r="A145" s="65" t="s">
        <v>285</v>
      </c>
      <c r="B145" s="65" t="s">
        <v>271</v>
      </c>
      <c r="C145" s="66" t="s">
        <v>2155</v>
      </c>
      <c r="D145" s="67">
        <v>5.333333333333334</v>
      </c>
      <c r="E145" s="66" t="s">
        <v>136</v>
      </c>
      <c r="F145" s="69">
        <v>30.63157894736842</v>
      </c>
      <c r="G145" s="66"/>
      <c r="H145" s="70"/>
      <c r="I145" s="71"/>
      <c r="J145" s="71"/>
      <c r="K145" s="35" t="s">
        <v>66</v>
      </c>
      <c r="L145" s="72">
        <v>145</v>
      </c>
      <c r="M145" s="72"/>
      <c r="N145" s="73"/>
      <c r="O145" s="80" t="s">
        <v>351</v>
      </c>
      <c r="P145" s="82">
        <v>44216.24855324074</v>
      </c>
      <c r="Q145" s="80" t="s">
        <v>400</v>
      </c>
      <c r="R145" s="84" t="str">
        <f>HYPERLINK("https://www.tiess.online/registration?utm_source=Twitter&amp;utm_medium=IDA&amp;utm_campaign=TIESS&amp;utm_term=006")</f>
        <v>https://www.tiess.online/registration?utm_source=Twitter&amp;utm_medium=IDA&amp;utm_campaign=TIESS&amp;utm_term=006</v>
      </c>
      <c r="S145" s="80" t="s">
        <v>444</v>
      </c>
      <c r="T145" s="80" t="s">
        <v>449</v>
      </c>
      <c r="U145" s="84" t="str">
        <f>HYPERLINK("https://pbs.twimg.com/ext_tw_video_thumb/1351455582709051392/pu/img/HHqo-Y-cvh93oOF6.jpg")</f>
        <v>https://pbs.twimg.com/ext_tw_video_thumb/1351455582709051392/pu/img/HHqo-Y-cvh93oOF6.jpg</v>
      </c>
      <c r="V145" s="84" t="str">
        <f>HYPERLINK("https://pbs.twimg.com/ext_tw_video_thumb/1351455582709051392/pu/img/HHqo-Y-cvh93oOF6.jpg")</f>
        <v>https://pbs.twimg.com/ext_tw_video_thumb/1351455582709051392/pu/img/HHqo-Y-cvh93oOF6.jpg</v>
      </c>
      <c r="W145" s="82">
        <v>44216.24855324074</v>
      </c>
      <c r="X145" s="86">
        <v>44216</v>
      </c>
      <c r="Y145" s="88" t="s">
        <v>546</v>
      </c>
      <c r="Z145" s="84" t="str">
        <f>HYPERLINK("https://twitter.com/connect_aditya/status/1351770916988940291")</f>
        <v>https://twitter.com/connect_aditya/status/1351770916988940291</v>
      </c>
      <c r="AA145" s="80"/>
      <c r="AB145" s="80"/>
      <c r="AC145" s="88" t="s">
        <v>697</v>
      </c>
      <c r="AD145" s="80"/>
      <c r="AE145" s="80" t="b">
        <v>0</v>
      </c>
      <c r="AF145" s="80">
        <v>0</v>
      </c>
      <c r="AG145" s="88" t="s">
        <v>763</v>
      </c>
      <c r="AH145" s="80" t="b">
        <v>0</v>
      </c>
      <c r="AI145" s="80" t="s">
        <v>764</v>
      </c>
      <c r="AJ145" s="80"/>
      <c r="AK145" s="88" t="s">
        <v>763</v>
      </c>
      <c r="AL145" s="80" t="b">
        <v>0</v>
      </c>
      <c r="AM145" s="80">
        <v>1</v>
      </c>
      <c r="AN145" s="88" t="s">
        <v>736</v>
      </c>
      <c r="AO145" s="80" t="s">
        <v>765</v>
      </c>
      <c r="AP145" s="80" t="b">
        <v>0</v>
      </c>
      <c r="AQ145" s="88" t="s">
        <v>736</v>
      </c>
      <c r="AR145" s="80" t="s">
        <v>197</v>
      </c>
      <c r="AS145" s="80">
        <v>0</v>
      </c>
      <c r="AT145" s="80">
        <v>0</v>
      </c>
      <c r="AU145" s="80"/>
      <c r="AV145" s="80"/>
      <c r="AW145" s="80"/>
      <c r="AX145" s="80"/>
      <c r="AY145" s="80"/>
      <c r="AZ145" s="80"/>
      <c r="BA145" s="80"/>
      <c r="BB145" s="80"/>
      <c r="BC145">
        <v>2</v>
      </c>
      <c r="BD145" s="79" t="str">
        <f>REPLACE(INDEX(GroupVertices[Group],MATCH(Edges[[#This Row],[Vertex 1]],GroupVertices[Vertex],0)),1,1,"")</f>
        <v>2</v>
      </c>
      <c r="BE145" s="79" t="str">
        <f>REPLACE(INDEX(GroupVertices[Group],MATCH(Edges[[#This Row],[Vertex 2]],GroupVertices[Vertex],0)),1,1,"")</f>
        <v>1</v>
      </c>
      <c r="BF145" s="49">
        <v>1</v>
      </c>
      <c r="BG145" s="50">
        <v>2.857142857142857</v>
      </c>
      <c r="BH145" s="49">
        <v>0</v>
      </c>
      <c r="BI145" s="50">
        <v>0</v>
      </c>
      <c r="BJ145" s="49">
        <v>0</v>
      </c>
      <c r="BK145" s="50">
        <v>0</v>
      </c>
      <c r="BL145" s="49">
        <v>34</v>
      </c>
      <c r="BM145" s="50">
        <v>97.14285714285714</v>
      </c>
      <c r="BN145" s="49">
        <v>35</v>
      </c>
    </row>
    <row r="146" spans="1:66" ht="15">
      <c r="A146" s="65" t="s">
        <v>271</v>
      </c>
      <c r="B146" s="65" t="s">
        <v>285</v>
      </c>
      <c r="C146" s="66" t="s">
        <v>2153</v>
      </c>
      <c r="D146" s="67">
        <v>3</v>
      </c>
      <c r="E146" s="66" t="s">
        <v>132</v>
      </c>
      <c r="F146" s="69">
        <v>32</v>
      </c>
      <c r="G146" s="66"/>
      <c r="H146" s="70"/>
      <c r="I146" s="71"/>
      <c r="J146" s="71"/>
      <c r="K146" s="35" t="s">
        <v>66</v>
      </c>
      <c r="L146" s="72">
        <v>146</v>
      </c>
      <c r="M146" s="72"/>
      <c r="N146" s="73"/>
      <c r="O146" s="80" t="s">
        <v>353</v>
      </c>
      <c r="P146" s="82">
        <v>44219.31579861111</v>
      </c>
      <c r="Q146" s="80" t="s">
        <v>401</v>
      </c>
      <c r="R146" s="84" t="str">
        <f>HYPERLINK("https://www.tiess.online/registration?utm_source=Damian&amp;utm_medium=SM&amp;utm_campaign=TIESS&amp;utm_term=027")</f>
        <v>https://www.tiess.online/registration?utm_source=Damian&amp;utm_medium=SM&amp;utm_campaign=TIESS&amp;utm_term=027</v>
      </c>
      <c r="S146" s="80" t="s">
        <v>444</v>
      </c>
      <c r="T146" s="80" t="s">
        <v>451</v>
      </c>
      <c r="U146" s="84" t="str">
        <f>HYPERLINK("https://pbs.twimg.com/media/EsZnGkYU0AEbfOs.jpg")</f>
        <v>https://pbs.twimg.com/media/EsZnGkYU0AEbfOs.jpg</v>
      </c>
      <c r="V146" s="84" t="str">
        <f>HYPERLINK("https://pbs.twimg.com/media/EsZnGkYU0AEbfOs.jpg")</f>
        <v>https://pbs.twimg.com/media/EsZnGkYU0AEbfOs.jpg</v>
      </c>
      <c r="W146" s="82">
        <v>44219.31579861111</v>
      </c>
      <c r="X146" s="86">
        <v>44219</v>
      </c>
      <c r="Y146" s="88" t="s">
        <v>547</v>
      </c>
      <c r="Z146" s="84" t="str">
        <f>HYPERLINK("https://twitter.com/indiadidac/status/1352882449177481216")</f>
        <v>https://twitter.com/indiadidac/status/1352882449177481216</v>
      </c>
      <c r="AA146" s="80"/>
      <c r="AB146" s="80"/>
      <c r="AC146" s="88" t="s">
        <v>698</v>
      </c>
      <c r="AD146" s="80"/>
      <c r="AE146" s="80" t="b">
        <v>0</v>
      </c>
      <c r="AF146" s="80">
        <v>0</v>
      </c>
      <c r="AG146" s="88" t="s">
        <v>763</v>
      </c>
      <c r="AH146" s="80" t="b">
        <v>0</v>
      </c>
      <c r="AI146" s="80" t="s">
        <v>764</v>
      </c>
      <c r="AJ146" s="80"/>
      <c r="AK146" s="88" t="s">
        <v>763</v>
      </c>
      <c r="AL146" s="80" t="b">
        <v>0</v>
      </c>
      <c r="AM146" s="80">
        <v>0</v>
      </c>
      <c r="AN146" s="88" t="s">
        <v>763</v>
      </c>
      <c r="AO146" s="80" t="s">
        <v>765</v>
      </c>
      <c r="AP146" s="80" t="b">
        <v>0</v>
      </c>
      <c r="AQ146" s="88" t="s">
        <v>698</v>
      </c>
      <c r="AR146" s="80" t="s">
        <v>197</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2</v>
      </c>
      <c r="BF146" s="49"/>
      <c r="BG146" s="50"/>
      <c r="BH146" s="49"/>
      <c r="BI146" s="50"/>
      <c r="BJ146" s="49"/>
      <c r="BK146" s="50"/>
      <c r="BL146" s="49"/>
      <c r="BM146" s="50"/>
      <c r="BN146" s="49"/>
    </row>
    <row r="147" spans="1:66" ht="15">
      <c r="A147" s="65" t="s">
        <v>271</v>
      </c>
      <c r="B147" s="65" t="s">
        <v>334</v>
      </c>
      <c r="C147" s="66" t="s">
        <v>2155</v>
      </c>
      <c r="D147" s="67">
        <v>5.333333333333334</v>
      </c>
      <c r="E147" s="66" t="s">
        <v>136</v>
      </c>
      <c r="F147" s="69">
        <v>30.63157894736842</v>
      </c>
      <c r="G147" s="66"/>
      <c r="H147" s="70"/>
      <c r="I147" s="71"/>
      <c r="J147" s="71"/>
      <c r="K147" s="35" t="s">
        <v>65</v>
      </c>
      <c r="L147" s="72">
        <v>147</v>
      </c>
      <c r="M147" s="72"/>
      <c r="N147" s="73"/>
      <c r="O147" s="80" t="s">
        <v>353</v>
      </c>
      <c r="P147" s="82">
        <v>44218.5718287037</v>
      </c>
      <c r="Q147" s="80" t="s">
        <v>402</v>
      </c>
      <c r="R147" s="84" t="str">
        <f>HYPERLINK("https://www.tiess.online/registration?utm_source=Caroline&amp;utm_medium=Email&amp;utm_campaign=TIESS&amp;utm_term=024")</f>
        <v>https://www.tiess.online/registration?utm_source=Caroline&amp;utm_medium=Email&amp;utm_campaign=TIESS&amp;utm_term=024</v>
      </c>
      <c r="S147" s="80" t="s">
        <v>444</v>
      </c>
      <c r="T147" s="80" t="s">
        <v>450</v>
      </c>
      <c r="U147" s="84" t="str">
        <f>HYPERLINK("https://pbs.twimg.com/media/EsVyKgKUcAARhL-.jpg")</f>
        <v>https://pbs.twimg.com/media/EsVyKgKUcAARhL-.jpg</v>
      </c>
      <c r="V147" s="84" t="str">
        <f>HYPERLINK("https://pbs.twimg.com/media/EsVyKgKUcAARhL-.jpg")</f>
        <v>https://pbs.twimg.com/media/EsVyKgKUcAARhL-.jpg</v>
      </c>
      <c r="W147" s="82">
        <v>44218.5718287037</v>
      </c>
      <c r="X147" s="86">
        <v>44218</v>
      </c>
      <c r="Y147" s="88" t="s">
        <v>548</v>
      </c>
      <c r="Z147" s="84" t="str">
        <f>HYPERLINK("https://twitter.com/indiadidac/status/1352612840104882176")</f>
        <v>https://twitter.com/indiadidac/status/1352612840104882176</v>
      </c>
      <c r="AA147" s="80"/>
      <c r="AB147" s="80"/>
      <c r="AC147" s="88" t="s">
        <v>699</v>
      </c>
      <c r="AD147" s="80"/>
      <c r="AE147" s="80" t="b">
        <v>0</v>
      </c>
      <c r="AF147" s="80">
        <v>1</v>
      </c>
      <c r="AG147" s="88" t="s">
        <v>763</v>
      </c>
      <c r="AH147" s="80" t="b">
        <v>0</v>
      </c>
      <c r="AI147" s="80" t="s">
        <v>764</v>
      </c>
      <c r="AJ147" s="80"/>
      <c r="AK147" s="88" t="s">
        <v>763</v>
      </c>
      <c r="AL147" s="80" t="b">
        <v>0</v>
      </c>
      <c r="AM147" s="80">
        <v>0</v>
      </c>
      <c r="AN147" s="88" t="s">
        <v>763</v>
      </c>
      <c r="AO147" s="80" t="s">
        <v>765</v>
      </c>
      <c r="AP147" s="80" t="b">
        <v>0</v>
      </c>
      <c r="AQ147" s="88" t="s">
        <v>699</v>
      </c>
      <c r="AR147" s="80" t="s">
        <v>197</v>
      </c>
      <c r="AS147" s="80">
        <v>0</v>
      </c>
      <c r="AT147" s="80">
        <v>0</v>
      </c>
      <c r="AU147" s="80"/>
      <c r="AV147" s="80"/>
      <c r="AW147" s="80"/>
      <c r="AX147" s="80"/>
      <c r="AY147" s="80"/>
      <c r="AZ147" s="80"/>
      <c r="BA147" s="80"/>
      <c r="BB147" s="80"/>
      <c r="BC147">
        <v>2</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271</v>
      </c>
      <c r="B148" s="65" t="s">
        <v>334</v>
      </c>
      <c r="C148" s="66" t="s">
        <v>2155</v>
      </c>
      <c r="D148" s="67">
        <v>5.333333333333334</v>
      </c>
      <c r="E148" s="66" t="s">
        <v>136</v>
      </c>
      <c r="F148" s="69">
        <v>30.63157894736842</v>
      </c>
      <c r="G148" s="66"/>
      <c r="H148" s="70"/>
      <c r="I148" s="71"/>
      <c r="J148" s="71"/>
      <c r="K148" s="35" t="s">
        <v>65</v>
      </c>
      <c r="L148" s="72">
        <v>148</v>
      </c>
      <c r="M148" s="72"/>
      <c r="N148" s="73"/>
      <c r="O148" s="80" t="s">
        <v>353</v>
      </c>
      <c r="P148" s="82">
        <v>44219.31579861111</v>
      </c>
      <c r="Q148" s="80" t="s">
        <v>401</v>
      </c>
      <c r="R148" s="84" t="str">
        <f>HYPERLINK("https://www.tiess.online/registration?utm_source=Damian&amp;utm_medium=SM&amp;utm_campaign=TIESS&amp;utm_term=027")</f>
        <v>https://www.tiess.online/registration?utm_source=Damian&amp;utm_medium=SM&amp;utm_campaign=TIESS&amp;utm_term=027</v>
      </c>
      <c r="S148" s="80" t="s">
        <v>444</v>
      </c>
      <c r="T148" s="80" t="s">
        <v>451</v>
      </c>
      <c r="U148" s="84" t="str">
        <f>HYPERLINK("https://pbs.twimg.com/media/EsZnGkYU0AEbfOs.jpg")</f>
        <v>https://pbs.twimg.com/media/EsZnGkYU0AEbfOs.jpg</v>
      </c>
      <c r="V148" s="84" t="str">
        <f>HYPERLINK("https://pbs.twimg.com/media/EsZnGkYU0AEbfOs.jpg")</f>
        <v>https://pbs.twimg.com/media/EsZnGkYU0AEbfOs.jpg</v>
      </c>
      <c r="W148" s="82">
        <v>44219.31579861111</v>
      </c>
      <c r="X148" s="86">
        <v>44219</v>
      </c>
      <c r="Y148" s="88" t="s">
        <v>547</v>
      </c>
      <c r="Z148" s="84" t="str">
        <f>HYPERLINK("https://twitter.com/indiadidac/status/1352882449177481216")</f>
        <v>https://twitter.com/indiadidac/status/1352882449177481216</v>
      </c>
      <c r="AA148" s="80"/>
      <c r="AB148" s="80"/>
      <c r="AC148" s="88" t="s">
        <v>698</v>
      </c>
      <c r="AD148" s="80"/>
      <c r="AE148" s="80" t="b">
        <v>0</v>
      </c>
      <c r="AF148" s="80">
        <v>0</v>
      </c>
      <c r="AG148" s="88" t="s">
        <v>763</v>
      </c>
      <c r="AH148" s="80" t="b">
        <v>0</v>
      </c>
      <c r="AI148" s="80" t="s">
        <v>764</v>
      </c>
      <c r="AJ148" s="80"/>
      <c r="AK148" s="88" t="s">
        <v>763</v>
      </c>
      <c r="AL148" s="80" t="b">
        <v>0</v>
      </c>
      <c r="AM148" s="80">
        <v>0</v>
      </c>
      <c r="AN148" s="88" t="s">
        <v>763</v>
      </c>
      <c r="AO148" s="80" t="s">
        <v>765</v>
      </c>
      <c r="AP148" s="80" t="b">
        <v>0</v>
      </c>
      <c r="AQ148" s="88" t="s">
        <v>698</v>
      </c>
      <c r="AR148" s="80" t="s">
        <v>197</v>
      </c>
      <c r="AS148" s="80">
        <v>0</v>
      </c>
      <c r="AT148" s="80">
        <v>0</v>
      </c>
      <c r="AU148" s="80"/>
      <c r="AV148" s="80"/>
      <c r="AW148" s="80"/>
      <c r="AX148" s="80"/>
      <c r="AY148" s="80"/>
      <c r="AZ148" s="80"/>
      <c r="BA148" s="80"/>
      <c r="BB148" s="80"/>
      <c r="BC148">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271</v>
      </c>
      <c r="B149" s="65" t="s">
        <v>335</v>
      </c>
      <c r="C149" s="66" t="s">
        <v>2153</v>
      </c>
      <c r="D149" s="67">
        <v>3</v>
      </c>
      <c r="E149" s="66" t="s">
        <v>132</v>
      </c>
      <c r="F149" s="69">
        <v>32</v>
      </c>
      <c r="G149" s="66"/>
      <c r="H149" s="70"/>
      <c r="I149" s="71"/>
      <c r="J149" s="71"/>
      <c r="K149" s="35" t="s">
        <v>65</v>
      </c>
      <c r="L149" s="72">
        <v>149</v>
      </c>
      <c r="M149" s="72"/>
      <c r="N149" s="73"/>
      <c r="O149" s="80" t="s">
        <v>353</v>
      </c>
      <c r="P149" s="82">
        <v>44219.31579861111</v>
      </c>
      <c r="Q149" s="80" t="s">
        <v>401</v>
      </c>
      <c r="R149" s="84" t="str">
        <f>HYPERLINK("https://www.tiess.online/registration?utm_source=Damian&amp;utm_medium=SM&amp;utm_campaign=TIESS&amp;utm_term=027")</f>
        <v>https://www.tiess.online/registration?utm_source=Damian&amp;utm_medium=SM&amp;utm_campaign=TIESS&amp;utm_term=027</v>
      </c>
      <c r="S149" s="80" t="s">
        <v>444</v>
      </c>
      <c r="T149" s="80" t="s">
        <v>451</v>
      </c>
      <c r="U149" s="84" t="str">
        <f>HYPERLINK("https://pbs.twimg.com/media/EsZnGkYU0AEbfOs.jpg")</f>
        <v>https://pbs.twimg.com/media/EsZnGkYU0AEbfOs.jpg</v>
      </c>
      <c r="V149" s="84" t="str">
        <f>HYPERLINK("https://pbs.twimg.com/media/EsZnGkYU0AEbfOs.jpg")</f>
        <v>https://pbs.twimg.com/media/EsZnGkYU0AEbfOs.jpg</v>
      </c>
      <c r="W149" s="82">
        <v>44219.31579861111</v>
      </c>
      <c r="X149" s="86">
        <v>44219</v>
      </c>
      <c r="Y149" s="88" t="s">
        <v>547</v>
      </c>
      <c r="Z149" s="84" t="str">
        <f>HYPERLINK("https://twitter.com/indiadidac/status/1352882449177481216")</f>
        <v>https://twitter.com/indiadidac/status/1352882449177481216</v>
      </c>
      <c r="AA149" s="80"/>
      <c r="AB149" s="80"/>
      <c r="AC149" s="88" t="s">
        <v>698</v>
      </c>
      <c r="AD149" s="80"/>
      <c r="AE149" s="80" t="b">
        <v>0</v>
      </c>
      <c r="AF149" s="80">
        <v>0</v>
      </c>
      <c r="AG149" s="88" t="s">
        <v>763</v>
      </c>
      <c r="AH149" s="80" t="b">
        <v>0</v>
      </c>
      <c r="AI149" s="80" t="s">
        <v>764</v>
      </c>
      <c r="AJ149" s="80"/>
      <c r="AK149" s="88" t="s">
        <v>763</v>
      </c>
      <c r="AL149" s="80" t="b">
        <v>0</v>
      </c>
      <c r="AM149" s="80">
        <v>0</v>
      </c>
      <c r="AN149" s="88" t="s">
        <v>763</v>
      </c>
      <c r="AO149" s="80" t="s">
        <v>765</v>
      </c>
      <c r="AP149" s="80" t="b">
        <v>0</v>
      </c>
      <c r="AQ149" s="88" t="s">
        <v>698</v>
      </c>
      <c r="AR149" s="80" t="s">
        <v>197</v>
      </c>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271</v>
      </c>
      <c r="B150" s="65" t="s">
        <v>336</v>
      </c>
      <c r="C150" s="66" t="s">
        <v>2153</v>
      </c>
      <c r="D150" s="67">
        <v>3</v>
      </c>
      <c r="E150" s="66" t="s">
        <v>132</v>
      </c>
      <c r="F150" s="69">
        <v>32</v>
      </c>
      <c r="G150" s="66"/>
      <c r="H150" s="70"/>
      <c r="I150" s="71"/>
      <c r="J150" s="71"/>
      <c r="K150" s="35" t="s">
        <v>65</v>
      </c>
      <c r="L150" s="72">
        <v>150</v>
      </c>
      <c r="M150" s="72"/>
      <c r="N150" s="73"/>
      <c r="O150" s="80" t="s">
        <v>353</v>
      </c>
      <c r="P150" s="82">
        <v>44219.31579861111</v>
      </c>
      <c r="Q150" s="80" t="s">
        <v>401</v>
      </c>
      <c r="R150" s="84" t="str">
        <f>HYPERLINK("https://www.tiess.online/registration?utm_source=Damian&amp;utm_medium=SM&amp;utm_campaign=TIESS&amp;utm_term=027")</f>
        <v>https://www.tiess.online/registration?utm_source=Damian&amp;utm_medium=SM&amp;utm_campaign=TIESS&amp;utm_term=027</v>
      </c>
      <c r="S150" s="80" t="s">
        <v>444</v>
      </c>
      <c r="T150" s="80" t="s">
        <v>451</v>
      </c>
      <c r="U150" s="84" t="str">
        <f>HYPERLINK("https://pbs.twimg.com/media/EsZnGkYU0AEbfOs.jpg")</f>
        <v>https://pbs.twimg.com/media/EsZnGkYU0AEbfOs.jpg</v>
      </c>
      <c r="V150" s="84" t="str">
        <f>HYPERLINK("https://pbs.twimg.com/media/EsZnGkYU0AEbfOs.jpg")</f>
        <v>https://pbs.twimg.com/media/EsZnGkYU0AEbfOs.jpg</v>
      </c>
      <c r="W150" s="82">
        <v>44219.31579861111</v>
      </c>
      <c r="X150" s="86">
        <v>44219</v>
      </c>
      <c r="Y150" s="88" t="s">
        <v>547</v>
      </c>
      <c r="Z150" s="84" t="str">
        <f>HYPERLINK("https://twitter.com/indiadidac/status/1352882449177481216")</f>
        <v>https://twitter.com/indiadidac/status/1352882449177481216</v>
      </c>
      <c r="AA150" s="80"/>
      <c r="AB150" s="80"/>
      <c r="AC150" s="88" t="s">
        <v>698</v>
      </c>
      <c r="AD150" s="80"/>
      <c r="AE150" s="80" t="b">
        <v>0</v>
      </c>
      <c r="AF150" s="80">
        <v>0</v>
      </c>
      <c r="AG150" s="88" t="s">
        <v>763</v>
      </c>
      <c r="AH150" s="80" t="b">
        <v>0</v>
      </c>
      <c r="AI150" s="80" t="s">
        <v>764</v>
      </c>
      <c r="AJ150" s="80"/>
      <c r="AK150" s="88" t="s">
        <v>763</v>
      </c>
      <c r="AL150" s="80" t="b">
        <v>0</v>
      </c>
      <c r="AM150" s="80">
        <v>0</v>
      </c>
      <c r="AN150" s="88" t="s">
        <v>763</v>
      </c>
      <c r="AO150" s="80" t="s">
        <v>765</v>
      </c>
      <c r="AP150" s="80" t="b">
        <v>0</v>
      </c>
      <c r="AQ150" s="88" t="s">
        <v>698</v>
      </c>
      <c r="AR150" s="80" t="s">
        <v>197</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271</v>
      </c>
      <c r="B151" s="65" t="s">
        <v>337</v>
      </c>
      <c r="C151" s="66" t="s">
        <v>2153</v>
      </c>
      <c r="D151" s="67">
        <v>3</v>
      </c>
      <c r="E151" s="66" t="s">
        <v>132</v>
      </c>
      <c r="F151" s="69">
        <v>32</v>
      </c>
      <c r="G151" s="66"/>
      <c r="H151" s="70"/>
      <c r="I151" s="71"/>
      <c r="J151" s="71"/>
      <c r="K151" s="35" t="s">
        <v>65</v>
      </c>
      <c r="L151" s="72">
        <v>151</v>
      </c>
      <c r="M151" s="72"/>
      <c r="N151" s="73"/>
      <c r="O151" s="80" t="s">
        <v>353</v>
      </c>
      <c r="P151" s="82">
        <v>44219.32570601852</v>
      </c>
      <c r="Q151" s="80" t="s">
        <v>403</v>
      </c>
      <c r="R151" s="84" t="str">
        <f>HYPERLINK("https://www.tiess.online/registration?utm_source=Sharath&amp;utm_medium=SM&amp;utm_campaign=TIESS&amp;utm_term=028")</f>
        <v>https://www.tiess.online/registration?utm_source=Sharath&amp;utm_medium=SM&amp;utm_campaign=TIESS&amp;utm_term=028</v>
      </c>
      <c r="S151" s="80" t="s">
        <v>444</v>
      </c>
      <c r="T151" s="80" t="s">
        <v>450</v>
      </c>
      <c r="U151" s="84" t="str">
        <f>HYPERLINK("https://pbs.twimg.com/media/EsZqlgFUwAAoXPF.jpg")</f>
        <v>https://pbs.twimg.com/media/EsZqlgFUwAAoXPF.jpg</v>
      </c>
      <c r="V151" s="84" t="str">
        <f>HYPERLINK("https://pbs.twimg.com/media/EsZqlgFUwAAoXPF.jpg")</f>
        <v>https://pbs.twimg.com/media/EsZqlgFUwAAoXPF.jpg</v>
      </c>
      <c r="W151" s="82">
        <v>44219.32570601852</v>
      </c>
      <c r="X151" s="86">
        <v>44219</v>
      </c>
      <c r="Y151" s="88" t="s">
        <v>549</v>
      </c>
      <c r="Z151" s="84" t="str">
        <f>HYPERLINK("https://twitter.com/indiadidac/status/1352886036251037697")</f>
        <v>https://twitter.com/indiadidac/status/1352886036251037697</v>
      </c>
      <c r="AA151" s="80"/>
      <c r="AB151" s="80"/>
      <c r="AC151" s="88" t="s">
        <v>700</v>
      </c>
      <c r="AD151" s="80"/>
      <c r="AE151" s="80" t="b">
        <v>0</v>
      </c>
      <c r="AF151" s="80">
        <v>0</v>
      </c>
      <c r="AG151" s="88" t="s">
        <v>763</v>
      </c>
      <c r="AH151" s="80" t="b">
        <v>0</v>
      </c>
      <c r="AI151" s="80" t="s">
        <v>764</v>
      </c>
      <c r="AJ151" s="80"/>
      <c r="AK151" s="88" t="s">
        <v>763</v>
      </c>
      <c r="AL151" s="80" t="b">
        <v>0</v>
      </c>
      <c r="AM151" s="80">
        <v>0</v>
      </c>
      <c r="AN151" s="88" t="s">
        <v>763</v>
      </c>
      <c r="AO151" s="80" t="s">
        <v>765</v>
      </c>
      <c r="AP151" s="80" t="b">
        <v>0</v>
      </c>
      <c r="AQ151" s="88" t="s">
        <v>700</v>
      </c>
      <c r="AR151" s="80" t="s">
        <v>197</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9">
        <v>0</v>
      </c>
      <c r="BG151" s="50">
        <v>0</v>
      </c>
      <c r="BH151" s="49">
        <v>0</v>
      </c>
      <c r="BI151" s="50">
        <v>0</v>
      </c>
      <c r="BJ151" s="49">
        <v>0</v>
      </c>
      <c r="BK151" s="50">
        <v>0</v>
      </c>
      <c r="BL151" s="49">
        <v>24</v>
      </c>
      <c r="BM151" s="50">
        <v>100</v>
      </c>
      <c r="BN151" s="49">
        <v>24</v>
      </c>
    </row>
    <row r="152" spans="1:66" ht="15">
      <c r="A152" s="65" t="s">
        <v>286</v>
      </c>
      <c r="B152" s="65" t="s">
        <v>271</v>
      </c>
      <c r="C152" s="66" t="s">
        <v>2153</v>
      </c>
      <c r="D152" s="67">
        <v>3</v>
      </c>
      <c r="E152" s="66" t="s">
        <v>132</v>
      </c>
      <c r="F152" s="69">
        <v>32</v>
      </c>
      <c r="G152" s="66"/>
      <c r="H152" s="70"/>
      <c r="I152" s="71"/>
      <c r="J152" s="71"/>
      <c r="K152" s="35" t="s">
        <v>66</v>
      </c>
      <c r="L152" s="72">
        <v>152</v>
      </c>
      <c r="M152" s="72"/>
      <c r="N152" s="73"/>
      <c r="O152" s="80" t="s">
        <v>351</v>
      </c>
      <c r="P152" s="82">
        <v>44219.408159722225</v>
      </c>
      <c r="Q152" s="80" t="s">
        <v>404</v>
      </c>
      <c r="R152" s="84" t="str">
        <f>HYPERLINK("https://www.tiess.online/registration?utm_source=SM&amp;utm_medium=Graus&amp;utm_campaign=TIESS&amp;utm_term=017")</f>
        <v>https://www.tiess.online/registration?utm_source=SM&amp;utm_medium=Graus&amp;utm_campaign=TIESS&amp;utm_term=017</v>
      </c>
      <c r="S152" s="80" t="s">
        <v>444</v>
      </c>
      <c r="T152" s="80" t="s">
        <v>449</v>
      </c>
      <c r="U152" s="84" t="str">
        <f>HYPERLINK("https://pbs.twimg.com/media/EsZsGrhVEAAvnKD.jpg")</f>
        <v>https://pbs.twimg.com/media/EsZsGrhVEAAvnKD.jpg</v>
      </c>
      <c r="V152" s="84" t="str">
        <f>HYPERLINK("https://pbs.twimg.com/media/EsZsGrhVEAAvnKD.jpg")</f>
        <v>https://pbs.twimg.com/media/EsZsGrhVEAAvnKD.jpg</v>
      </c>
      <c r="W152" s="82">
        <v>44219.408159722225</v>
      </c>
      <c r="X152" s="86">
        <v>44219</v>
      </c>
      <c r="Y152" s="88" t="s">
        <v>550</v>
      </c>
      <c r="Z152" s="84" t="str">
        <f>HYPERLINK("https://twitter.com/grausger/status/1352915919509610497")</f>
        <v>https://twitter.com/grausger/status/1352915919509610497</v>
      </c>
      <c r="AA152" s="80"/>
      <c r="AB152" s="80"/>
      <c r="AC152" s="88" t="s">
        <v>701</v>
      </c>
      <c r="AD152" s="80"/>
      <c r="AE152" s="80" t="b">
        <v>0</v>
      </c>
      <c r="AF152" s="80">
        <v>0</v>
      </c>
      <c r="AG152" s="88" t="s">
        <v>763</v>
      </c>
      <c r="AH152" s="80" t="b">
        <v>0</v>
      </c>
      <c r="AI152" s="80" t="s">
        <v>764</v>
      </c>
      <c r="AJ152" s="80"/>
      <c r="AK152" s="88" t="s">
        <v>763</v>
      </c>
      <c r="AL152" s="80" t="b">
        <v>0</v>
      </c>
      <c r="AM152" s="80">
        <v>1</v>
      </c>
      <c r="AN152" s="88" t="s">
        <v>702</v>
      </c>
      <c r="AO152" s="80" t="s">
        <v>767</v>
      </c>
      <c r="AP152" s="80" t="b">
        <v>0</v>
      </c>
      <c r="AQ152" s="88" t="s">
        <v>702</v>
      </c>
      <c r="AR152" s="80" t="s">
        <v>197</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9">
        <v>2</v>
      </c>
      <c r="BG152" s="50">
        <v>5.882352941176471</v>
      </c>
      <c r="BH152" s="49">
        <v>0</v>
      </c>
      <c r="BI152" s="50">
        <v>0</v>
      </c>
      <c r="BJ152" s="49">
        <v>0</v>
      </c>
      <c r="BK152" s="50">
        <v>0</v>
      </c>
      <c r="BL152" s="49">
        <v>32</v>
      </c>
      <c r="BM152" s="50">
        <v>94.11764705882354</v>
      </c>
      <c r="BN152" s="49">
        <v>34</v>
      </c>
    </row>
    <row r="153" spans="1:66" ht="15">
      <c r="A153" s="65" t="s">
        <v>271</v>
      </c>
      <c r="B153" s="65" t="s">
        <v>286</v>
      </c>
      <c r="C153" s="66" t="s">
        <v>2153</v>
      </c>
      <c r="D153" s="67">
        <v>3</v>
      </c>
      <c r="E153" s="66" t="s">
        <v>132</v>
      </c>
      <c r="F153" s="69">
        <v>32</v>
      </c>
      <c r="G153" s="66"/>
      <c r="H153" s="70"/>
      <c r="I153" s="71"/>
      <c r="J153" s="71"/>
      <c r="K153" s="35" t="s">
        <v>66</v>
      </c>
      <c r="L153" s="72">
        <v>153</v>
      </c>
      <c r="M153" s="72"/>
      <c r="N153" s="73"/>
      <c r="O153" s="80" t="s">
        <v>353</v>
      </c>
      <c r="P153" s="82">
        <v>44219.33011574074</v>
      </c>
      <c r="Q153" s="80" t="s">
        <v>404</v>
      </c>
      <c r="R153" s="84" t="str">
        <f>HYPERLINK("https://www.tiess.online/registration?utm_source=SM&amp;utm_medium=Graus&amp;utm_campaign=TIESS&amp;utm_term=017")</f>
        <v>https://www.tiess.online/registration?utm_source=SM&amp;utm_medium=Graus&amp;utm_campaign=TIESS&amp;utm_term=017</v>
      </c>
      <c r="S153" s="80" t="s">
        <v>444</v>
      </c>
      <c r="T153" s="80" t="s">
        <v>449</v>
      </c>
      <c r="U153" s="84" t="str">
        <f>HYPERLINK("https://pbs.twimg.com/media/EsZsGrhVEAAvnKD.jpg")</f>
        <v>https://pbs.twimg.com/media/EsZsGrhVEAAvnKD.jpg</v>
      </c>
      <c r="V153" s="84" t="str">
        <f>HYPERLINK("https://pbs.twimg.com/media/EsZsGrhVEAAvnKD.jpg")</f>
        <v>https://pbs.twimg.com/media/EsZsGrhVEAAvnKD.jpg</v>
      </c>
      <c r="W153" s="82">
        <v>44219.33011574074</v>
      </c>
      <c r="X153" s="86">
        <v>44219</v>
      </c>
      <c r="Y153" s="88" t="s">
        <v>551</v>
      </c>
      <c r="Z153" s="84" t="str">
        <f>HYPERLINK("https://twitter.com/indiadidac/status/1352887633848881153")</f>
        <v>https://twitter.com/indiadidac/status/1352887633848881153</v>
      </c>
      <c r="AA153" s="80"/>
      <c r="AB153" s="80"/>
      <c r="AC153" s="88" t="s">
        <v>702</v>
      </c>
      <c r="AD153" s="80"/>
      <c r="AE153" s="80" t="b">
        <v>0</v>
      </c>
      <c r="AF153" s="80">
        <v>2</v>
      </c>
      <c r="AG153" s="88" t="s">
        <v>763</v>
      </c>
      <c r="AH153" s="80" t="b">
        <v>0</v>
      </c>
      <c r="AI153" s="80" t="s">
        <v>764</v>
      </c>
      <c r="AJ153" s="80"/>
      <c r="AK153" s="88" t="s">
        <v>763</v>
      </c>
      <c r="AL153" s="80" t="b">
        <v>0</v>
      </c>
      <c r="AM153" s="80">
        <v>1</v>
      </c>
      <c r="AN153" s="88" t="s">
        <v>763</v>
      </c>
      <c r="AO153" s="80" t="s">
        <v>765</v>
      </c>
      <c r="AP153" s="80" t="b">
        <v>0</v>
      </c>
      <c r="AQ153" s="88" t="s">
        <v>702</v>
      </c>
      <c r="AR153" s="80" t="s">
        <v>197</v>
      </c>
      <c r="AS153" s="80">
        <v>0</v>
      </c>
      <c r="AT153" s="80">
        <v>0</v>
      </c>
      <c r="AU153" s="80"/>
      <c r="AV153" s="80"/>
      <c r="AW153" s="80"/>
      <c r="AX153" s="80"/>
      <c r="AY153" s="80"/>
      <c r="AZ153" s="80"/>
      <c r="BA153" s="80"/>
      <c r="BB153" s="80"/>
      <c r="BC153">
        <v>1</v>
      </c>
      <c r="BD153" s="79" t="str">
        <f>REPLACE(INDEX(GroupVertices[Group],MATCH(Edges[[#This Row],[Vertex 1]],GroupVertices[Vertex],0)),1,1,"")</f>
        <v>1</v>
      </c>
      <c r="BE153" s="79" t="str">
        <f>REPLACE(INDEX(GroupVertices[Group],MATCH(Edges[[#This Row],[Vertex 2]],GroupVertices[Vertex],0)),1,1,"")</f>
        <v>1</v>
      </c>
      <c r="BF153" s="49">
        <v>2</v>
      </c>
      <c r="BG153" s="50">
        <v>5.882352941176471</v>
      </c>
      <c r="BH153" s="49">
        <v>0</v>
      </c>
      <c r="BI153" s="50">
        <v>0</v>
      </c>
      <c r="BJ153" s="49">
        <v>0</v>
      </c>
      <c r="BK153" s="50">
        <v>0</v>
      </c>
      <c r="BL153" s="49">
        <v>32</v>
      </c>
      <c r="BM153" s="50">
        <v>94.11764705882354</v>
      </c>
      <c r="BN153" s="49">
        <v>34</v>
      </c>
    </row>
    <row r="154" spans="1:66" ht="15">
      <c r="A154" s="65" t="s">
        <v>287</v>
      </c>
      <c r="B154" s="65" t="s">
        <v>287</v>
      </c>
      <c r="C154" s="66" t="s">
        <v>2153</v>
      </c>
      <c r="D154" s="67">
        <v>3</v>
      </c>
      <c r="E154" s="66" t="s">
        <v>132</v>
      </c>
      <c r="F154" s="69">
        <v>32</v>
      </c>
      <c r="G154" s="66"/>
      <c r="H154" s="70"/>
      <c r="I154" s="71"/>
      <c r="J154" s="71"/>
      <c r="K154" s="35" t="s">
        <v>65</v>
      </c>
      <c r="L154" s="72">
        <v>154</v>
      </c>
      <c r="M154" s="72"/>
      <c r="N154" s="73"/>
      <c r="O154" s="80" t="s">
        <v>197</v>
      </c>
      <c r="P154" s="82">
        <v>44219.374131944445</v>
      </c>
      <c r="Q154" s="80" t="s">
        <v>363</v>
      </c>
      <c r="R154" s="80" t="s">
        <v>442</v>
      </c>
      <c r="S154" s="80" t="s">
        <v>446</v>
      </c>
      <c r="T154" s="80" t="s">
        <v>450</v>
      </c>
      <c r="U154" s="84" t="str">
        <f>HYPERLINK("https://pbs.twimg.com/media/EsZvwrMVEAAm51K.jpg")</f>
        <v>https://pbs.twimg.com/media/EsZvwrMVEAAm51K.jpg</v>
      </c>
      <c r="V154" s="84" t="str">
        <f>HYPERLINK("https://pbs.twimg.com/media/EsZvwrMVEAAm51K.jpg")</f>
        <v>https://pbs.twimg.com/media/EsZvwrMVEAAm51K.jpg</v>
      </c>
      <c r="W154" s="82">
        <v>44219.374131944445</v>
      </c>
      <c r="X154" s="86">
        <v>44219</v>
      </c>
      <c r="Y154" s="88" t="s">
        <v>552</v>
      </c>
      <c r="Z154" s="84" t="str">
        <f>HYPERLINK("https://twitter.com/olliebray/status/1352903588729794560")</f>
        <v>https://twitter.com/olliebray/status/1352903588729794560</v>
      </c>
      <c r="AA154" s="80"/>
      <c r="AB154" s="80"/>
      <c r="AC154" s="88" t="s">
        <v>703</v>
      </c>
      <c r="AD154" s="80"/>
      <c r="AE154" s="80" t="b">
        <v>0</v>
      </c>
      <c r="AF154" s="80">
        <v>9</v>
      </c>
      <c r="AG154" s="88" t="s">
        <v>763</v>
      </c>
      <c r="AH154" s="80" t="b">
        <v>1</v>
      </c>
      <c r="AI154" s="80" t="s">
        <v>764</v>
      </c>
      <c r="AJ154" s="80"/>
      <c r="AK154" s="88" t="s">
        <v>704</v>
      </c>
      <c r="AL154" s="80" t="b">
        <v>0</v>
      </c>
      <c r="AM154" s="80">
        <v>1</v>
      </c>
      <c r="AN154" s="88" t="s">
        <v>763</v>
      </c>
      <c r="AO154" s="80" t="s">
        <v>766</v>
      </c>
      <c r="AP154" s="80" t="b">
        <v>0</v>
      </c>
      <c r="AQ154" s="88" t="s">
        <v>703</v>
      </c>
      <c r="AR154" s="80" t="s">
        <v>197</v>
      </c>
      <c r="AS154" s="80">
        <v>0</v>
      </c>
      <c r="AT154" s="80">
        <v>0</v>
      </c>
      <c r="AU154" s="80" t="s">
        <v>770</v>
      </c>
      <c r="AV154" s="80" t="s">
        <v>771</v>
      </c>
      <c r="AW154" s="80" t="s">
        <v>772</v>
      </c>
      <c r="AX154" s="80" t="s">
        <v>773</v>
      </c>
      <c r="AY154" s="80" t="s">
        <v>774</v>
      </c>
      <c r="AZ154" s="80" t="s">
        <v>775</v>
      </c>
      <c r="BA154" s="80" t="s">
        <v>776</v>
      </c>
      <c r="BB154" s="84" t="str">
        <f>HYPERLINK("https://api.twitter.com/1.1/geo/id/0af014accd6f6e99.json")</f>
        <v>https://api.twitter.com/1.1/geo/id/0af014accd6f6e99.json</v>
      </c>
      <c r="BC154">
        <v>1</v>
      </c>
      <c r="BD154" s="79" t="str">
        <f>REPLACE(INDEX(GroupVertices[Group],MATCH(Edges[[#This Row],[Vertex 1]],GroupVertices[Vertex],0)),1,1,"")</f>
        <v>13</v>
      </c>
      <c r="BE154" s="79" t="str">
        <f>REPLACE(INDEX(GroupVertices[Group],MATCH(Edges[[#This Row],[Vertex 2]],GroupVertices[Vertex],0)),1,1,"")</f>
        <v>13</v>
      </c>
      <c r="BF154" s="49">
        <v>0</v>
      </c>
      <c r="BG154" s="50">
        <v>0</v>
      </c>
      <c r="BH154" s="49">
        <v>0</v>
      </c>
      <c r="BI154" s="50">
        <v>0</v>
      </c>
      <c r="BJ154" s="49">
        <v>0</v>
      </c>
      <c r="BK154" s="50">
        <v>0</v>
      </c>
      <c r="BL154" s="49">
        <v>12</v>
      </c>
      <c r="BM154" s="50">
        <v>100</v>
      </c>
      <c r="BN154" s="49">
        <v>12</v>
      </c>
    </row>
    <row r="155" spans="1:66" ht="15">
      <c r="A155" s="65" t="s">
        <v>271</v>
      </c>
      <c r="B155" s="65" t="s">
        <v>287</v>
      </c>
      <c r="C155" s="66" t="s">
        <v>2153</v>
      </c>
      <c r="D155" s="67">
        <v>3</v>
      </c>
      <c r="E155" s="66" t="s">
        <v>132</v>
      </c>
      <c r="F155" s="69">
        <v>32</v>
      </c>
      <c r="G155" s="66"/>
      <c r="H155" s="70"/>
      <c r="I155" s="71"/>
      <c r="J155" s="71"/>
      <c r="K155" s="35" t="s">
        <v>65</v>
      </c>
      <c r="L155" s="72">
        <v>155</v>
      </c>
      <c r="M155" s="72"/>
      <c r="N155" s="73"/>
      <c r="O155" s="80" t="s">
        <v>353</v>
      </c>
      <c r="P155" s="82">
        <v>44219.34133101852</v>
      </c>
      <c r="Q155" s="80" t="s">
        <v>405</v>
      </c>
      <c r="R155" s="84" t="str">
        <f>HYPERLINK("https://www.tiess.online/registration?utm_source=Ollie&amp;utm_medium=SM&amp;utm_campaign=TIESS&amp;utm_term=029")</f>
        <v>https://www.tiess.online/registration?utm_source=Ollie&amp;utm_medium=SM&amp;utm_campaign=TIESS&amp;utm_term=029</v>
      </c>
      <c r="S155" s="80" t="s">
        <v>444</v>
      </c>
      <c r="T155" s="80" t="s">
        <v>457</v>
      </c>
      <c r="U155" s="84" t="str">
        <f>HYPERLINK("https://pbs.twimg.com/media/EsZvwrMVEAAm51K.jpg")</f>
        <v>https://pbs.twimg.com/media/EsZvwrMVEAAm51K.jpg</v>
      </c>
      <c r="V155" s="84" t="str">
        <f>HYPERLINK("https://pbs.twimg.com/media/EsZvwrMVEAAm51K.jpg")</f>
        <v>https://pbs.twimg.com/media/EsZvwrMVEAAm51K.jpg</v>
      </c>
      <c r="W155" s="82">
        <v>44219.34133101852</v>
      </c>
      <c r="X155" s="86">
        <v>44219</v>
      </c>
      <c r="Y155" s="88" t="s">
        <v>553</v>
      </c>
      <c r="Z155" s="84" t="str">
        <f>HYPERLINK("https://twitter.com/indiadidac/status/1352891698599223296")</f>
        <v>https://twitter.com/indiadidac/status/1352891698599223296</v>
      </c>
      <c r="AA155" s="80"/>
      <c r="AB155" s="80"/>
      <c r="AC155" s="88" t="s">
        <v>704</v>
      </c>
      <c r="AD155" s="80"/>
      <c r="AE155" s="80" t="b">
        <v>0</v>
      </c>
      <c r="AF155" s="80">
        <v>2</v>
      </c>
      <c r="AG155" s="88" t="s">
        <v>763</v>
      </c>
      <c r="AH155" s="80" t="b">
        <v>0</v>
      </c>
      <c r="AI155" s="80" t="s">
        <v>764</v>
      </c>
      <c r="AJ155" s="80"/>
      <c r="AK155" s="88" t="s">
        <v>763</v>
      </c>
      <c r="AL155" s="80" t="b">
        <v>0</v>
      </c>
      <c r="AM155" s="80">
        <v>0</v>
      </c>
      <c r="AN155" s="88" t="s">
        <v>763</v>
      </c>
      <c r="AO155" s="80" t="s">
        <v>765</v>
      </c>
      <c r="AP155" s="80" t="b">
        <v>0</v>
      </c>
      <c r="AQ155" s="88" t="s">
        <v>704</v>
      </c>
      <c r="AR155" s="80" t="s">
        <v>197</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13</v>
      </c>
      <c r="BF155" s="49">
        <v>1</v>
      </c>
      <c r="BG155" s="50">
        <v>3.3333333333333335</v>
      </c>
      <c r="BH155" s="49">
        <v>0</v>
      </c>
      <c r="BI155" s="50">
        <v>0</v>
      </c>
      <c r="BJ155" s="49">
        <v>0</v>
      </c>
      <c r="BK155" s="50">
        <v>0</v>
      </c>
      <c r="BL155" s="49">
        <v>29</v>
      </c>
      <c r="BM155" s="50">
        <v>96.66666666666667</v>
      </c>
      <c r="BN155" s="49">
        <v>30</v>
      </c>
    </row>
    <row r="156" spans="1:66" ht="15">
      <c r="A156" s="65" t="s">
        <v>271</v>
      </c>
      <c r="B156" s="65" t="s">
        <v>338</v>
      </c>
      <c r="C156" s="66" t="s">
        <v>2153</v>
      </c>
      <c r="D156" s="67">
        <v>3</v>
      </c>
      <c r="E156" s="66" t="s">
        <v>132</v>
      </c>
      <c r="F156" s="69">
        <v>32</v>
      </c>
      <c r="G156" s="66"/>
      <c r="H156" s="70"/>
      <c r="I156" s="71"/>
      <c r="J156" s="71"/>
      <c r="K156" s="35" t="s">
        <v>65</v>
      </c>
      <c r="L156" s="72">
        <v>156</v>
      </c>
      <c r="M156" s="72"/>
      <c r="N156" s="73"/>
      <c r="O156" s="80" t="s">
        <v>353</v>
      </c>
      <c r="P156" s="82">
        <v>44219.34950231481</v>
      </c>
      <c r="Q156" s="80" t="s">
        <v>406</v>
      </c>
      <c r="R156" s="84" t="str">
        <f>HYPERLINK("https://www.tiess.online/registration?utm_source=Michael&amp;utm_medium=SM&amp;utm_campaign=TIESS&amp;utm_term=030")</f>
        <v>https://www.tiess.online/registration?utm_source=Michael&amp;utm_medium=SM&amp;utm_campaign=TIESS&amp;utm_term=030</v>
      </c>
      <c r="S156" s="80" t="s">
        <v>444</v>
      </c>
      <c r="T156" s="80" t="s">
        <v>450</v>
      </c>
      <c r="U156" s="84" t="str">
        <f>HYPERLINK("https://pbs.twimg.com/media/EsZycyyUwAEOe-g.jpg")</f>
        <v>https://pbs.twimg.com/media/EsZycyyUwAEOe-g.jpg</v>
      </c>
      <c r="V156" s="84" t="str">
        <f>HYPERLINK("https://pbs.twimg.com/media/EsZycyyUwAEOe-g.jpg")</f>
        <v>https://pbs.twimg.com/media/EsZycyyUwAEOe-g.jpg</v>
      </c>
      <c r="W156" s="82">
        <v>44219.34950231481</v>
      </c>
      <c r="X156" s="86">
        <v>44219</v>
      </c>
      <c r="Y156" s="88" t="s">
        <v>554</v>
      </c>
      <c r="Z156" s="84" t="str">
        <f>HYPERLINK("https://twitter.com/indiadidac/status/1352894659857530880")</f>
        <v>https://twitter.com/indiadidac/status/1352894659857530880</v>
      </c>
      <c r="AA156" s="80"/>
      <c r="AB156" s="80"/>
      <c r="AC156" s="88" t="s">
        <v>705</v>
      </c>
      <c r="AD156" s="80"/>
      <c r="AE156" s="80" t="b">
        <v>0</v>
      </c>
      <c r="AF156" s="80">
        <v>1</v>
      </c>
      <c r="AG156" s="88" t="s">
        <v>763</v>
      </c>
      <c r="AH156" s="80" t="b">
        <v>0</v>
      </c>
      <c r="AI156" s="80" t="s">
        <v>764</v>
      </c>
      <c r="AJ156" s="80"/>
      <c r="AK156" s="88" t="s">
        <v>763</v>
      </c>
      <c r="AL156" s="80" t="b">
        <v>0</v>
      </c>
      <c r="AM156" s="80">
        <v>0</v>
      </c>
      <c r="AN156" s="88" t="s">
        <v>763</v>
      </c>
      <c r="AO156" s="80" t="s">
        <v>765</v>
      </c>
      <c r="AP156" s="80" t="b">
        <v>0</v>
      </c>
      <c r="AQ156" s="88" t="s">
        <v>705</v>
      </c>
      <c r="AR156" s="80" t="s">
        <v>197</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9">
        <v>1</v>
      </c>
      <c r="BG156" s="50">
        <v>3.0303030303030303</v>
      </c>
      <c r="BH156" s="49">
        <v>0</v>
      </c>
      <c r="BI156" s="50">
        <v>0</v>
      </c>
      <c r="BJ156" s="49">
        <v>0</v>
      </c>
      <c r="BK156" s="50">
        <v>0</v>
      </c>
      <c r="BL156" s="49">
        <v>32</v>
      </c>
      <c r="BM156" s="50">
        <v>96.96969696969697</v>
      </c>
      <c r="BN156" s="49">
        <v>33</v>
      </c>
    </row>
    <row r="157" spans="1:66" ht="15">
      <c r="A157" s="65" t="s">
        <v>288</v>
      </c>
      <c r="B157" s="65" t="s">
        <v>271</v>
      </c>
      <c r="C157" s="66" t="s">
        <v>2153</v>
      </c>
      <c r="D157" s="67">
        <v>3</v>
      </c>
      <c r="E157" s="66" t="s">
        <v>132</v>
      </c>
      <c r="F157" s="69">
        <v>32</v>
      </c>
      <c r="G157" s="66"/>
      <c r="H157" s="70"/>
      <c r="I157" s="71"/>
      <c r="J157" s="71"/>
      <c r="K157" s="35" t="s">
        <v>66</v>
      </c>
      <c r="L157" s="72">
        <v>157</v>
      </c>
      <c r="M157" s="72"/>
      <c r="N157" s="73"/>
      <c r="O157" s="80" t="s">
        <v>351</v>
      </c>
      <c r="P157" s="82">
        <v>44219.65068287037</v>
      </c>
      <c r="Q157" s="80" t="s">
        <v>366</v>
      </c>
      <c r="R157" s="84" t="str">
        <f>HYPERLINK("https://www.tiess.online/registration?utm_source=Manjula&amp;utm_medium=SM&amp;utm_campaign=TIESS&amp;utm_term=035")</f>
        <v>https://www.tiess.online/registration?utm_source=Manjula&amp;utm_medium=SM&amp;utm_campaign=TIESS&amp;utm_term=035</v>
      </c>
      <c r="S157" s="80" t="s">
        <v>444</v>
      </c>
      <c r="T157" s="80" t="s">
        <v>450</v>
      </c>
      <c r="U157" s="84" t="str">
        <f>HYPERLINK("https://pbs.twimg.com/media/EsaYJWbUUAEqSrE.jpg")</f>
        <v>https://pbs.twimg.com/media/EsaYJWbUUAEqSrE.jpg</v>
      </c>
      <c r="V157" s="84" t="str">
        <f>HYPERLINK("https://pbs.twimg.com/media/EsaYJWbUUAEqSrE.jpg")</f>
        <v>https://pbs.twimg.com/media/EsaYJWbUUAEqSrE.jpg</v>
      </c>
      <c r="W157" s="82">
        <v>44219.65068287037</v>
      </c>
      <c r="X157" s="86">
        <v>44219</v>
      </c>
      <c r="Y157" s="88" t="s">
        <v>555</v>
      </c>
      <c r="Z157" s="84" t="str">
        <f>HYPERLINK("https://twitter.com/manjula_d/status/1353003804623577088")</f>
        <v>https://twitter.com/manjula_d/status/1353003804623577088</v>
      </c>
      <c r="AA157" s="80"/>
      <c r="AB157" s="80"/>
      <c r="AC157" s="88" t="s">
        <v>706</v>
      </c>
      <c r="AD157" s="80"/>
      <c r="AE157" s="80" t="b">
        <v>0</v>
      </c>
      <c r="AF157" s="80">
        <v>0</v>
      </c>
      <c r="AG157" s="88" t="s">
        <v>763</v>
      </c>
      <c r="AH157" s="80" t="b">
        <v>0</v>
      </c>
      <c r="AI157" s="80" t="s">
        <v>764</v>
      </c>
      <c r="AJ157" s="80"/>
      <c r="AK157" s="88" t="s">
        <v>763</v>
      </c>
      <c r="AL157" s="80" t="b">
        <v>0</v>
      </c>
      <c r="AM157" s="80">
        <v>2</v>
      </c>
      <c r="AN157" s="88" t="s">
        <v>707</v>
      </c>
      <c r="AO157" s="80" t="s">
        <v>767</v>
      </c>
      <c r="AP157" s="80" t="b">
        <v>0</v>
      </c>
      <c r="AQ157" s="88" t="s">
        <v>707</v>
      </c>
      <c r="AR157" s="80" t="s">
        <v>197</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9">
        <v>1</v>
      </c>
      <c r="BG157" s="50">
        <v>3.5714285714285716</v>
      </c>
      <c r="BH157" s="49">
        <v>0</v>
      </c>
      <c r="BI157" s="50">
        <v>0</v>
      </c>
      <c r="BJ157" s="49">
        <v>0</v>
      </c>
      <c r="BK157" s="50">
        <v>0</v>
      </c>
      <c r="BL157" s="49">
        <v>27</v>
      </c>
      <c r="BM157" s="50">
        <v>96.42857142857143</v>
      </c>
      <c r="BN157" s="49">
        <v>28</v>
      </c>
    </row>
    <row r="158" spans="1:66" ht="15">
      <c r="A158" s="65" t="s">
        <v>271</v>
      </c>
      <c r="B158" s="65" t="s">
        <v>288</v>
      </c>
      <c r="C158" s="66" t="s">
        <v>2153</v>
      </c>
      <c r="D158" s="67">
        <v>3</v>
      </c>
      <c r="E158" s="66" t="s">
        <v>132</v>
      </c>
      <c r="F158" s="69">
        <v>32</v>
      </c>
      <c r="G158" s="66"/>
      <c r="H158" s="70"/>
      <c r="I158" s="71"/>
      <c r="J158" s="71"/>
      <c r="K158" s="35" t="s">
        <v>66</v>
      </c>
      <c r="L158" s="72">
        <v>158</v>
      </c>
      <c r="M158" s="72"/>
      <c r="N158" s="73"/>
      <c r="O158" s="80" t="s">
        <v>353</v>
      </c>
      <c r="P158" s="82">
        <v>44219.463854166665</v>
      </c>
      <c r="Q158" s="80" t="s">
        <v>366</v>
      </c>
      <c r="R158" s="84" t="str">
        <f>HYPERLINK("https://www.tiess.online/registration?utm_source=Manjula&amp;utm_medium=SM&amp;utm_campaign=TIESS&amp;utm_term=035")</f>
        <v>https://www.tiess.online/registration?utm_source=Manjula&amp;utm_medium=SM&amp;utm_campaign=TIESS&amp;utm_term=035</v>
      </c>
      <c r="S158" s="80" t="s">
        <v>444</v>
      </c>
      <c r="T158" s="80" t="s">
        <v>450</v>
      </c>
      <c r="U158" s="84" t="str">
        <f>HYPERLINK("https://pbs.twimg.com/media/EsaYJWbUUAEqSrE.jpg")</f>
        <v>https://pbs.twimg.com/media/EsaYJWbUUAEqSrE.jpg</v>
      </c>
      <c r="V158" s="84" t="str">
        <f>HYPERLINK("https://pbs.twimg.com/media/EsaYJWbUUAEqSrE.jpg")</f>
        <v>https://pbs.twimg.com/media/EsaYJWbUUAEqSrE.jpg</v>
      </c>
      <c r="W158" s="82">
        <v>44219.463854166665</v>
      </c>
      <c r="X158" s="86">
        <v>44219</v>
      </c>
      <c r="Y158" s="88" t="s">
        <v>556</v>
      </c>
      <c r="Z158" s="84" t="str">
        <f>HYPERLINK("https://twitter.com/indiadidac/status/1352936102189912064")</f>
        <v>https://twitter.com/indiadidac/status/1352936102189912064</v>
      </c>
      <c r="AA158" s="80"/>
      <c r="AB158" s="80"/>
      <c r="AC158" s="88" t="s">
        <v>707</v>
      </c>
      <c r="AD158" s="80"/>
      <c r="AE158" s="80" t="b">
        <v>0</v>
      </c>
      <c r="AF158" s="80">
        <v>6</v>
      </c>
      <c r="AG158" s="88" t="s">
        <v>763</v>
      </c>
      <c r="AH158" s="80" t="b">
        <v>0</v>
      </c>
      <c r="AI158" s="80" t="s">
        <v>764</v>
      </c>
      <c r="AJ158" s="80"/>
      <c r="AK158" s="88" t="s">
        <v>763</v>
      </c>
      <c r="AL158" s="80" t="b">
        <v>0</v>
      </c>
      <c r="AM158" s="80">
        <v>2</v>
      </c>
      <c r="AN158" s="88" t="s">
        <v>763</v>
      </c>
      <c r="AO158" s="80" t="s">
        <v>765</v>
      </c>
      <c r="AP158" s="80" t="b">
        <v>0</v>
      </c>
      <c r="AQ158" s="88" t="s">
        <v>707</v>
      </c>
      <c r="AR158" s="80" t="s">
        <v>197</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9">
        <v>1</v>
      </c>
      <c r="BG158" s="50">
        <v>3.5714285714285716</v>
      </c>
      <c r="BH158" s="49">
        <v>0</v>
      </c>
      <c r="BI158" s="50">
        <v>0</v>
      </c>
      <c r="BJ158" s="49">
        <v>0</v>
      </c>
      <c r="BK158" s="50">
        <v>0</v>
      </c>
      <c r="BL158" s="49">
        <v>27</v>
      </c>
      <c r="BM158" s="50">
        <v>96.42857142857143</v>
      </c>
      <c r="BN158" s="49">
        <v>28</v>
      </c>
    </row>
    <row r="159" spans="1:66" ht="15">
      <c r="A159" s="65" t="s">
        <v>271</v>
      </c>
      <c r="B159" s="65" t="s">
        <v>339</v>
      </c>
      <c r="C159" s="66" t="s">
        <v>2153</v>
      </c>
      <c r="D159" s="67">
        <v>3</v>
      </c>
      <c r="E159" s="66" t="s">
        <v>132</v>
      </c>
      <c r="F159" s="69">
        <v>32</v>
      </c>
      <c r="G159" s="66"/>
      <c r="H159" s="70"/>
      <c r="I159" s="71"/>
      <c r="J159" s="71"/>
      <c r="K159" s="35" t="s">
        <v>65</v>
      </c>
      <c r="L159" s="72">
        <v>159</v>
      </c>
      <c r="M159" s="72"/>
      <c r="N159" s="73"/>
      <c r="O159" s="80" t="s">
        <v>353</v>
      </c>
      <c r="P159" s="82">
        <v>44221.5724537037</v>
      </c>
      <c r="Q159" s="80" t="s">
        <v>407</v>
      </c>
      <c r="R159" s="84" t="str">
        <f>HYPERLINK("https://www.tiess.online/registration?utm_source=Anju&amp;utm_medium=Sharma&amp;utm_campaign=TIESS&amp;utm_term=044")</f>
        <v>https://www.tiess.online/registration?utm_source=Anju&amp;utm_medium=Sharma&amp;utm_campaign=TIESS&amp;utm_term=044</v>
      </c>
      <c r="S159" s="80" t="s">
        <v>444</v>
      </c>
      <c r="T159" s="80" t="s">
        <v>450</v>
      </c>
      <c r="U159" s="84" t="str">
        <f>HYPERLINK("https://pbs.twimg.com/media/EslO-K0UYAAfRXZ.jpg")</f>
        <v>https://pbs.twimg.com/media/EslO-K0UYAAfRXZ.jpg</v>
      </c>
      <c r="V159" s="84" t="str">
        <f>HYPERLINK("https://pbs.twimg.com/media/EslO-K0UYAAfRXZ.jpg")</f>
        <v>https://pbs.twimg.com/media/EslO-K0UYAAfRXZ.jpg</v>
      </c>
      <c r="W159" s="82">
        <v>44221.5724537037</v>
      </c>
      <c r="X159" s="86">
        <v>44221</v>
      </c>
      <c r="Y159" s="88" t="s">
        <v>557</v>
      </c>
      <c r="Z159" s="84" t="str">
        <f>HYPERLINK("https://twitter.com/indiadidac/status/1353700232026968065")</f>
        <v>https://twitter.com/indiadidac/status/1353700232026968065</v>
      </c>
      <c r="AA159" s="80"/>
      <c r="AB159" s="80"/>
      <c r="AC159" s="88" t="s">
        <v>708</v>
      </c>
      <c r="AD159" s="80"/>
      <c r="AE159" s="80" t="b">
        <v>0</v>
      </c>
      <c r="AF159" s="80">
        <v>4</v>
      </c>
      <c r="AG159" s="88" t="s">
        <v>763</v>
      </c>
      <c r="AH159" s="80" t="b">
        <v>0</v>
      </c>
      <c r="AI159" s="80" t="s">
        <v>764</v>
      </c>
      <c r="AJ159" s="80"/>
      <c r="AK159" s="88" t="s">
        <v>763</v>
      </c>
      <c r="AL159" s="80" t="b">
        <v>0</v>
      </c>
      <c r="AM159" s="80">
        <v>0</v>
      </c>
      <c r="AN159" s="88" t="s">
        <v>763</v>
      </c>
      <c r="AO159" s="80" t="s">
        <v>765</v>
      </c>
      <c r="AP159" s="80" t="b">
        <v>0</v>
      </c>
      <c r="AQ159" s="88" t="s">
        <v>708</v>
      </c>
      <c r="AR159" s="80" t="s">
        <v>197</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9">
        <v>1</v>
      </c>
      <c r="BG159" s="50">
        <v>3.3333333333333335</v>
      </c>
      <c r="BH159" s="49">
        <v>0</v>
      </c>
      <c r="BI159" s="50">
        <v>0</v>
      </c>
      <c r="BJ159" s="49">
        <v>0</v>
      </c>
      <c r="BK159" s="50">
        <v>0</v>
      </c>
      <c r="BL159" s="49">
        <v>29</v>
      </c>
      <c r="BM159" s="50">
        <v>96.66666666666667</v>
      </c>
      <c r="BN159" s="49">
        <v>30</v>
      </c>
    </row>
    <row r="160" spans="1:66" ht="15">
      <c r="A160" s="65" t="s">
        <v>271</v>
      </c>
      <c r="B160" s="65" t="s">
        <v>340</v>
      </c>
      <c r="C160" s="66" t="s">
        <v>2153</v>
      </c>
      <c r="D160" s="67">
        <v>3</v>
      </c>
      <c r="E160" s="66" t="s">
        <v>132</v>
      </c>
      <c r="F160" s="69">
        <v>32</v>
      </c>
      <c r="G160" s="66"/>
      <c r="H160" s="70"/>
      <c r="I160" s="71"/>
      <c r="J160" s="71"/>
      <c r="K160" s="35" t="s">
        <v>65</v>
      </c>
      <c r="L160" s="72">
        <v>160</v>
      </c>
      <c r="M160" s="72"/>
      <c r="N160" s="73"/>
      <c r="O160" s="80" t="s">
        <v>353</v>
      </c>
      <c r="P160" s="82">
        <v>44222.46986111111</v>
      </c>
      <c r="Q160" s="80" t="s">
        <v>408</v>
      </c>
      <c r="R160" s="84" t="str">
        <f>HYPERLINK("https://www.tiess.online/registration?utm_source=sisodia&amp;utm_medium=SM&amp;utm_campaign=TIESS&amp;utm_term=049")</f>
        <v>https://www.tiess.online/registration?utm_source=sisodia&amp;utm_medium=SM&amp;utm_campaign=TIESS&amp;utm_term=049</v>
      </c>
      <c r="S160" s="80" t="s">
        <v>444</v>
      </c>
      <c r="T160" s="80" t="s">
        <v>451</v>
      </c>
      <c r="U160" s="84" t="str">
        <f>HYPERLINK("https://pbs.twimg.com/media/Esp2zmVU4AMJL3y.jpg")</f>
        <v>https://pbs.twimg.com/media/Esp2zmVU4AMJL3y.jpg</v>
      </c>
      <c r="V160" s="84" t="str">
        <f>HYPERLINK("https://pbs.twimg.com/media/Esp2zmVU4AMJL3y.jpg")</f>
        <v>https://pbs.twimg.com/media/Esp2zmVU4AMJL3y.jpg</v>
      </c>
      <c r="W160" s="82">
        <v>44222.46986111111</v>
      </c>
      <c r="X160" s="86">
        <v>44222</v>
      </c>
      <c r="Y160" s="88" t="s">
        <v>558</v>
      </c>
      <c r="Z160" s="84" t="str">
        <f>HYPERLINK("https://twitter.com/indiadidac/status/1354025440386576385")</f>
        <v>https://twitter.com/indiadidac/status/1354025440386576385</v>
      </c>
      <c r="AA160" s="80"/>
      <c r="AB160" s="80"/>
      <c r="AC160" s="88" t="s">
        <v>709</v>
      </c>
      <c r="AD160" s="80"/>
      <c r="AE160" s="80" t="b">
        <v>0</v>
      </c>
      <c r="AF160" s="80">
        <v>3</v>
      </c>
      <c r="AG160" s="88" t="s">
        <v>763</v>
      </c>
      <c r="AH160" s="80" t="b">
        <v>0</v>
      </c>
      <c r="AI160" s="80" t="s">
        <v>764</v>
      </c>
      <c r="AJ160" s="80"/>
      <c r="AK160" s="88" t="s">
        <v>763</v>
      </c>
      <c r="AL160" s="80" t="b">
        <v>0</v>
      </c>
      <c r="AM160" s="80">
        <v>0</v>
      </c>
      <c r="AN160" s="88" t="s">
        <v>763</v>
      </c>
      <c r="AO160" s="80" t="s">
        <v>765</v>
      </c>
      <c r="AP160" s="80" t="b">
        <v>0</v>
      </c>
      <c r="AQ160" s="88" t="s">
        <v>709</v>
      </c>
      <c r="AR160" s="80" t="s">
        <v>197</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9">
        <v>1</v>
      </c>
      <c r="BG160" s="50">
        <v>2.9411764705882355</v>
      </c>
      <c r="BH160" s="49">
        <v>0</v>
      </c>
      <c r="BI160" s="50">
        <v>0</v>
      </c>
      <c r="BJ160" s="49">
        <v>0</v>
      </c>
      <c r="BK160" s="50">
        <v>0</v>
      </c>
      <c r="BL160" s="49">
        <v>33</v>
      </c>
      <c r="BM160" s="50">
        <v>97.05882352941177</v>
      </c>
      <c r="BN160" s="49">
        <v>34</v>
      </c>
    </row>
    <row r="161" spans="1:66" ht="15">
      <c r="A161" s="65" t="s">
        <v>274</v>
      </c>
      <c r="B161" s="65" t="s">
        <v>271</v>
      </c>
      <c r="C161" s="66" t="s">
        <v>2156</v>
      </c>
      <c r="D161" s="67">
        <v>10</v>
      </c>
      <c r="E161" s="66" t="s">
        <v>136</v>
      </c>
      <c r="F161" s="69">
        <v>27.894736842105264</v>
      </c>
      <c r="G161" s="66"/>
      <c r="H161" s="70"/>
      <c r="I161" s="71"/>
      <c r="J161" s="71"/>
      <c r="K161" s="35" t="s">
        <v>66</v>
      </c>
      <c r="L161" s="72">
        <v>161</v>
      </c>
      <c r="M161" s="72"/>
      <c r="N161" s="73"/>
      <c r="O161" s="80" t="s">
        <v>351</v>
      </c>
      <c r="P161" s="82">
        <v>44216.48809027778</v>
      </c>
      <c r="Q161" s="80" t="s">
        <v>360</v>
      </c>
      <c r="R161" s="84" t="str">
        <f>HYPERLINK("https://www.tiess.online/registration?utm_source=SM&amp;utm_medium=Vincent&amp;utm_campaign=TIESS&amp;utm_term=018")</f>
        <v>https://www.tiess.online/registration?utm_source=SM&amp;utm_medium=Vincent&amp;utm_campaign=TIESS&amp;utm_term=018</v>
      </c>
      <c r="S161" s="80" t="s">
        <v>444</v>
      </c>
      <c r="T161" s="80" t="s">
        <v>450</v>
      </c>
      <c r="U161" s="84" t="str">
        <f>HYPERLINK("https://pbs.twimg.com/media/EsK26ZcVcAEapSV.jpg")</f>
        <v>https://pbs.twimg.com/media/EsK26ZcVcAEapSV.jpg</v>
      </c>
      <c r="V161" s="84" t="str">
        <f>HYPERLINK("https://pbs.twimg.com/media/EsK26ZcVcAEapSV.jpg")</f>
        <v>https://pbs.twimg.com/media/EsK26ZcVcAEapSV.jpg</v>
      </c>
      <c r="W161" s="82">
        <v>44216.48809027778</v>
      </c>
      <c r="X161" s="86">
        <v>44216</v>
      </c>
      <c r="Y161" s="88" t="s">
        <v>503</v>
      </c>
      <c r="Z161" s="84" t="str">
        <f>HYPERLINK("https://twitter.com/gavindk/status/1351857720375320576")</f>
        <v>https://twitter.com/gavindk/status/1351857720375320576</v>
      </c>
      <c r="AA161" s="80"/>
      <c r="AB161" s="80"/>
      <c r="AC161" s="88" t="s">
        <v>654</v>
      </c>
      <c r="AD161" s="80"/>
      <c r="AE161" s="80" t="b">
        <v>0</v>
      </c>
      <c r="AF161" s="80">
        <v>0</v>
      </c>
      <c r="AG161" s="88" t="s">
        <v>763</v>
      </c>
      <c r="AH161" s="80" t="b">
        <v>0</v>
      </c>
      <c r="AI161" s="80" t="s">
        <v>764</v>
      </c>
      <c r="AJ161" s="80"/>
      <c r="AK161" s="88" t="s">
        <v>763</v>
      </c>
      <c r="AL161" s="80" t="b">
        <v>0</v>
      </c>
      <c r="AM161" s="80">
        <v>3</v>
      </c>
      <c r="AN161" s="88" t="s">
        <v>655</v>
      </c>
      <c r="AO161" s="80" t="s">
        <v>765</v>
      </c>
      <c r="AP161" s="80" t="b">
        <v>0</v>
      </c>
      <c r="AQ161" s="88" t="s">
        <v>655</v>
      </c>
      <c r="AR161" s="80" t="s">
        <v>197</v>
      </c>
      <c r="AS161" s="80">
        <v>0</v>
      </c>
      <c r="AT161" s="80">
        <v>0</v>
      </c>
      <c r="AU161" s="80"/>
      <c r="AV161" s="80"/>
      <c r="AW161" s="80"/>
      <c r="AX161" s="80"/>
      <c r="AY161" s="80"/>
      <c r="AZ161" s="80"/>
      <c r="BA161" s="80"/>
      <c r="BB161" s="80"/>
      <c r="BC161">
        <v>4</v>
      </c>
      <c r="BD161" s="79" t="str">
        <f>REPLACE(INDEX(GroupVertices[Group],MATCH(Edges[[#This Row],[Vertex 1]],GroupVertices[Vertex],0)),1,1,"")</f>
        <v>3</v>
      </c>
      <c r="BE161" s="79" t="str">
        <f>REPLACE(INDEX(GroupVertices[Group],MATCH(Edges[[#This Row],[Vertex 2]],GroupVertices[Vertex],0)),1,1,"")</f>
        <v>1</v>
      </c>
      <c r="BF161" s="49">
        <v>0</v>
      </c>
      <c r="BG161" s="50">
        <v>0</v>
      </c>
      <c r="BH161" s="49">
        <v>0</v>
      </c>
      <c r="BI161" s="50">
        <v>0</v>
      </c>
      <c r="BJ161" s="49">
        <v>0</v>
      </c>
      <c r="BK161" s="50">
        <v>0</v>
      </c>
      <c r="BL161" s="49">
        <v>30</v>
      </c>
      <c r="BM161" s="50">
        <v>100</v>
      </c>
      <c r="BN161" s="49">
        <v>30</v>
      </c>
    </row>
    <row r="162" spans="1:66" ht="15">
      <c r="A162" s="65" t="s">
        <v>274</v>
      </c>
      <c r="B162" s="65" t="s">
        <v>271</v>
      </c>
      <c r="C162" s="66" t="s">
        <v>2156</v>
      </c>
      <c r="D162" s="67">
        <v>10</v>
      </c>
      <c r="E162" s="66" t="s">
        <v>136</v>
      </c>
      <c r="F162" s="69">
        <v>27.894736842105264</v>
      </c>
      <c r="G162" s="66"/>
      <c r="H162" s="70"/>
      <c r="I162" s="71"/>
      <c r="J162" s="71"/>
      <c r="K162" s="35" t="s">
        <v>66</v>
      </c>
      <c r="L162" s="72">
        <v>162</v>
      </c>
      <c r="M162" s="72"/>
      <c r="N162" s="73"/>
      <c r="O162" s="80" t="s">
        <v>351</v>
      </c>
      <c r="P162" s="82">
        <v>44218.48719907407</v>
      </c>
      <c r="Q162" s="80" t="s">
        <v>388</v>
      </c>
      <c r="R162" s="84" t="str">
        <f>HYPERLINK("https://www.tiess.online/registration?utm_source=SM&amp;utm_medium=Tim&amp;utm_campaign=TIESS&amp;utm_term=010")</f>
        <v>https://www.tiess.online/registration?utm_source=SM&amp;utm_medium=Tim&amp;utm_campaign=TIESS&amp;utm_term=010</v>
      </c>
      <c r="S162" s="80" t="s">
        <v>444</v>
      </c>
      <c r="T162" s="80" t="s">
        <v>450</v>
      </c>
      <c r="U162" s="84" t="str">
        <f>HYPERLINK("https://pbs.twimg.com/media/EsVHjnWVcAIPA3y.jpg")</f>
        <v>https://pbs.twimg.com/media/EsVHjnWVcAIPA3y.jpg</v>
      </c>
      <c r="V162" s="84" t="str">
        <f>HYPERLINK("https://pbs.twimg.com/media/EsVHjnWVcAIPA3y.jpg")</f>
        <v>https://pbs.twimg.com/media/EsVHjnWVcAIPA3y.jpg</v>
      </c>
      <c r="W162" s="82">
        <v>44218.48719907407</v>
      </c>
      <c r="X162" s="86">
        <v>44218</v>
      </c>
      <c r="Y162" s="88" t="s">
        <v>529</v>
      </c>
      <c r="Z162" s="84" t="str">
        <f>HYPERLINK("https://twitter.com/gavindk/status/1352582174596358147")</f>
        <v>https://twitter.com/gavindk/status/1352582174596358147</v>
      </c>
      <c r="AA162" s="80"/>
      <c r="AB162" s="80"/>
      <c r="AC162" s="88" t="s">
        <v>680</v>
      </c>
      <c r="AD162" s="80"/>
      <c r="AE162" s="80" t="b">
        <v>0</v>
      </c>
      <c r="AF162" s="80">
        <v>0</v>
      </c>
      <c r="AG162" s="88" t="s">
        <v>763</v>
      </c>
      <c r="AH162" s="80" t="b">
        <v>0</v>
      </c>
      <c r="AI162" s="80" t="s">
        <v>764</v>
      </c>
      <c r="AJ162" s="80"/>
      <c r="AK162" s="88" t="s">
        <v>763</v>
      </c>
      <c r="AL162" s="80" t="b">
        <v>0</v>
      </c>
      <c r="AM162" s="80">
        <v>1</v>
      </c>
      <c r="AN162" s="88" t="s">
        <v>682</v>
      </c>
      <c r="AO162" s="80" t="s">
        <v>765</v>
      </c>
      <c r="AP162" s="80" t="b">
        <v>0</v>
      </c>
      <c r="AQ162" s="88" t="s">
        <v>682</v>
      </c>
      <c r="AR162" s="80" t="s">
        <v>197</v>
      </c>
      <c r="AS162" s="80">
        <v>0</v>
      </c>
      <c r="AT162" s="80">
        <v>0</v>
      </c>
      <c r="AU162" s="80"/>
      <c r="AV162" s="80"/>
      <c r="AW162" s="80"/>
      <c r="AX162" s="80"/>
      <c r="AY162" s="80"/>
      <c r="AZ162" s="80"/>
      <c r="BA162" s="80"/>
      <c r="BB162" s="80"/>
      <c r="BC162">
        <v>4</v>
      </c>
      <c r="BD162" s="79" t="str">
        <f>REPLACE(INDEX(GroupVertices[Group],MATCH(Edges[[#This Row],[Vertex 1]],GroupVertices[Vertex],0)),1,1,"")</f>
        <v>3</v>
      </c>
      <c r="BE162" s="79" t="str">
        <f>REPLACE(INDEX(GroupVertices[Group],MATCH(Edges[[#This Row],[Vertex 2]],GroupVertices[Vertex],0)),1,1,"")</f>
        <v>1</v>
      </c>
      <c r="BF162" s="49"/>
      <c r="BG162" s="50"/>
      <c r="BH162" s="49"/>
      <c r="BI162" s="50"/>
      <c r="BJ162" s="49"/>
      <c r="BK162" s="50"/>
      <c r="BL162" s="49"/>
      <c r="BM162" s="50"/>
      <c r="BN162" s="49"/>
    </row>
    <row r="163" spans="1:66" ht="15">
      <c r="A163" s="65" t="s">
        <v>274</v>
      </c>
      <c r="B163" s="65" t="s">
        <v>271</v>
      </c>
      <c r="C163" s="66" t="s">
        <v>2156</v>
      </c>
      <c r="D163" s="67">
        <v>10</v>
      </c>
      <c r="E163" s="66" t="s">
        <v>136</v>
      </c>
      <c r="F163" s="69">
        <v>27.894736842105264</v>
      </c>
      <c r="G163" s="66"/>
      <c r="H163" s="70"/>
      <c r="I163" s="71"/>
      <c r="J163" s="71"/>
      <c r="K163" s="35" t="s">
        <v>66</v>
      </c>
      <c r="L163" s="72">
        <v>163</v>
      </c>
      <c r="M163" s="72"/>
      <c r="N163" s="73"/>
      <c r="O163" s="80" t="s">
        <v>351</v>
      </c>
      <c r="P163" s="82">
        <v>44220.794386574074</v>
      </c>
      <c r="Q163" s="80" t="s">
        <v>389</v>
      </c>
      <c r="R163" s="80"/>
      <c r="S163" s="80"/>
      <c r="T163" s="80" t="s">
        <v>450</v>
      </c>
      <c r="U163" s="84" t="str">
        <f>HYPERLINK("https://pbs.twimg.com/media/EsgPDwCUcAYZq66.jpg")</f>
        <v>https://pbs.twimg.com/media/EsgPDwCUcAYZq66.jpg</v>
      </c>
      <c r="V163" s="84" t="str">
        <f>HYPERLINK("https://pbs.twimg.com/media/EsgPDwCUcAYZq66.jpg")</f>
        <v>https://pbs.twimg.com/media/EsgPDwCUcAYZq66.jpg</v>
      </c>
      <c r="W163" s="82">
        <v>44220.794386574074</v>
      </c>
      <c r="X163" s="86">
        <v>44220</v>
      </c>
      <c r="Y163" s="88" t="s">
        <v>559</v>
      </c>
      <c r="Z163" s="84" t="str">
        <f>HYPERLINK("https://twitter.com/gavindk/status/1353418268443357184")</f>
        <v>https://twitter.com/gavindk/status/1353418268443357184</v>
      </c>
      <c r="AA163" s="80"/>
      <c r="AB163" s="80"/>
      <c r="AC163" s="88" t="s">
        <v>710</v>
      </c>
      <c r="AD163" s="80"/>
      <c r="AE163" s="80" t="b">
        <v>0</v>
      </c>
      <c r="AF163" s="80">
        <v>0</v>
      </c>
      <c r="AG163" s="88" t="s">
        <v>763</v>
      </c>
      <c r="AH163" s="80" t="b">
        <v>0</v>
      </c>
      <c r="AI163" s="80" t="s">
        <v>764</v>
      </c>
      <c r="AJ163" s="80"/>
      <c r="AK163" s="88" t="s">
        <v>763</v>
      </c>
      <c r="AL163" s="80" t="b">
        <v>0</v>
      </c>
      <c r="AM163" s="80">
        <v>2</v>
      </c>
      <c r="AN163" s="88" t="s">
        <v>753</v>
      </c>
      <c r="AO163" s="80" t="s">
        <v>765</v>
      </c>
      <c r="AP163" s="80" t="b">
        <v>0</v>
      </c>
      <c r="AQ163" s="88" t="s">
        <v>753</v>
      </c>
      <c r="AR163" s="80" t="s">
        <v>197</v>
      </c>
      <c r="AS163" s="80">
        <v>0</v>
      </c>
      <c r="AT163" s="80">
        <v>0</v>
      </c>
      <c r="AU163" s="80"/>
      <c r="AV163" s="80"/>
      <c r="AW163" s="80"/>
      <c r="AX163" s="80"/>
      <c r="AY163" s="80"/>
      <c r="AZ163" s="80"/>
      <c r="BA163" s="80"/>
      <c r="BB163" s="80"/>
      <c r="BC163">
        <v>4</v>
      </c>
      <c r="BD163" s="79" t="str">
        <f>REPLACE(INDEX(GroupVertices[Group],MATCH(Edges[[#This Row],[Vertex 1]],GroupVertices[Vertex],0)),1,1,"")</f>
        <v>3</v>
      </c>
      <c r="BE163" s="79" t="str">
        <f>REPLACE(INDEX(GroupVertices[Group],MATCH(Edges[[#This Row],[Vertex 2]],GroupVertices[Vertex],0)),1,1,"")</f>
        <v>1</v>
      </c>
      <c r="BF163" s="49">
        <v>2</v>
      </c>
      <c r="BG163" s="50">
        <v>5.555555555555555</v>
      </c>
      <c r="BH163" s="49">
        <v>0</v>
      </c>
      <c r="BI163" s="50">
        <v>0</v>
      </c>
      <c r="BJ163" s="49">
        <v>0</v>
      </c>
      <c r="BK163" s="50">
        <v>0</v>
      </c>
      <c r="BL163" s="49">
        <v>34</v>
      </c>
      <c r="BM163" s="50">
        <v>94.44444444444444</v>
      </c>
      <c r="BN163" s="49">
        <v>36</v>
      </c>
    </row>
    <row r="164" spans="1:66" ht="15">
      <c r="A164" s="65" t="s">
        <v>274</v>
      </c>
      <c r="B164" s="65" t="s">
        <v>271</v>
      </c>
      <c r="C164" s="66" t="s">
        <v>2156</v>
      </c>
      <c r="D164" s="67">
        <v>10</v>
      </c>
      <c r="E164" s="66" t="s">
        <v>136</v>
      </c>
      <c r="F164" s="69">
        <v>27.894736842105264</v>
      </c>
      <c r="G164" s="66"/>
      <c r="H164" s="70"/>
      <c r="I164" s="71"/>
      <c r="J164" s="71"/>
      <c r="K164" s="35" t="s">
        <v>66</v>
      </c>
      <c r="L164" s="72">
        <v>164</v>
      </c>
      <c r="M164" s="72"/>
      <c r="N164" s="73"/>
      <c r="O164" s="80" t="s">
        <v>351</v>
      </c>
      <c r="P164" s="82">
        <v>44221.54524305555</v>
      </c>
      <c r="Q164" s="80" t="s">
        <v>369</v>
      </c>
      <c r="R164" s="80"/>
      <c r="S164" s="80"/>
      <c r="T164" s="80" t="s">
        <v>454</v>
      </c>
      <c r="U164" s="84" t="str">
        <f>HYPERLINK("https://pbs.twimg.com/media/EskiR9xVEAYLaX3.jpg")</f>
        <v>https://pbs.twimg.com/media/EskiR9xVEAYLaX3.jpg</v>
      </c>
      <c r="V164" s="84" t="str">
        <f>HYPERLINK("https://pbs.twimg.com/media/EskiR9xVEAYLaX3.jpg")</f>
        <v>https://pbs.twimg.com/media/EskiR9xVEAYLaX3.jpg</v>
      </c>
      <c r="W164" s="82">
        <v>44221.54524305555</v>
      </c>
      <c r="X164" s="86">
        <v>44221</v>
      </c>
      <c r="Y164" s="88" t="s">
        <v>560</v>
      </c>
      <c r="Z164" s="84" t="str">
        <f>HYPERLINK("https://twitter.com/gavindk/status/1353690369167392768")</f>
        <v>https://twitter.com/gavindk/status/1353690369167392768</v>
      </c>
      <c r="AA164" s="80"/>
      <c r="AB164" s="80"/>
      <c r="AC164" s="88" t="s">
        <v>711</v>
      </c>
      <c r="AD164" s="80"/>
      <c r="AE164" s="80" t="b">
        <v>0</v>
      </c>
      <c r="AF164" s="80">
        <v>0</v>
      </c>
      <c r="AG164" s="88" t="s">
        <v>763</v>
      </c>
      <c r="AH164" s="80" t="b">
        <v>0</v>
      </c>
      <c r="AI164" s="80" t="s">
        <v>764</v>
      </c>
      <c r="AJ164" s="80"/>
      <c r="AK164" s="88" t="s">
        <v>763</v>
      </c>
      <c r="AL164" s="80" t="b">
        <v>0</v>
      </c>
      <c r="AM164" s="80">
        <v>2</v>
      </c>
      <c r="AN164" s="88" t="s">
        <v>754</v>
      </c>
      <c r="AO164" s="80" t="s">
        <v>765</v>
      </c>
      <c r="AP164" s="80" t="b">
        <v>0</v>
      </c>
      <c r="AQ164" s="88" t="s">
        <v>754</v>
      </c>
      <c r="AR164" s="80" t="s">
        <v>197</v>
      </c>
      <c r="AS164" s="80">
        <v>0</v>
      </c>
      <c r="AT164" s="80">
        <v>0</v>
      </c>
      <c r="AU164" s="80"/>
      <c r="AV164" s="80"/>
      <c r="AW164" s="80"/>
      <c r="AX164" s="80"/>
      <c r="AY164" s="80"/>
      <c r="AZ164" s="80"/>
      <c r="BA164" s="80"/>
      <c r="BB164" s="80"/>
      <c r="BC164">
        <v>4</v>
      </c>
      <c r="BD164" s="79" t="str">
        <f>REPLACE(INDEX(GroupVertices[Group],MATCH(Edges[[#This Row],[Vertex 1]],GroupVertices[Vertex],0)),1,1,"")</f>
        <v>3</v>
      </c>
      <c r="BE164" s="79" t="str">
        <f>REPLACE(INDEX(GroupVertices[Group],MATCH(Edges[[#This Row],[Vertex 2]],GroupVertices[Vertex],0)),1,1,"")</f>
        <v>1</v>
      </c>
      <c r="BF164" s="49">
        <v>2</v>
      </c>
      <c r="BG164" s="50">
        <v>5.555555555555555</v>
      </c>
      <c r="BH164" s="49">
        <v>0</v>
      </c>
      <c r="BI164" s="50">
        <v>0</v>
      </c>
      <c r="BJ164" s="49">
        <v>0</v>
      </c>
      <c r="BK164" s="50">
        <v>0</v>
      </c>
      <c r="BL164" s="49">
        <v>34</v>
      </c>
      <c r="BM164" s="50">
        <v>94.44444444444444</v>
      </c>
      <c r="BN164" s="49">
        <v>36</v>
      </c>
    </row>
    <row r="165" spans="1:66" ht="15">
      <c r="A165" s="65" t="s">
        <v>271</v>
      </c>
      <c r="B165" s="65" t="s">
        <v>274</v>
      </c>
      <c r="C165" s="66" t="s">
        <v>2153</v>
      </c>
      <c r="D165" s="67">
        <v>3</v>
      </c>
      <c r="E165" s="66" t="s">
        <v>132</v>
      </c>
      <c r="F165" s="69">
        <v>32</v>
      </c>
      <c r="G165" s="66"/>
      <c r="H165" s="70"/>
      <c r="I165" s="71"/>
      <c r="J165" s="71"/>
      <c r="K165" s="35" t="s">
        <v>66</v>
      </c>
      <c r="L165" s="72">
        <v>165</v>
      </c>
      <c r="M165" s="72"/>
      <c r="N165" s="73"/>
      <c r="O165" s="80" t="s">
        <v>353</v>
      </c>
      <c r="P165" s="82">
        <v>44222.522199074076</v>
      </c>
      <c r="Q165" s="80" t="s">
        <v>409</v>
      </c>
      <c r="R165" s="84" t="str">
        <f>HYPERLINK("https://www.tiess.online/registration?utm_source=Gavin&amp;utm_medium=SM&amp;utm_campaign=TIESS&amp;utm_term=050")</f>
        <v>https://www.tiess.online/registration?utm_source=Gavin&amp;utm_medium=SM&amp;utm_campaign=TIESS&amp;utm_term=050</v>
      </c>
      <c r="S165" s="80" t="s">
        <v>444</v>
      </c>
      <c r="T165" s="80" t="s">
        <v>450</v>
      </c>
      <c r="U165" s="84" t="str">
        <f>HYPERLINK("https://pbs.twimg.com/media/EsqH8RzVkAAyyEM.jpg")</f>
        <v>https://pbs.twimg.com/media/EsqH8RzVkAAyyEM.jpg</v>
      </c>
      <c r="V165" s="84" t="str">
        <f>HYPERLINK("https://pbs.twimg.com/media/EsqH8RzVkAAyyEM.jpg")</f>
        <v>https://pbs.twimg.com/media/EsqH8RzVkAAyyEM.jpg</v>
      </c>
      <c r="W165" s="82">
        <v>44222.522199074076</v>
      </c>
      <c r="X165" s="86">
        <v>44222</v>
      </c>
      <c r="Y165" s="88" t="s">
        <v>561</v>
      </c>
      <c r="Z165" s="84" t="str">
        <f>HYPERLINK("https://twitter.com/indiadidac/status/1354044406815363072")</f>
        <v>https://twitter.com/indiadidac/status/1354044406815363072</v>
      </c>
      <c r="AA165" s="80"/>
      <c r="AB165" s="80"/>
      <c r="AC165" s="88" t="s">
        <v>712</v>
      </c>
      <c r="AD165" s="80"/>
      <c r="AE165" s="80" t="b">
        <v>0</v>
      </c>
      <c r="AF165" s="80">
        <v>2</v>
      </c>
      <c r="AG165" s="88" t="s">
        <v>763</v>
      </c>
      <c r="AH165" s="80" t="b">
        <v>0</v>
      </c>
      <c r="AI165" s="80" t="s">
        <v>764</v>
      </c>
      <c r="AJ165" s="80"/>
      <c r="AK165" s="88" t="s">
        <v>763</v>
      </c>
      <c r="AL165" s="80" t="b">
        <v>0</v>
      </c>
      <c r="AM165" s="80">
        <v>0</v>
      </c>
      <c r="AN165" s="88" t="s">
        <v>763</v>
      </c>
      <c r="AO165" s="80" t="s">
        <v>765</v>
      </c>
      <c r="AP165" s="80" t="b">
        <v>0</v>
      </c>
      <c r="AQ165" s="88" t="s">
        <v>712</v>
      </c>
      <c r="AR165" s="80" t="s">
        <v>197</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3</v>
      </c>
      <c r="BF165" s="49">
        <v>1</v>
      </c>
      <c r="BG165" s="50">
        <v>3.125</v>
      </c>
      <c r="BH165" s="49">
        <v>0</v>
      </c>
      <c r="BI165" s="50">
        <v>0</v>
      </c>
      <c r="BJ165" s="49">
        <v>0</v>
      </c>
      <c r="BK165" s="50">
        <v>0</v>
      </c>
      <c r="BL165" s="49">
        <v>31</v>
      </c>
      <c r="BM165" s="50">
        <v>96.875</v>
      </c>
      <c r="BN165" s="49">
        <v>32</v>
      </c>
    </row>
    <row r="166" spans="1:66" ht="15">
      <c r="A166" s="65" t="s">
        <v>271</v>
      </c>
      <c r="B166" s="65" t="s">
        <v>341</v>
      </c>
      <c r="C166" s="66" t="s">
        <v>2153</v>
      </c>
      <c r="D166" s="67">
        <v>3</v>
      </c>
      <c r="E166" s="66" t="s">
        <v>132</v>
      </c>
      <c r="F166" s="69">
        <v>32</v>
      </c>
      <c r="G166" s="66"/>
      <c r="H166" s="70"/>
      <c r="I166" s="71"/>
      <c r="J166" s="71"/>
      <c r="K166" s="35" t="s">
        <v>65</v>
      </c>
      <c r="L166" s="72">
        <v>166</v>
      </c>
      <c r="M166" s="72"/>
      <c r="N166" s="73"/>
      <c r="O166" s="80" t="s">
        <v>353</v>
      </c>
      <c r="P166" s="82">
        <v>44222.54614583333</v>
      </c>
      <c r="Q166" s="80" t="s">
        <v>410</v>
      </c>
      <c r="R166" s="80" t="s">
        <v>443</v>
      </c>
      <c r="S166" s="80" t="s">
        <v>447</v>
      </c>
      <c r="T166" s="80" t="s">
        <v>451</v>
      </c>
      <c r="U166" s="80"/>
      <c r="V166" s="84" t="str">
        <f>HYPERLINK("https://pbs.twimg.com/profile_images/740098508875833344/6nLHLTxJ_normal.jpg")</f>
        <v>https://pbs.twimg.com/profile_images/740098508875833344/6nLHLTxJ_normal.jpg</v>
      </c>
      <c r="W166" s="82">
        <v>44222.54614583333</v>
      </c>
      <c r="X166" s="86">
        <v>44222</v>
      </c>
      <c r="Y166" s="88" t="s">
        <v>562</v>
      </c>
      <c r="Z166" s="84" t="str">
        <f>HYPERLINK("https://twitter.com/indiadidac/status/1354053086218608642")</f>
        <v>https://twitter.com/indiadidac/status/1354053086218608642</v>
      </c>
      <c r="AA166" s="80"/>
      <c r="AB166" s="80"/>
      <c r="AC166" s="88" t="s">
        <v>713</v>
      </c>
      <c r="AD166" s="80"/>
      <c r="AE166" s="80" t="b">
        <v>0</v>
      </c>
      <c r="AF166" s="80">
        <v>1</v>
      </c>
      <c r="AG166" s="88" t="s">
        <v>763</v>
      </c>
      <c r="AH166" s="80" t="b">
        <v>0</v>
      </c>
      <c r="AI166" s="80" t="s">
        <v>764</v>
      </c>
      <c r="AJ166" s="80"/>
      <c r="AK166" s="88" t="s">
        <v>763</v>
      </c>
      <c r="AL166" s="80" t="b">
        <v>0</v>
      </c>
      <c r="AM166" s="80">
        <v>0</v>
      </c>
      <c r="AN166" s="88" t="s">
        <v>763</v>
      </c>
      <c r="AO166" s="80" t="s">
        <v>765</v>
      </c>
      <c r="AP166" s="80" t="b">
        <v>0</v>
      </c>
      <c r="AQ166" s="88" t="s">
        <v>713</v>
      </c>
      <c r="AR166" s="80" t="s">
        <v>197</v>
      </c>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9">
        <v>1</v>
      </c>
      <c r="BG166" s="50">
        <v>4.166666666666667</v>
      </c>
      <c r="BH166" s="49">
        <v>0</v>
      </c>
      <c r="BI166" s="50">
        <v>0</v>
      </c>
      <c r="BJ166" s="49">
        <v>0</v>
      </c>
      <c r="BK166" s="50">
        <v>0</v>
      </c>
      <c r="BL166" s="49">
        <v>23</v>
      </c>
      <c r="BM166" s="50">
        <v>95.83333333333333</v>
      </c>
      <c r="BN166" s="49">
        <v>24</v>
      </c>
    </row>
    <row r="167" spans="1:66" ht="15">
      <c r="A167" s="65" t="s">
        <v>271</v>
      </c>
      <c r="B167" s="65" t="s">
        <v>290</v>
      </c>
      <c r="C167" s="66" t="s">
        <v>2153</v>
      </c>
      <c r="D167" s="67">
        <v>3</v>
      </c>
      <c r="E167" s="66" t="s">
        <v>132</v>
      </c>
      <c r="F167" s="69">
        <v>32</v>
      </c>
      <c r="G167" s="66"/>
      <c r="H167" s="70"/>
      <c r="I167" s="71"/>
      <c r="J167" s="71"/>
      <c r="K167" s="35" t="s">
        <v>66</v>
      </c>
      <c r="L167" s="72">
        <v>167</v>
      </c>
      <c r="M167" s="72"/>
      <c r="N167" s="73"/>
      <c r="O167" s="80" t="s">
        <v>353</v>
      </c>
      <c r="P167" s="82">
        <v>44222.55</v>
      </c>
      <c r="Q167" s="80" t="s">
        <v>411</v>
      </c>
      <c r="R167" s="84" t="str">
        <f>HYPERLINK("https://www.tiess.online/registration?utm_source=SM&amp;utm_medium=Yao&amp;utm_campaign=TIESS&amp;utm_term=009")</f>
        <v>https://www.tiess.online/registration?utm_source=SM&amp;utm_medium=Yao&amp;utm_campaign=TIESS&amp;utm_term=009</v>
      </c>
      <c r="S167" s="80" t="s">
        <v>444</v>
      </c>
      <c r="T167" s="80" t="s">
        <v>458</v>
      </c>
      <c r="U167" s="84" t="str">
        <f>HYPERLINK("https://pbs.twimg.com/media/EsqRKBBUUAAc67-.jpg")</f>
        <v>https://pbs.twimg.com/media/EsqRKBBUUAAc67-.jpg</v>
      </c>
      <c r="V167" s="84" t="str">
        <f>HYPERLINK("https://pbs.twimg.com/media/EsqRKBBUUAAc67-.jpg")</f>
        <v>https://pbs.twimg.com/media/EsqRKBBUUAAc67-.jpg</v>
      </c>
      <c r="W167" s="82">
        <v>44222.55</v>
      </c>
      <c r="X167" s="86">
        <v>44222</v>
      </c>
      <c r="Y167" s="88" t="s">
        <v>563</v>
      </c>
      <c r="Z167" s="84" t="str">
        <f>HYPERLINK("https://twitter.com/indiadidac/status/1354054483286716417")</f>
        <v>https://twitter.com/indiadidac/status/1354054483286716417</v>
      </c>
      <c r="AA167" s="80"/>
      <c r="AB167" s="80"/>
      <c r="AC167" s="88" t="s">
        <v>714</v>
      </c>
      <c r="AD167" s="80"/>
      <c r="AE167" s="80" t="b">
        <v>0</v>
      </c>
      <c r="AF167" s="80">
        <v>8</v>
      </c>
      <c r="AG167" s="88" t="s">
        <v>763</v>
      </c>
      <c r="AH167" s="80" t="b">
        <v>0</v>
      </c>
      <c r="AI167" s="80" t="s">
        <v>764</v>
      </c>
      <c r="AJ167" s="80"/>
      <c r="AK167" s="88" t="s">
        <v>763</v>
      </c>
      <c r="AL167" s="80" t="b">
        <v>0</v>
      </c>
      <c r="AM167" s="80">
        <v>3</v>
      </c>
      <c r="AN167" s="88" t="s">
        <v>763</v>
      </c>
      <c r="AO167" s="80" t="s">
        <v>765</v>
      </c>
      <c r="AP167" s="80" t="b">
        <v>0</v>
      </c>
      <c r="AQ167" s="88" t="s">
        <v>714</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10</v>
      </c>
      <c r="BF167" s="49"/>
      <c r="BG167" s="50"/>
      <c r="BH167" s="49"/>
      <c r="BI167" s="50"/>
      <c r="BJ167" s="49"/>
      <c r="BK167" s="50"/>
      <c r="BL167" s="49"/>
      <c r="BM167" s="50"/>
      <c r="BN167" s="49"/>
    </row>
    <row r="168" spans="1:66" ht="15">
      <c r="A168" s="65" t="s">
        <v>289</v>
      </c>
      <c r="B168" s="65" t="s">
        <v>290</v>
      </c>
      <c r="C168" s="66" t="s">
        <v>2153</v>
      </c>
      <c r="D168" s="67">
        <v>3</v>
      </c>
      <c r="E168" s="66" t="s">
        <v>132</v>
      </c>
      <c r="F168" s="69">
        <v>32</v>
      </c>
      <c r="G168" s="66"/>
      <c r="H168" s="70"/>
      <c r="I168" s="71"/>
      <c r="J168" s="71"/>
      <c r="K168" s="35" t="s">
        <v>66</v>
      </c>
      <c r="L168" s="72">
        <v>168</v>
      </c>
      <c r="M168" s="72"/>
      <c r="N168" s="73"/>
      <c r="O168" s="80" t="s">
        <v>352</v>
      </c>
      <c r="P168" s="82">
        <v>44222.572962962964</v>
      </c>
      <c r="Q168" s="80" t="s">
        <v>411</v>
      </c>
      <c r="R168" s="84" t="str">
        <f>HYPERLINK("https://www.tiess.online/registration?utm_source=SM&amp;utm_medium=Yao&amp;utm_campaign=TIESS&amp;utm_term=009")</f>
        <v>https://www.tiess.online/registration?utm_source=SM&amp;utm_medium=Yao&amp;utm_campaign=TIESS&amp;utm_term=009</v>
      </c>
      <c r="S168" s="80" t="s">
        <v>444</v>
      </c>
      <c r="T168" s="80" t="s">
        <v>458</v>
      </c>
      <c r="U168" s="84" t="str">
        <f>HYPERLINK("https://pbs.twimg.com/media/EsqRKBBUUAAc67-.jpg")</f>
        <v>https://pbs.twimg.com/media/EsqRKBBUUAAc67-.jpg</v>
      </c>
      <c r="V168" s="84" t="str">
        <f>HYPERLINK("https://pbs.twimg.com/media/EsqRKBBUUAAc67-.jpg")</f>
        <v>https://pbs.twimg.com/media/EsqRKBBUUAAc67-.jpg</v>
      </c>
      <c r="W168" s="82">
        <v>44222.572962962964</v>
      </c>
      <c r="X168" s="86">
        <v>44222</v>
      </c>
      <c r="Y168" s="88" t="s">
        <v>564</v>
      </c>
      <c r="Z168" s="84" t="str">
        <f>HYPERLINK("https://twitter.com/ibe_unesco/status/1354062802986672128")</f>
        <v>https://twitter.com/ibe_unesco/status/1354062802986672128</v>
      </c>
      <c r="AA168" s="80"/>
      <c r="AB168" s="80"/>
      <c r="AC168" s="88" t="s">
        <v>715</v>
      </c>
      <c r="AD168" s="80"/>
      <c r="AE168" s="80" t="b">
        <v>0</v>
      </c>
      <c r="AF168" s="80">
        <v>0</v>
      </c>
      <c r="AG168" s="88" t="s">
        <v>763</v>
      </c>
      <c r="AH168" s="80" t="b">
        <v>0</v>
      </c>
      <c r="AI168" s="80" t="s">
        <v>764</v>
      </c>
      <c r="AJ168" s="80"/>
      <c r="AK168" s="88" t="s">
        <v>763</v>
      </c>
      <c r="AL168" s="80" t="b">
        <v>0</v>
      </c>
      <c r="AM168" s="80">
        <v>3</v>
      </c>
      <c r="AN168" s="88" t="s">
        <v>714</v>
      </c>
      <c r="AO168" s="80" t="s">
        <v>765</v>
      </c>
      <c r="AP168" s="80" t="b">
        <v>0</v>
      </c>
      <c r="AQ168" s="88" t="s">
        <v>714</v>
      </c>
      <c r="AR168" s="80" t="s">
        <v>197</v>
      </c>
      <c r="AS168" s="80">
        <v>0</v>
      </c>
      <c r="AT168" s="80">
        <v>0</v>
      </c>
      <c r="AU168" s="80"/>
      <c r="AV168" s="80"/>
      <c r="AW168" s="80"/>
      <c r="AX168" s="80"/>
      <c r="AY168" s="80"/>
      <c r="AZ168" s="80"/>
      <c r="BA168" s="80"/>
      <c r="BB168" s="80"/>
      <c r="BC168">
        <v>1</v>
      </c>
      <c r="BD168" s="79" t="str">
        <f>REPLACE(INDEX(GroupVertices[Group],MATCH(Edges[[#This Row],[Vertex 1]],GroupVertices[Vertex],0)),1,1,"")</f>
        <v>10</v>
      </c>
      <c r="BE168" s="79" t="str">
        <f>REPLACE(INDEX(GroupVertices[Group],MATCH(Edges[[#This Row],[Vertex 2]],GroupVertices[Vertex],0)),1,1,"")</f>
        <v>10</v>
      </c>
      <c r="BF168" s="49"/>
      <c r="BG168" s="50"/>
      <c r="BH168" s="49"/>
      <c r="BI168" s="50"/>
      <c r="BJ168" s="49"/>
      <c r="BK168" s="50"/>
      <c r="BL168" s="49"/>
      <c r="BM168" s="50"/>
      <c r="BN168" s="49"/>
    </row>
    <row r="169" spans="1:66" ht="15">
      <c r="A169" s="65" t="s">
        <v>290</v>
      </c>
      <c r="B169" s="65" t="s">
        <v>289</v>
      </c>
      <c r="C169" s="66" t="s">
        <v>2153</v>
      </c>
      <c r="D169" s="67">
        <v>3</v>
      </c>
      <c r="E169" s="66" t="s">
        <v>132</v>
      </c>
      <c r="F169" s="69">
        <v>32</v>
      </c>
      <c r="G169" s="66"/>
      <c r="H169" s="70"/>
      <c r="I169" s="71"/>
      <c r="J169" s="71"/>
      <c r="K169" s="35" t="s">
        <v>66</v>
      </c>
      <c r="L169" s="72">
        <v>169</v>
      </c>
      <c r="M169" s="72"/>
      <c r="N169" s="73"/>
      <c r="O169" s="80" t="s">
        <v>352</v>
      </c>
      <c r="P169" s="82">
        <v>44222.57325231482</v>
      </c>
      <c r="Q169" s="80" t="s">
        <v>411</v>
      </c>
      <c r="R169" s="84" t="str">
        <f>HYPERLINK("https://www.tiess.online/registration?utm_source=SM&amp;utm_medium=Yao&amp;utm_campaign=TIESS&amp;utm_term=009")</f>
        <v>https://www.tiess.online/registration?utm_source=SM&amp;utm_medium=Yao&amp;utm_campaign=TIESS&amp;utm_term=009</v>
      </c>
      <c r="S169" s="80" t="s">
        <v>444</v>
      </c>
      <c r="T169" s="80" t="s">
        <v>458</v>
      </c>
      <c r="U169" s="84" t="str">
        <f>HYPERLINK("https://pbs.twimg.com/media/EsqRKBBUUAAc67-.jpg")</f>
        <v>https://pbs.twimg.com/media/EsqRKBBUUAAc67-.jpg</v>
      </c>
      <c r="V169" s="84" t="str">
        <f>HYPERLINK("https://pbs.twimg.com/media/EsqRKBBUUAAc67-.jpg")</f>
        <v>https://pbs.twimg.com/media/EsqRKBBUUAAc67-.jpg</v>
      </c>
      <c r="W169" s="82">
        <v>44222.57325231482</v>
      </c>
      <c r="X169" s="86">
        <v>44222</v>
      </c>
      <c r="Y169" s="88" t="s">
        <v>565</v>
      </c>
      <c r="Z169" s="84" t="str">
        <f>HYPERLINK("https://twitter.com/yaoydo/status/1354062909417123841")</f>
        <v>https://twitter.com/yaoydo/status/1354062909417123841</v>
      </c>
      <c r="AA169" s="80"/>
      <c r="AB169" s="80"/>
      <c r="AC169" s="88" t="s">
        <v>716</v>
      </c>
      <c r="AD169" s="80"/>
      <c r="AE169" s="80" t="b">
        <v>0</v>
      </c>
      <c r="AF169" s="80">
        <v>0</v>
      </c>
      <c r="AG169" s="88" t="s">
        <v>763</v>
      </c>
      <c r="AH169" s="80" t="b">
        <v>0</v>
      </c>
      <c r="AI169" s="80" t="s">
        <v>764</v>
      </c>
      <c r="AJ169" s="80"/>
      <c r="AK169" s="88" t="s">
        <v>763</v>
      </c>
      <c r="AL169" s="80" t="b">
        <v>0</v>
      </c>
      <c r="AM169" s="80">
        <v>3</v>
      </c>
      <c r="AN169" s="88" t="s">
        <v>714</v>
      </c>
      <c r="AO169" s="80" t="s">
        <v>765</v>
      </c>
      <c r="AP169" s="80" t="b">
        <v>0</v>
      </c>
      <c r="AQ169" s="88" t="s">
        <v>714</v>
      </c>
      <c r="AR169" s="80" t="s">
        <v>197</v>
      </c>
      <c r="AS169" s="80">
        <v>0</v>
      </c>
      <c r="AT169" s="80">
        <v>0</v>
      </c>
      <c r="AU169" s="80"/>
      <c r="AV169" s="80"/>
      <c r="AW169" s="80"/>
      <c r="AX169" s="80"/>
      <c r="AY169" s="80"/>
      <c r="AZ169" s="80"/>
      <c r="BA169" s="80"/>
      <c r="BB169" s="80"/>
      <c r="BC169">
        <v>1</v>
      </c>
      <c r="BD169" s="79" t="str">
        <f>REPLACE(INDEX(GroupVertices[Group],MATCH(Edges[[#This Row],[Vertex 1]],GroupVertices[Vertex],0)),1,1,"")</f>
        <v>10</v>
      </c>
      <c r="BE169" s="79" t="str">
        <f>REPLACE(INDEX(GroupVertices[Group],MATCH(Edges[[#This Row],[Vertex 2]],GroupVertices[Vertex],0)),1,1,"")</f>
        <v>10</v>
      </c>
      <c r="BF169" s="49">
        <v>1</v>
      </c>
      <c r="BG169" s="50">
        <v>3.4482758620689653</v>
      </c>
      <c r="BH169" s="49">
        <v>0</v>
      </c>
      <c r="BI169" s="50">
        <v>0</v>
      </c>
      <c r="BJ169" s="49">
        <v>0</v>
      </c>
      <c r="BK169" s="50">
        <v>0</v>
      </c>
      <c r="BL169" s="49">
        <v>28</v>
      </c>
      <c r="BM169" s="50">
        <v>96.55172413793103</v>
      </c>
      <c r="BN169" s="49">
        <v>29</v>
      </c>
    </row>
    <row r="170" spans="1:66" ht="15">
      <c r="A170" s="65" t="s">
        <v>290</v>
      </c>
      <c r="B170" s="65" t="s">
        <v>271</v>
      </c>
      <c r="C170" s="66" t="s">
        <v>2153</v>
      </c>
      <c r="D170" s="67">
        <v>3</v>
      </c>
      <c r="E170" s="66" t="s">
        <v>132</v>
      </c>
      <c r="F170" s="69">
        <v>32</v>
      </c>
      <c r="G170" s="66"/>
      <c r="H170" s="70"/>
      <c r="I170" s="71"/>
      <c r="J170" s="71"/>
      <c r="K170" s="35" t="s">
        <v>66</v>
      </c>
      <c r="L170" s="72">
        <v>170</v>
      </c>
      <c r="M170" s="72"/>
      <c r="N170" s="73"/>
      <c r="O170" s="80" t="s">
        <v>351</v>
      </c>
      <c r="P170" s="82">
        <v>44222.57325231482</v>
      </c>
      <c r="Q170" s="80" t="s">
        <v>411</v>
      </c>
      <c r="R170" s="84" t="str">
        <f>HYPERLINK("https://www.tiess.online/registration?utm_source=SM&amp;utm_medium=Yao&amp;utm_campaign=TIESS&amp;utm_term=009")</f>
        <v>https://www.tiess.online/registration?utm_source=SM&amp;utm_medium=Yao&amp;utm_campaign=TIESS&amp;utm_term=009</v>
      </c>
      <c r="S170" s="80" t="s">
        <v>444</v>
      </c>
      <c r="T170" s="80" t="s">
        <v>458</v>
      </c>
      <c r="U170" s="84" t="str">
        <f>HYPERLINK("https://pbs.twimg.com/media/EsqRKBBUUAAc67-.jpg")</f>
        <v>https://pbs.twimg.com/media/EsqRKBBUUAAc67-.jpg</v>
      </c>
      <c r="V170" s="84" t="str">
        <f>HYPERLINK("https://pbs.twimg.com/media/EsqRKBBUUAAc67-.jpg")</f>
        <v>https://pbs.twimg.com/media/EsqRKBBUUAAc67-.jpg</v>
      </c>
      <c r="W170" s="82">
        <v>44222.57325231482</v>
      </c>
      <c r="X170" s="86">
        <v>44222</v>
      </c>
      <c r="Y170" s="88" t="s">
        <v>565</v>
      </c>
      <c r="Z170" s="84" t="str">
        <f>HYPERLINK("https://twitter.com/yaoydo/status/1354062909417123841")</f>
        <v>https://twitter.com/yaoydo/status/1354062909417123841</v>
      </c>
      <c r="AA170" s="80"/>
      <c r="AB170" s="80"/>
      <c r="AC170" s="88" t="s">
        <v>716</v>
      </c>
      <c r="AD170" s="80"/>
      <c r="AE170" s="80" t="b">
        <v>0</v>
      </c>
      <c r="AF170" s="80">
        <v>0</v>
      </c>
      <c r="AG170" s="88" t="s">
        <v>763</v>
      </c>
      <c r="AH170" s="80" t="b">
        <v>0</v>
      </c>
      <c r="AI170" s="80" t="s">
        <v>764</v>
      </c>
      <c r="AJ170" s="80"/>
      <c r="AK170" s="88" t="s">
        <v>763</v>
      </c>
      <c r="AL170" s="80" t="b">
        <v>0</v>
      </c>
      <c r="AM170" s="80">
        <v>3</v>
      </c>
      <c r="AN170" s="88" t="s">
        <v>714</v>
      </c>
      <c r="AO170" s="80" t="s">
        <v>765</v>
      </c>
      <c r="AP170" s="80" t="b">
        <v>0</v>
      </c>
      <c r="AQ170" s="88" t="s">
        <v>714</v>
      </c>
      <c r="AR170" s="80" t="s">
        <v>197</v>
      </c>
      <c r="AS170" s="80">
        <v>0</v>
      </c>
      <c r="AT170" s="80">
        <v>0</v>
      </c>
      <c r="AU170" s="80"/>
      <c r="AV170" s="80"/>
      <c r="AW170" s="80"/>
      <c r="AX170" s="80"/>
      <c r="AY170" s="80"/>
      <c r="AZ170" s="80"/>
      <c r="BA170" s="80"/>
      <c r="BB170" s="80"/>
      <c r="BC170">
        <v>1</v>
      </c>
      <c r="BD170" s="79" t="str">
        <f>REPLACE(INDEX(GroupVertices[Group],MATCH(Edges[[#This Row],[Vertex 1]],GroupVertices[Vertex],0)),1,1,"")</f>
        <v>10</v>
      </c>
      <c r="BE170" s="79" t="str">
        <f>REPLACE(INDEX(GroupVertices[Group],MATCH(Edges[[#This Row],[Vertex 2]],GroupVertices[Vertex],0)),1,1,"")</f>
        <v>1</v>
      </c>
      <c r="BF170" s="49"/>
      <c r="BG170" s="50"/>
      <c r="BH170" s="49"/>
      <c r="BI170" s="50"/>
      <c r="BJ170" s="49"/>
      <c r="BK170" s="50"/>
      <c r="BL170" s="49"/>
      <c r="BM170" s="50"/>
      <c r="BN170" s="49"/>
    </row>
    <row r="171" spans="1:66" ht="15">
      <c r="A171" s="65" t="s">
        <v>291</v>
      </c>
      <c r="B171" s="65" t="s">
        <v>290</v>
      </c>
      <c r="C171" s="66" t="s">
        <v>2153</v>
      </c>
      <c r="D171" s="67">
        <v>3</v>
      </c>
      <c r="E171" s="66" t="s">
        <v>132</v>
      </c>
      <c r="F171" s="69">
        <v>32</v>
      </c>
      <c r="G171" s="66"/>
      <c r="H171" s="70"/>
      <c r="I171" s="71"/>
      <c r="J171" s="71"/>
      <c r="K171" s="35" t="s">
        <v>65</v>
      </c>
      <c r="L171" s="72">
        <v>171</v>
      </c>
      <c r="M171" s="72"/>
      <c r="N171" s="73"/>
      <c r="O171" s="80" t="s">
        <v>352</v>
      </c>
      <c r="P171" s="82">
        <v>44222.616875</v>
      </c>
      <c r="Q171" s="80" t="s">
        <v>411</v>
      </c>
      <c r="R171" s="84" t="str">
        <f>HYPERLINK("https://www.tiess.online/registration?utm_source=SM&amp;utm_medium=Yao&amp;utm_campaign=TIESS&amp;utm_term=009")</f>
        <v>https://www.tiess.online/registration?utm_source=SM&amp;utm_medium=Yao&amp;utm_campaign=TIESS&amp;utm_term=009</v>
      </c>
      <c r="S171" s="80" t="s">
        <v>444</v>
      </c>
      <c r="T171" s="80" t="s">
        <v>458</v>
      </c>
      <c r="U171" s="84" t="str">
        <f>HYPERLINK("https://pbs.twimg.com/media/EsqRKBBUUAAc67-.jpg")</f>
        <v>https://pbs.twimg.com/media/EsqRKBBUUAAc67-.jpg</v>
      </c>
      <c r="V171" s="84" t="str">
        <f>HYPERLINK("https://pbs.twimg.com/media/EsqRKBBUUAAc67-.jpg")</f>
        <v>https://pbs.twimg.com/media/EsqRKBBUUAAc67-.jpg</v>
      </c>
      <c r="W171" s="82">
        <v>44222.616875</v>
      </c>
      <c r="X171" s="86">
        <v>44222</v>
      </c>
      <c r="Y171" s="88" t="s">
        <v>566</v>
      </c>
      <c r="Z171" s="84" t="str">
        <f>HYPERLINK("https://twitter.com/ciet_ncert/status/1354078719250460673")</f>
        <v>https://twitter.com/ciet_ncert/status/1354078719250460673</v>
      </c>
      <c r="AA171" s="80"/>
      <c r="AB171" s="80"/>
      <c r="AC171" s="88" t="s">
        <v>717</v>
      </c>
      <c r="AD171" s="80"/>
      <c r="AE171" s="80" t="b">
        <v>0</v>
      </c>
      <c r="AF171" s="80">
        <v>0</v>
      </c>
      <c r="AG171" s="88" t="s">
        <v>763</v>
      </c>
      <c r="AH171" s="80" t="b">
        <v>0</v>
      </c>
      <c r="AI171" s="80" t="s">
        <v>764</v>
      </c>
      <c r="AJ171" s="80"/>
      <c r="AK171" s="88" t="s">
        <v>763</v>
      </c>
      <c r="AL171" s="80" t="b">
        <v>0</v>
      </c>
      <c r="AM171" s="80">
        <v>3</v>
      </c>
      <c r="AN171" s="88" t="s">
        <v>714</v>
      </c>
      <c r="AO171" s="80" t="s">
        <v>766</v>
      </c>
      <c r="AP171" s="80" t="b">
        <v>0</v>
      </c>
      <c r="AQ171" s="88" t="s">
        <v>714</v>
      </c>
      <c r="AR171" s="80" t="s">
        <v>197</v>
      </c>
      <c r="AS171" s="80">
        <v>0</v>
      </c>
      <c r="AT171" s="80">
        <v>0</v>
      </c>
      <c r="AU171" s="80"/>
      <c r="AV171" s="80"/>
      <c r="AW171" s="80"/>
      <c r="AX171" s="80"/>
      <c r="AY171" s="80"/>
      <c r="AZ171" s="80"/>
      <c r="BA171" s="80"/>
      <c r="BB171" s="80"/>
      <c r="BC171">
        <v>1</v>
      </c>
      <c r="BD171" s="79" t="str">
        <f>REPLACE(INDEX(GroupVertices[Group],MATCH(Edges[[#This Row],[Vertex 1]],GroupVertices[Vertex],0)),1,1,"")</f>
        <v>10</v>
      </c>
      <c r="BE171" s="79" t="str">
        <f>REPLACE(INDEX(GroupVertices[Group],MATCH(Edges[[#This Row],[Vertex 2]],GroupVertices[Vertex],0)),1,1,"")</f>
        <v>10</v>
      </c>
      <c r="BF171" s="49"/>
      <c r="BG171" s="50"/>
      <c r="BH171" s="49"/>
      <c r="BI171" s="50"/>
      <c r="BJ171" s="49"/>
      <c r="BK171" s="50"/>
      <c r="BL171" s="49"/>
      <c r="BM171" s="50"/>
      <c r="BN171" s="49"/>
    </row>
    <row r="172" spans="1:66" ht="15">
      <c r="A172" s="65" t="s">
        <v>271</v>
      </c>
      <c r="B172" s="65" t="s">
        <v>289</v>
      </c>
      <c r="C172" s="66" t="s">
        <v>2153</v>
      </c>
      <c r="D172" s="67">
        <v>3</v>
      </c>
      <c r="E172" s="66" t="s">
        <v>132</v>
      </c>
      <c r="F172" s="69">
        <v>32</v>
      </c>
      <c r="G172" s="66"/>
      <c r="H172" s="70"/>
      <c r="I172" s="71"/>
      <c r="J172" s="71"/>
      <c r="K172" s="35" t="s">
        <v>66</v>
      </c>
      <c r="L172" s="72">
        <v>172</v>
      </c>
      <c r="M172" s="72"/>
      <c r="N172" s="73"/>
      <c r="O172" s="80" t="s">
        <v>353</v>
      </c>
      <c r="P172" s="82">
        <v>44222.55</v>
      </c>
      <c r="Q172" s="80" t="s">
        <v>411</v>
      </c>
      <c r="R172" s="84" t="str">
        <f>HYPERLINK("https://www.tiess.online/registration?utm_source=SM&amp;utm_medium=Yao&amp;utm_campaign=TIESS&amp;utm_term=009")</f>
        <v>https://www.tiess.online/registration?utm_source=SM&amp;utm_medium=Yao&amp;utm_campaign=TIESS&amp;utm_term=009</v>
      </c>
      <c r="S172" s="80" t="s">
        <v>444</v>
      </c>
      <c r="T172" s="80" t="s">
        <v>458</v>
      </c>
      <c r="U172" s="84" t="str">
        <f>HYPERLINK("https://pbs.twimg.com/media/EsqRKBBUUAAc67-.jpg")</f>
        <v>https://pbs.twimg.com/media/EsqRKBBUUAAc67-.jpg</v>
      </c>
      <c r="V172" s="84" t="str">
        <f>HYPERLINK("https://pbs.twimg.com/media/EsqRKBBUUAAc67-.jpg")</f>
        <v>https://pbs.twimg.com/media/EsqRKBBUUAAc67-.jpg</v>
      </c>
      <c r="W172" s="82">
        <v>44222.55</v>
      </c>
      <c r="X172" s="86">
        <v>44222</v>
      </c>
      <c r="Y172" s="88" t="s">
        <v>563</v>
      </c>
      <c r="Z172" s="84" t="str">
        <f>HYPERLINK("https://twitter.com/indiadidac/status/1354054483286716417")</f>
        <v>https://twitter.com/indiadidac/status/1354054483286716417</v>
      </c>
      <c r="AA172" s="80"/>
      <c r="AB172" s="80"/>
      <c r="AC172" s="88" t="s">
        <v>714</v>
      </c>
      <c r="AD172" s="80"/>
      <c r="AE172" s="80" t="b">
        <v>0</v>
      </c>
      <c r="AF172" s="80">
        <v>8</v>
      </c>
      <c r="AG172" s="88" t="s">
        <v>763</v>
      </c>
      <c r="AH172" s="80" t="b">
        <v>0</v>
      </c>
      <c r="AI172" s="80" t="s">
        <v>764</v>
      </c>
      <c r="AJ172" s="80"/>
      <c r="AK172" s="88" t="s">
        <v>763</v>
      </c>
      <c r="AL172" s="80" t="b">
        <v>0</v>
      </c>
      <c r="AM172" s="80">
        <v>3</v>
      </c>
      <c r="AN172" s="88" t="s">
        <v>763</v>
      </c>
      <c r="AO172" s="80" t="s">
        <v>765</v>
      </c>
      <c r="AP172" s="80" t="b">
        <v>0</v>
      </c>
      <c r="AQ172" s="88" t="s">
        <v>714</v>
      </c>
      <c r="AR172" s="80" t="s">
        <v>197</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10</v>
      </c>
      <c r="BF172" s="49">
        <v>1</v>
      </c>
      <c r="BG172" s="50">
        <v>3.4482758620689653</v>
      </c>
      <c r="BH172" s="49">
        <v>0</v>
      </c>
      <c r="BI172" s="50">
        <v>0</v>
      </c>
      <c r="BJ172" s="49">
        <v>0</v>
      </c>
      <c r="BK172" s="50">
        <v>0</v>
      </c>
      <c r="BL172" s="49">
        <v>28</v>
      </c>
      <c r="BM172" s="50">
        <v>96.55172413793103</v>
      </c>
      <c r="BN172" s="49">
        <v>29</v>
      </c>
    </row>
    <row r="173" spans="1:66" ht="15">
      <c r="A173" s="65" t="s">
        <v>289</v>
      </c>
      <c r="B173" s="65" t="s">
        <v>271</v>
      </c>
      <c r="C173" s="66" t="s">
        <v>2153</v>
      </c>
      <c r="D173" s="67">
        <v>3</v>
      </c>
      <c r="E173" s="66" t="s">
        <v>132</v>
      </c>
      <c r="F173" s="69">
        <v>32</v>
      </c>
      <c r="G173" s="66"/>
      <c r="H173" s="70"/>
      <c r="I173" s="71"/>
      <c r="J173" s="71"/>
      <c r="K173" s="35" t="s">
        <v>66</v>
      </c>
      <c r="L173" s="72">
        <v>173</v>
      </c>
      <c r="M173" s="72"/>
      <c r="N173" s="73"/>
      <c r="O173" s="80" t="s">
        <v>351</v>
      </c>
      <c r="P173" s="82">
        <v>44222.572962962964</v>
      </c>
      <c r="Q173" s="80" t="s">
        <v>411</v>
      </c>
      <c r="R173" s="84" t="str">
        <f>HYPERLINK("https://www.tiess.online/registration?utm_source=SM&amp;utm_medium=Yao&amp;utm_campaign=TIESS&amp;utm_term=009")</f>
        <v>https://www.tiess.online/registration?utm_source=SM&amp;utm_medium=Yao&amp;utm_campaign=TIESS&amp;utm_term=009</v>
      </c>
      <c r="S173" s="80" t="s">
        <v>444</v>
      </c>
      <c r="T173" s="80" t="s">
        <v>458</v>
      </c>
      <c r="U173" s="84" t="str">
        <f>HYPERLINK("https://pbs.twimg.com/media/EsqRKBBUUAAc67-.jpg")</f>
        <v>https://pbs.twimg.com/media/EsqRKBBUUAAc67-.jpg</v>
      </c>
      <c r="V173" s="84" t="str">
        <f>HYPERLINK("https://pbs.twimg.com/media/EsqRKBBUUAAc67-.jpg")</f>
        <v>https://pbs.twimg.com/media/EsqRKBBUUAAc67-.jpg</v>
      </c>
      <c r="W173" s="82">
        <v>44222.572962962964</v>
      </c>
      <c r="X173" s="86">
        <v>44222</v>
      </c>
      <c r="Y173" s="88" t="s">
        <v>564</v>
      </c>
      <c r="Z173" s="84" t="str">
        <f>HYPERLINK("https://twitter.com/ibe_unesco/status/1354062802986672128")</f>
        <v>https://twitter.com/ibe_unesco/status/1354062802986672128</v>
      </c>
      <c r="AA173" s="80"/>
      <c r="AB173" s="80"/>
      <c r="AC173" s="88" t="s">
        <v>715</v>
      </c>
      <c r="AD173" s="80"/>
      <c r="AE173" s="80" t="b">
        <v>0</v>
      </c>
      <c r="AF173" s="80">
        <v>0</v>
      </c>
      <c r="AG173" s="88" t="s">
        <v>763</v>
      </c>
      <c r="AH173" s="80" t="b">
        <v>0</v>
      </c>
      <c r="AI173" s="80" t="s">
        <v>764</v>
      </c>
      <c r="AJ173" s="80"/>
      <c r="AK173" s="88" t="s">
        <v>763</v>
      </c>
      <c r="AL173" s="80" t="b">
        <v>0</v>
      </c>
      <c r="AM173" s="80">
        <v>3</v>
      </c>
      <c r="AN173" s="88" t="s">
        <v>714</v>
      </c>
      <c r="AO173" s="80" t="s">
        <v>765</v>
      </c>
      <c r="AP173" s="80" t="b">
        <v>0</v>
      </c>
      <c r="AQ173" s="88" t="s">
        <v>714</v>
      </c>
      <c r="AR173" s="80" t="s">
        <v>197</v>
      </c>
      <c r="AS173" s="80">
        <v>0</v>
      </c>
      <c r="AT173" s="80">
        <v>0</v>
      </c>
      <c r="AU173" s="80"/>
      <c r="AV173" s="80"/>
      <c r="AW173" s="80"/>
      <c r="AX173" s="80"/>
      <c r="AY173" s="80"/>
      <c r="AZ173" s="80"/>
      <c r="BA173" s="80"/>
      <c r="BB173" s="80"/>
      <c r="BC173">
        <v>1</v>
      </c>
      <c r="BD173" s="79" t="str">
        <f>REPLACE(INDEX(GroupVertices[Group],MATCH(Edges[[#This Row],[Vertex 1]],GroupVertices[Vertex],0)),1,1,"")</f>
        <v>10</v>
      </c>
      <c r="BE173" s="79" t="str">
        <f>REPLACE(INDEX(GroupVertices[Group],MATCH(Edges[[#This Row],[Vertex 2]],GroupVertices[Vertex],0)),1,1,"")</f>
        <v>1</v>
      </c>
      <c r="BF173" s="49">
        <v>1</v>
      </c>
      <c r="BG173" s="50">
        <v>3.4482758620689653</v>
      </c>
      <c r="BH173" s="49">
        <v>0</v>
      </c>
      <c r="BI173" s="50">
        <v>0</v>
      </c>
      <c r="BJ173" s="49">
        <v>0</v>
      </c>
      <c r="BK173" s="50">
        <v>0</v>
      </c>
      <c r="BL173" s="49">
        <v>28</v>
      </c>
      <c r="BM173" s="50">
        <v>96.55172413793103</v>
      </c>
      <c r="BN173" s="49">
        <v>29</v>
      </c>
    </row>
    <row r="174" spans="1:66" ht="15">
      <c r="A174" s="65" t="s">
        <v>291</v>
      </c>
      <c r="B174" s="65" t="s">
        <v>289</v>
      </c>
      <c r="C174" s="66" t="s">
        <v>2153</v>
      </c>
      <c r="D174" s="67">
        <v>3</v>
      </c>
      <c r="E174" s="66" t="s">
        <v>132</v>
      </c>
      <c r="F174" s="69">
        <v>32</v>
      </c>
      <c r="G174" s="66"/>
      <c r="H174" s="70"/>
      <c r="I174" s="71"/>
      <c r="J174" s="71"/>
      <c r="K174" s="35" t="s">
        <v>65</v>
      </c>
      <c r="L174" s="72">
        <v>174</v>
      </c>
      <c r="M174" s="72"/>
      <c r="N174" s="73"/>
      <c r="O174" s="80" t="s">
        <v>352</v>
      </c>
      <c r="P174" s="82">
        <v>44222.616875</v>
      </c>
      <c r="Q174" s="80" t="s">
        <v>411</v>
      </c>
      <c r="R174" s="84" t="str">
        <f>HYPERLINK("https://www.tiess.online/registration?utm_source=SM&amp;utm_medium=Yao&amp;utm_campaign=TIESS&amp;utm_term=009")</f>
        <v>https://www.tiess.online/registration?utm_source=SM&amp;utm_medium=Yao&amp;utm_campaign=TIESS&amp;utm_term=009</v>
      </c>
      <c r="S174" s="80" t="s">
        <v>444</v>
      </c>
      <c r="T174" s="80" t="s">
        <v>458</v>
      </c>
      <c r="U174" s="84" t="str">
        <f>HYPERLINK("https://pbs.twimg.com/media/EsqRKBBUUAAc67-.jpg")</f>
        <v>https://pbs.twimg.com/media/EsqRKBBUUAAc67-.jpg</v>
      </c>
      <c r="V174" s="84" t="str">
        <f>HYPERLINK("https://pbs.twimg.com/media/EsqRKBBUUAAc67-.jpg")</f>
        <v>https://pbs.twimg.com/media/EsqRKBBUUAAc67-.jpg</v>
      </c>
      <c r="W174" s="82">
        <v>44222.616875</v>
      </c>
      <c r="X174" s="86">
        <v>44222</v>
      </c>
      <c r="Y174" s="88" t="s">
        <v>566</v>
      </c>
      <c r="Z174" s="84" t="str">
        <f>HYPERLINK("https://twitter.com/ciet_ncert/status/1354078719250460673")</f>
        <v>https://twitter.com/ciet_ncert/status/1354078719250460673</v>
      </c>
      <c r="AA174" s="80"/>
      <c r="AB174" s="80"/>
      <c r="AC174" s="88" t="s">
        <v>717</v>
      </c>
      <c r="AD174" s="80"/>
      <c r="AE174" s="80" t="b">
        <v>0</v>
      </c>
      <c r="AF174" s="80">
        <v>0</v>
      </c>
      <c r="AG174" s="88" t="s">
        <v>763</v>
      </c>
      <c r="AH174" s="80" t="b">
        <v>0</v>
      </c>
      <c r="AI174" s="80" t="s">
        <v>764</v>
      </c>
      <c r="AJ174" s="80"/>
      <c r="AK174" s="88" t="s">
        <v>763</v>
      </c>
      <c r="AL174" s="80" t="b">
        <v>0</v>
      </c>
      <c r="AM174" s="80">
        <v>3</v>
      </c>
      <c r="AN174" s="88" t="s">
        <v>714</v>
      </c>
      <c r="AO174" s="80" t="s">
        <v>766</v>
      </c>
      <c r="AP174" s="80" t="b">
        <v>0</v>
      </c>
      <c r="AQ174" s="88" t="s">
        <v>714</v>
      </c>
      <c r="AR174" s="80" t="s">
        <v>197</v>
      </c>
      <c r="AS174" s="80">
        <v>0</v>
      </c>
      <c r="AT174" s="80">
        <v>0</v>
      </c>
      <c r="AU174" s="80"/>
      <c r="AV174" s="80"/>
      <c r="AW174" s="80"/>
      <c r="AX174" s="80"/>
      <c r="AY174" s="80"/>
      <c r="AZ174" s="80"/>
      <c r="BA174" s="80"/>
      <c r="BB174" s="80"/>
      <c r="BC174">
        <v>1</v>
      </c>
      <c r="BD174" s="79" t="str">
        <f>REPLACE(INDEX(GroupVertices[Group],MATCH(Edges[[#This Row],[Vertex 1]],GroupVertices[Vertex],0)),1,1,"")</f>
        <v>10</v>
      </c>
      <c r="BE174" s="79" t="str">
        <f>REPLACE(INDEX(GroupVertices[Group],MATCH(Edges[[#This Row],[Vertex 2]],GroupVertices[Vertex],0)),1,1,"")</f>
        <v>10</v>
      </c>
      <c r="BF174" s="49"/>
      <c r="BG174" s="50"/>
      <c r="BH174" s="49"/>
      <c r="BI174" s="50"/>
      <c r="BJ174" s="49"/>
      <c r="BK174" s="50"/>
      <c r="BL174" s="49"/>
      <c r="BM174" s="50"/>
      <c r="BN174" s="49"/>
    </row>
    <row r="175" spans="1:66" ht="15">
      <c r="A175" s="65" t="s">
        <v>291</v>
      </c>
      <c r="B175" s="65" t="s">
        <v>271</v>
      </c>
      <c r="C175" s="66" t="s">
        <v>2153</v>
      </c>
      <c r="D175" s="67">
        <v>3</v>
      </c>
      <c r="E175" s="66" t="s">
        <v>132</v>
      </c>
      <c r="F175" s="69">
        <v>32</v>
      </c>
      <c r="G175" s="66"/>
      <c r="H175" s="70"/>
      <c r="I175" s="71"/>
      <c r="J175" s="71"/>
      <c r="K175" s="35" t="s">
        <v>65</v>
      </c>
      <c r="L175" s="72">
        <v>175</v>
      </c>
      <c r="M175" s="72"/>
      <c r="N175" s="73"/>
      <c r="O175" s="80" t="s">
        <v>351</v>
      </c>
      <c r="P175" s="82">
        <v>44222.616875</v>
      </c>
      <c r="Q175" s="80" t="s">
        <v>411</v>
      </c>
      <c r="R175" s="84" t="str">
        <f>HYPERLINK("https://www.tiess.online/registration?utm_source=SM&amp;utm_medium=Yao&amp;utm_campaign=TIESS&amp;utm_term=009")</f>
        <v>https://www.tiess.online/registration?utm_source=SM&amp;utm_medium=Yao&amp;utm_campaign=TIESS&amp;utm_term=009</v>
      </c>
      <c r="S175" s="80" t="s">
        <v>444</v>
      </c>
      <c r="T175" s="80" t="s">
        <v>458</v>
      </c>
      <c r="U175" s="84" t="str">
        <f>HYPERLINK("https://pbs.twimg.com/media/EsqRKBBUUAAc67-.jpg")</f>
        <v>https://pbs.twimg.com/media/EsqRKBBUUAAc67-.jpg</v>
      </c>
      <c r="V175" s="84" t="str">
        <f>HYPERLINK("https://pbs.twimg.com/media/EsqRKBBUUAAc67-.jpg")</f>
        <v>https://pbs.twimg.com/media/EsqRKBBUUAAc67-.jpg</v>
      </c>
      <c r="W175" s="82">
        <v>44222.616875</v>
      </c>
      <c r="X175" s="86">
        <v>44222</v>
      </c>
      <c r="Y175" s="88" t="s">
        <v>566</v>
      </c>
      <c r="Z175" s="84" t="str">
        <f>HYPERLINK("https://twitter.com/ciet_ncert/status/1354078719250460673")</f>
        <v>https://twitter.com/ciet_ncert/status/1354078719250460673</v>
      </c>
      <c r="AA175" s="80"/>
      <c r="AB175" s="80"/>
      <c r="AC175" s="88" t="s">
        <v>717</v>
      </c>
      <c r="AD175" s="80"/>
      <c r="AE175" s="80" t="b">
        <v>0</v>
      </c>
      <c r="AF175" s="80">
        <v>0</v>
      </c>
      <c r="AG175" s="88" t="s">
        <v>763</v>
      </c>
      <c r="AH175" s="80" t="b">
        <v>0</v>
      </c>
      <c r="AI175" s="80" t="s">
        <v>764</v>
      </c>
      <c r="AJ175" s="80"/>
      <c r="AK175" s="88" t="s">
        <v>763</v>
      </c>
      <c r="AL175" s="80" t="b">
        <v>0</v>
      </c>
      <c r="AM175" s="80">
        <v>3</v>
      </c>
      <c r="AN175" s="88" t="s">
        <v>714</v>
      </c>
      <c r="AO175" s="80" t="s">
        <v>766</v>
      </c>
      <c r="AP175" s="80" t="b">
        <v>0</v>
      </c>
      <c r="AQ175" s="88" t="s">
        <v>714</v>
      </c>
      <c r="AR175" s="80" t="s">
        <v>197</v>
      </c>
      <c r="AS175" s="80">
        <v>0</v>
      </c>
      <c r="AT175" s="80">
        <v>0</v>
      </c>
      <c r="AU175" s="80"/>
      <c r="AV175" s="80"/>
      <c r="AW175" s="80"/>
      <c r="AX175" s="80"/>
      <c r="AY175" s="80"/>
      <c r="AZ175" s="80"/>
      <c r="BA175" s="80"/>
      <c r="BB175" s="80"/>
      <c r="BC175">
        <v>1</v>
      </c>
      <c r="BD175" s="79" t="str">
        <f>REPLACE(INDEX(GroupVertices[Group],MATCH(Edges[[#This Row],[Vertex 1]],GroupVertices[Vertex],0)),1,1,"")</f>
        <v>10</v>
      </c>
      <c r="BE175" s="79" t="str">
        <f>REPLACE(INDEX(GroupVertices[Group],MATCH(Edges[[#This Row],[Vertex 2]],GroupVertices[Vertex],0)),1,1,"")</f>
        <v>1</v>
      </c>
      <c r="BF175" s="49">
        <v>1</v>
      </c>
      <c r="BG175" s="50">
        <v>3.4482758620689653</v>
      </c>
      <c r="BH175" s="49">
        <v>0</v>
      </c>
      <c r="BI175" s="50">
        <v>0</v>
      </c>
      <c r="BJ175" s="49">
        <v>0</v>
      </c>
      <c r="BK175" s="50">
        <v>0</v>
      </c>
      <c r="BL175" s="49">
        <v>28</v>
      </c>
      <c r="BM175" s="50">
        <v>96.55172413793103</v>
      </c>
      <c r="BN175" s="49">
        <v>29</v>
      </c>
    </row>
    <row r="176" spans="1:66" ht="15">
      <c r="A176" s="65" t="s">
        <v>271</v>
      </c>
      <c r="B176" s="65" t="s">
        <v>342</v>
      </c>
      <c r="C176" s="66" t="s">
        <v>2154</v>
      </c>
      <c r="D176" s="67">
        <v>7.666666666666667</v>
      </c>
      <c r="E176" s="66" t="s">
        <v>136</v>
      </c>
      <c r="F176" s="69">
        <v>29.263157894736842</v>
      </c>
      <c r="G176" s="66"/>
      <c r="H176" s="70"/>
      <c r="I176" s="71"/>
      <c r="J176" s="71"/>
      <c r="K176" s="35" t="s">
        <v>65</v>
      </c>
      <c r="L176" s="72">
        <v>176</v>
      </c>
      <c r="M176" s="72"/>
      <c r="N176" s="73"/>
      <c r="O176" s="80" t="s">
        <v>353</v>
      </c>
      <c r="P176" s="82">
        <v>44218.5718287037</v>
      </c>
      <c r="Q176" s="80" t="s">
        <v>402</v>
      </c>
      <c r="R176" s="84" t="str">
        <f>HYPERLINK("https://www.tiess.online/registration?utm_source=Caroline&amp;utm_medium=Email&amp;utm_campaign=TIESS&amp;utm_term=024")</f>
        <v>https://www.tiess.online/registration?utm_source=Caroline&amp;utm_medium=Email&amp;utm_campaign=TIESS&amp;utm_term=024</v>
      </c>
      <c r="S176" s="80" t="s">
        <v>444</v>
      </c>
      <c r="T176" s="80" t="s">
        <v>450</v>
      </c>
      <c r="U176" s="84" t="str">
        <f>HYPERLINK("https://pbs.twimg.com/media/EsVyKgKUcAARhL-.jpg")</f>
        <v>https://pbs.twimg.com/media/EsVyKgKUcAARhL-.jpg</v>
      </c>
      <c r="V176" s="84" t="str">
        <f>HYPERLINK("https://pbs.twimg.com/media/EsVyKgKUcAARhL-.jpg")</f>
        <v>https://pbs.twimg.com/media/EsVyKgKUcAARhL-.jpg</v>
      </c>
      <c r="W176" s="82">
        <v>44218.5718287037</v>
      </c>
      <c r="X176" s="86">
        <v>44218</v>
      </c>
      <c r="Y176" s="88" t="s">
        <v>548</v>
      </c>
      <c r="Z176" s="84" t="str">
        <f>HYPERLINK("https://twitter.com/indiadidac/status/1352612840104882176")</f>
        <v>https://twitter.com/indiadidac/status/1352612840104882176</v>
      </c>
      <c r="AA176" s="80"/>
      <c r="AB176" s="80"/>
      <c r="AC176" s="88" t="s">
        <v>699</v>
      </c>
      <c r="AD176" s="80"/>
      <c r="AE176" s="80" t="b">
        <v>0</v>
      </c>
      <c r="AF176" s="80">
        <v>1</v>
      </c>
      <c r="AG176" s="88" t="s">
        <v>763</v>
      </c>
      <c r="AH176" s="80" t="b">
        <v>0</v>
      </c>
      <c r="AI176" s="80" t="s">
        <v>764</v>
      </c>
      <c r="AJ176" s="80"/>
      <c r="AK176" s="88" t="s">
        <v>763</v>
      </c>
      <c r="AL176" s="80" t="b">
        <v>0</v>
      </c>
      <c r="AM176" s="80">
        <v>0</v>
      </c>
      <c r="AN176" s="88" t="s">
        <v>763</v>
      </c>
      <c r="AO176" s="80" t="s">
        <v>765</v>
      </c>
      <c r="AP176" s="80" t="b">
        <v>0</v>
      </c>
      <c r="AQ176" s="88" t="s">
        <v>699</v>
      </c>
      <c r="AR176" s="80" t="s">
        <v>197</v>
      </c>
      <c r="AS176" s="80">
        <v>0</v>
      </c>
      <c r="AT176" s="80">
        <v>0</v>
      </c>
      <c r="AU176" s="80"/>
      <c r="AV176" s="80"/>
      <c r="AW176" s="80"/>
      <c r="AX176" s="80"/>
      <c r="AY176" s="80"/>
      <c r="AZ176" s="80"/>
      <c r="BA176" s="80"/>
      <c r="BB176" s="80"/>
      <c r="BC176">
        <v>3</v>
      </c>
      <c r="BD176" s="79" t="str">
        <f>REPLACE(INDEX(GroupVertices[Group],MATCH(Edges[[#This Row],[Vertex 1]],GroupVertices[Vertex],0)),1,1,"")</f>
        <v>1</v>
      </c>
      <c r="BE176" s="79" t="str">
        <f>REPLACE(INDEX(GroupVertices[Group],MATCH(Edges[[#This Row],[Vertex 2]],GroupVertices[Vertex],0)),1,1,"")</f>
        <v>2</v>
      </c>
      <c r="BF176" s="49">
        <v>0</v>
      </c>
      <c r="BG176" s="50">
        <v>0</v>
      </c>
      <c r="BH176" s="49">
        <v>0</v>
      </c>
      <c r="BI176" s="50">
        <v>0</v>
      </c>
      <c r="BJ176" s="49">
        <v>0</v>
      </c>
      <c r="BK176" s="50">
        <v>0</v>
      </c>
      <c r="BL176" s="49">
        <v>25</v>
      </c>
      <c r="BM176" s="50">
        <v>100</v>
      </c>
      <c r="BN176" s="49">
        <v>25</v>
      </c>
    </row>
    <row r="177" spans="1:66" ht="15">
      <c r="A177" s="65" t="s">
        <v>271</v>
      </c>
      <c r="B177" s="65" t="s">
        <v>342</v>
      </c>
      <c r="C177" s="66" t="s">
        <v>2154</v>
      </c>
      <c r="D177" s="67">
        <v>7.666666666666667</v>
      </c>
      <c r="E177" s="66" t="s">
        <v>136</v>
      </c>
      <c r="F177" s="69">
        <v>29.263157894736842</v>
      </c>
      <c r="G177" s="66"/>
      <c r="H177" s="70"/>
      <c r="I177" s="71"/>
      <c r="J177" s="71"/>
      <c r="K177" s="35" t="s">
        <v>65</v>
      </c>
      <c r="L177" s="72">
        <v>177</v>
      </c>
      <c r="M177" s="72"/>
      <c r="N177" s="73"/>
      <c r="O177" s="80" t="s">
        <v>353</v>
      </c>
      <c r="P177" s="82">
        <v>44219.31579861111</v>
      </c>
      <c r="Q177" s="80" t="s">
        <v>401</v>
      </c>
      <c r="R177" s="84" t="str">
        <f>HYPERLINK("https://www.tiess.online/registration?utm_source=Damian&amp;utm_medium=SM&amp;utm_campaign=TIESS&amp;utm_term=027")</f>
        <v>https://www.tiess.online/registration?utm_source=Damian&amp;utm_medium=SM&amp;utm_campaign=TIESS&amp;utm_term=027</v>
      </c>
      <c r="S177" s="80" t="s">
        <v>444</v>
      </c>
      <c r="T177" s="80" t="s">
        <v>451</v>
      </c>
      <c r="U177" s="84" t="str">
        <f>HYPERLINK("https://pbs.twimg.com/media/EsZnGkYU0AEbfOs.jpg")</f>
        <v>https://pbs.twimg.com/media/EsZnGkYU0AEbfOs.jpg</v>
      </c>
      <c r="V177" s="84" t="str">
        <f>HYPERLINK("https://pbs.twimg.com/media/EsZnGkYU0AEbfOs.jpg")</f>
        <v>https://pbs.twimg.com/media/EsZnGkYU0AEbfOs.jpg</v>
      </c>
      <c r="W177" s="82">
        <v>44219.31579861111</v>
      </c>
      <c r="X177" s="86">
        <v>44219</v>
      </c>
      <c r="Y177" s="88" t="s">
        <v>547</v>
      </c>
      <c r="Z177" s="84" t="str">
        <f>HYPERLINK("https://twitter.com/indiadidac/status/1352882449177481216")</f>
        <v>https://twitter.com/indiadidac/status/1352882449177481216</v>
      </c>
      <c r="AA177" s="80"/>
      <c r="AB177" s="80"/>
      <c r="AC177" s="88" t="s">
        <v>698</v>
      </c>
      <c r="AD177" s="80"/>
      <c r="AE177" s="80" t="b">
        <v>0</v>
      </c>
      <c r="AF177" s="80">
        <v>0</v>
      </c>
      <c r="AG177" s="88" t="s">
        <v>763</v>
      </c>
      <c r="AH177" s="80" t="b">
        <v>0</v>
      </c>
      <c r="AI177" s="80" t="s">
        <v>764</v>
      </c>
      <c r="AJ177" s="80"/>
      <c r="AK177" s="88" t="s">
        <v>763</v>
      </c>
      <c r="AL177" s="80" t="b">
        <v>0</v>
      </c>
      <c r="AM177" s="80">
        <v>0</v>
      </c>
      <c r="AN177" s="88" t="s">
        <v>763</v>
      </c>
      <c r="AO177" s="80" t="s">
        <v>765</v>
      </c>
      <c r="AP177" s="80" t="b">
        <v>0</v>
      </c>
      <c r="AQ177" s="88" t="s">
        <v>698</v>
      </c>
      <c r="AR177" s="80" t="s">
        <v>197</v>
      </c>
      <c r="AS177" s="80">
        <v>0</v>
      </c>
      <c r="AT177" s="80">
        <v>0</v>
      </c>
      <c r="AU177" s="80"/>
      <c r="AV177" s="80"/>
      <c r="AW177" s="80"/>
      <c r="AX177" s="80"/>
      <c r="AY177" s="80"/>
      <c r="AZ177" s="80"/>
      <c r="BA177" s="80"/>
      <c r="BB177" s="80"/>
      <c r="BC177">
        <v>3</v>
      </c>
      <c r="BD177" s="79" t="str">
        <f>REPLACE(INDEX(GroupVertices[Group],MATCH(Edges[[#This Row],[Vertex 1]],GroupVertices[Vertex],0)),1,1,"")</f>
        <v>1</v>
      </c>
      <c r="BE177" s="79" t="str">
        <f>REPLACE(INDEX(GroupVertices[Group],MATCH(Edges[[#This Row],[Vertex 2]],GroupVertices[Vertex],0)),1,1,"")</f>
        <v>2</v>
      </c>
      <c r="BF177" s="49">
        <v>0</v>
      </c>
      <c r="BG177" s="50">
        <v>0</v>
      </c>
      <c r="BH177" s="49">
        <v>0</v>
      </c>
      <c r="BI177" s="50">
        <v>0</v>
      </c>
      <c r="BJ177" s="49">
        <v>0</v>
      </c>
      <c r="BK177" s="50">
        <v>0</v>
      </c>
      <c r="BL177" s="49">
        <v>33</v>
      </c>
      <c r="BM177" s="50">
        <v>100</v>
      </c>
      <c r="BN177" s="49">
        <v>33</v>
      </c>
    </row>
    <row r="178" spans="1:66" ht="15">
      <c r="A178" s="65" t="s">
        <v>271</v>
      </c>
      <c r="B178" s="65" t="s">
        <v>342</v>
      </c>
      <c r="C178" s="66" t="s">
        <v>2154</v>
      </c>
      <c r="D178" s="67">
        <v>7.666666666666667</v>
      </c>
      <c r="E178" s="66" t="s">
        <v>136</v>
      </c>
      <c r="F178" s="69">
        <v>29.263157894736842</v>
      </c>
      <c r="G178" s="66"/>
      <c r="H178" s="70"/>
      <c r="I178" s="71"/>
      <c r="J178" s="71"/>
      <c r="K178" s="35" t="s">
        <v>65</v>
      </c>
      <c r="L178" s="72">
        <v>178</v>
      </c>
      <c r="M178" s="72"/>
      <c r="N178" s="73"/>
      <c r="O178" s="80" t="s">
        <v>353</v>
      </c>
      <c r="P178" s="82">
        <v>44221.25819444445</v>
      </c>
      <c r="Q178" s="80" t="s">
        <v>412</v>
      </c>
      <c r="R178" s="84" t="str">
        <f>HYPERLINK("https://www.tiess.online/registration?utm_source=Partners&amp;utm_medium=All&amp;utm_campaign=TIESS&amp;utm_term=039")</f>
        <v>https://www.tiess.online/registration?utm_source=Partners&amp;utm_medium=All&amp;utm_campaign=TIESS&amp;utm_term=039</v>
      </c>
      <c r="S178" s="80" t="s">
        <v>444</v>
      </c>
      <c r="T178" s="80" t="s">
        <v>449</v>
      </c>
      <c r="U178" s="84" t="str">
        <f>HYPERLINK("https://pbs.twimg.com/media/EsjncMMVkAEjEeJ.jpg")</f>
        <v>https://pbs.twimg.com/media/EsjncMMVkAEjEeJ.jpg</v>
      </c>
      <c r="V178" s="84" t="str">
        <f>HYPERLINK("https://pbs.twimg.com/media/EsjncMMVkAEjEeJ.jpg")</f>
        <v>https://pbs.twimg.com/media/EsjncMMVkAEjEeJ.jpg</v>
      </c>
      <c r="W178" s="82">
        <v>44221.25819444445</v>
      </c>
      <c r="X178" s="86">
        <v>44221</v>
      </c>
      <c r="Y178" s="88" t="s">
        <v>567</v>
      </c>
      <c r="Z178" s="84" t="str">
        <f>HYPERLINK("https://twitter.com/indiadidac/status/1353586348117028867")</f>
        <v>https://twitter.com/indiadidac/status/1353586348117028867</v>
      </c>
      <c r="AA178" s="80"/>
      <c r="AB178" s="80"/>
      <c r="AC178" s="88" t="s">
        <v>718</v>
      </c>
      <c r="AD178" s="80"/>
      <c r="AE178" s="80" t="b">
        <v>0</v>
      </c>
      <c r="AF178" s="80">
        <v>4</v>
      </c>
      <c r="AG178" s="88" t="s">
        <v>763</v>
      </c>
      <c r="AH178" s="80" t="b">
        <v>0</v>
      </c>
      <c r="AI178" s="80" t="s">
        <v>764</v>
      </c>
      <c r="AJ178" s="80"/>
      <c r="AK178" s="88" t="s">
        <v>763</v>
      </c>
      <c r="AL178" s="80" t="b">
        <v>0</v>
      </c>
      <c r="AM178" s="80">
        <v>1</v>
      </c>
      <c r="AN178" s="88" t="s">
        <v>763</v>
      </c>
      <c r="AO178" s="80" t="s">
        <v>765</v>
      </c>
      <c r="AP178" s="80" t="b">
        <v>0</v>
      </c>
      <c r="AQ178" s="88" t="s">
        <v>718</v>
      </c>
      <c r="AR178" s="80" t="s">
        <v>197</v>
      </c>
      <c r="AS178" s="80">
        <v>0</v>
      </c>
      <c r="AT178" s="80">
        <v>0</v>
      </c>
      <c r="AU178" s="80"/>
      <c r="AV178" s="80"/>
      <c r="AW178" s="80"/>
      <c r="AX178" s="80"/>
      <c r="AY178" s="80"/>
      <c r="AZ178" s="80"/>
      <c r="BA178" s="80"/>
      <c r="BB178" s="80"/>
      <c r="BC178">
        <v>3</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292</v>
      </c>
      <c r="B179" s="65" t="s">
        <v>342</v>
      </c>
      <c r="C179" s="66" t="s">
        <v>2153</v>
      </c>
      <c r="D179" s="67">
        <v>3</v>
      </c>
      <c r="E179" s="66" t="s">
        <v>132</v>
      </c>
      <c r="F179" s="69">
        <v>32</v>
      </c>
      <c r="G179" s="66"/>
      <c r="H179" s="70"/>
      <c r="I179" s="71"/>
      <c r="J179" s="71"/>
      <c r="K179" s="35" t="s">
        <v>65</v>
      </c>
      <c r="L179" s="72">
        <v>179</v>
      </c>
      <c r="M179" s="72"/>
      <c r="N179" s="73"/>
      <c r="O179" s="80" t="s">
        <v>352</v>
      </c>
      <c r="P179" s="82">
        <v>44222.38034722222</v>
      </c>
      <c r="Q179" s="80" t="s">
        <v>412</v>
      </c>
      <c r="R179" s="84" t="str">
        <f>HYPERLINK("https://www.tiess.online/registration?utm_source=Partners&amp;utm_medium=All&amp;utm_campaign=TIESS&amp;utm_term=039")</f>
        <v>https://www.tiess.online/registration?utm_source=Partners&amp;utm_medium=All&amp;utm_campaign=TIESS&amp;utm_term=039</v>
      </c>
      <c r="S179" s="80" t="s">
        <v>444</v>
      </c>
      <c r="T179" s="80" t="s">
        <v>449</v>
      </c>
      <c r="U179" s="84" t="str">
        <f>HYPERLINK("https://pbs.twimg.com/media/EsjncMMVkAEjEeJ.jpg")</f>
        <v>https://pbs.twimg.com/media/EsjncMMVkAEjEeJ.jpg</v>
      </c>
      <c r="V179" s="84" t="str">
        <f>HYPERLINK("https://pbs.twimg.com/media/EsjncMMVkAEjEeJ.jpg")</f>
        <v>https://pbs.twimg.com/media/EsjncMMVkAEjEeJ.jpg</v>
      </c>
      <c r="W179" s="82">
        <v>44222.38034722222</v>
      </c>
      <c r="X179" s="86">
        <v>44222</v>
      </c>
      <c r="Y179" s="88" t="s">
        <v>568</v>
      </c>
      <c r="Z179" s="84" t="str">
        <f>HYPERLINK("https://twitter.com/shaireshef/status/1353993003128545281")</f>
        <v>https://twitter.com/shaireshef/status/1353993003128545281</v>
      </c>
      <c r="AA179" s="80"/>
      <c r="AB179" s="80"/>
      <c r="AC179" s="88" t="s">
        <v>719</v>
      </c>
      <c r="AD179" s="80"/>
      <c r="AE179" s="80" t="b">
        <v>0</v>
      </c>
      <c r="AF179" s="80">
        <v>0</v>
      </c>
      <c r="AG179" s="88" t="s">
        <v>763</v>
      </c>
      <c r="AH179" s="80" t="b">
        <v>0</v>
      </c>
      <c r="AI179" s="80" t="s">
        <v>764</v>
      </c>
      <c r="AJ179" s="80"/>
      <c r="AK179" s="88" t="s">
        <v>763</v>
      </c>
      <c r="AL179" s="80" t="b">
        <v>0</v>
      </c>
      <c r="AM179" s="80">
        <v>1</v>
      </c>
      <c r="AN179" s="88" t="s">
        <v>718</v>
      </c>
      <c r="AO179" s="80" t="s">
        <v>765</v>
      </c>
      <c r="AP179" s="80" t="b">
        <v>0</v>
      </c>
      <c r="AQ179" s="88" t="s">
        <v>718</v>
      </c>
      <c r="AR179" s="80" t="s">
        <v>197</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271</v>
      </c>
      <c r="B180" s="65" t="s">
        <v>343</v>
      </c>
      <c r="C180" s="66" t="s">
        <v>2153</v>
      </c>
      <c r="D180" s="67">
        <v>3</v>
      </c>
      <c r="E180" s="66" t="s">
        <v>132</v>
      </c>
      <c r="F180" s="69">
        <v>32</v>
      </c>
      <c r="G180" s="66"/>
      <c r="H180" s="70"/>
      <c r="I180" s="71"/>
      <c r="J180" s="71"/>
      <c r="K180" s="35" t="s">
        <v>65</v>
      </c>
      <c r="L180" s="72">
        <v>180</v>
      </c>
      <c r="M180" s="72"/>
      <c r="N180" s="73"/>
      <c r="O180" s="80" t="s">
        <v>353</v>
      </c>
      <c r="P180" s="82">
        <v>44221.25819444445</v>
      </c>
      <c r="Q180" s="80" t="s">
        <v>412</v>
      </c>
      <c r="R180" s="84" t="str">
        <f>HYPERLINK("https://www.tiess.online/registration?utm_source=Partners&amp;utm_medium=All&amp;utm_campaign=TIESS&amp;utm_term=039")</f>
        <v>https://www.tiess.online/registration?utm_source=Partners&amp;utm_medium=All&amp;utm_campaign=TIESS&amp;utm_term=039</v>
      </c>
      <c r="S180" s="80" t="s">
        <v>444</v>
      </c>
      <c r="T180" s="80" t="s">
        <v>449</v>
      </c>
      <c r="U180" s="84" t="str">
        <f>HYPERLINK("https://pbs.twimg.com/media/EsjncMMVkAEjEeJ.jpg")</f>
        <v>https://pbs.twimg.com/media/EsjncMMVkAEjEeJ.jpg</v>
      </c>
      <c r="V180" s="84" t="str">
        <f>HYPERLINK("https://pbs.twimg.com/media/EsjncMMVkAEjEeJ.jpg")</f>
        <v>https://pbs.twimg.com/media/EsjncMMVkAEjEeJ.jpg</v>
      </c>
      <c r="W180" s="82">
        <v>44221.25819444445</v>
      </c>
      <c r="X180" s="86">
        <v>44221</v>
      </c>
      <c r="Y180" s="88" t="s">
        <v>567</v>
      </c>
      <c r="Z180" s="84" t="str">
        <f>HYPERLINK("https://twitter.com/indiadidac/status/1353586348117028867")</f>
        <v>https://twitter.com/indiadidac/status/1353586348117028867</v>
      </c>
      <c r="AA180" s="80"/>
      <c r="AB180" s="80"/>
      <c r="AC180" s="88" t="s">
        <v>718</v>
      </c>
      <c r="AD180" s="80"/>
      <c r="AE180" s="80" t="b">
        <v>0</v>
      </c>
      <c r="AF180" s="80">
        <v>4</v>
      </c>
      <c r="AG180" s="88" t="s">
        <v>763</v>
      </c>
      <c r="AH180" s="80" t="b">
        <v>0</v>
      </c>
      <c r="AI180" s="80" t="s">
        <v>764</v>
      </c>
      <c r="AJ180" s="80"/>
      <c r="AK180" s="88" t="s">
        <v>763</v>
      </c>
      <c r="AL180" s="80" t="b">
        <v>0</v>
      </c>
      <c r="AM180" s="80">
        <v>1</v>
      </c>
      <c r="AN180" s="88" t="s">
        <v>763</v>
      </c>
      <c r="AO180" s="80" t="s">
        <v>765</v>
      </c>
      <c r="AP180" s="80" t="b">
        <v>0</v>
      </c>
      <c r="AQ180" s="88" t="s">
        <v>718</v>
      </c>
      <c r="AR180" s="80" t="s">
        <v>197</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2</v>
      </c>
      <c r="BF180" s="49"/>
      <c r="BG180" s="50"/>
      <c r="BH180" s="49"/>
      <c r="BI180" s="50"/>
      <c r="BJ180" s="49"/>
      <c r="BK180" s="50"/>
      <c r="BL180" s="49"/>
      <c r="BM180" s="50"/>
      <c r="BN180" s="49"/>
    </row>
    <row r="181" spans="1:66" ht="15">
      <c r="A181" s="65" t="s">
        <v>292</v>
      </c>
      <c r="B181" s="65" t="s">
        <v>343</v>
      </c>
      <c r="C181" s="66" t="s">
        <v>2153</v>
      </c>
      <c r="D181" s="67">
        <v>3</v>
      </c>
      <c r="E181" s="66" t="s">
        <v>132</v>
      </c>
      <c r="F181" s="69">
        <v>32</v>
      </c>
      <c r="G181" s="66"/>
      <c r="H181" s="70"/>
      <c r="I181" s="71"/>
      <c r="J181" s="71"/>
      <c r="K181" s="35" t="s">
        <v>65</v>
      </c>
      <c r="L181" s="72">
        <v>181</v>
      </c>
      <c r="M181" s="72"/>
      <c r="N181" s="73"/>
      <c r="O181" s="80" t="s">
        <v>352</v>
      </c>
      <c r="P181" s="82">
        <v>44222.38034722222</v>
      </c>
      <c r="Q181" s="80" t="s">
        <v>412</v>
      </c>
      <c r="R181" s="84" t="str">
        <f>HYPERLINK("https://www.tiess.online/registration?utm_source=Partners&amp;utm_medium=All&amp;utm_campaign=TIESS&amp;utm_term=039")</f>
        <v>https://www.tiess.online/registration?utm_source=Partners&amp;utm_medium=All&amp;utm_campaign=TIESS&amp;utm_term=039</v>
      </c>
      <c r="S181" s="80" t="s">
        <v>444</v>
      </c>
      <c r="T181" s="80" t="s">
        <v>449</v>
      </c>
      <c r="U181" s="84" t="str">
        <f>HYPERLINK("https://pbs.twimg.com/media/EsjncMMVkAEjEeJ.jpg")</f>
        <v>https://pbs.twimg.com/media/EsjncMMVkAEjEeJ.jpg</v>
      </c>
      <c r="V181" s="84" t="str">
        <f>HYPERLINK("https://pbs.twimg.com/media/EsjncMMVkAEjEeJ.jpg")</f>
        <v>https://pbs.twimg.com/media/EsjncMMVkAEjEeJ.jpg</v>
      </c>
      <c r="W181" s="82">
        <v>44222.38034722222</v>
      </c>
      <c r="X181" s="86">
        <v>44222</v>
      </c>
      <c r="Y181" s="88" t="s">
        <v>568</v>
      </c>
      <c r="Z181" s="84" t="str">
        <f>HYPERLINK("https://twitter.com/shaireshef/status/1353993003128545281")</f>
        <v>https://twitter.com/shaireshef/status/1353993003128545281</v>
      </c>
      <c r="AA181" s="80"/>
      <c r="AB181" s="80"/>
      <c r="AC181" s="88" t="s">
        <v>719</v>
      </c>
      <c r="AD181" s="80"/>
      <c r="AE181" s="80" t="b">
        <v>0</v>
      </c>
      <c r="AF181" s="80">
        <v>0</v>
      </c>
      <c r="AG181" s="88" t="s">
        <v>763</v>
      </c>
      <c r="AH181" s="80" t="b">
        <v>0</v>
      </c>
      <c r="AI181" s="80" t="s">
        <v>764</v>
      </c>
      <c r="AJ181" s="80"/>
      <c r="AK181" s="88" t="s">
        <v>763</v>
      </c>
      <c r="AL181" s="80" t="b">
        <v>0</v>
      </c>
      <c r="AM181" s="80">
        <v>1</v>
      </c>
      <c r="AN181" s="88" t="s">
        <v>718</v>
      </c>
      <c r="AO181" s="80" t="s">
        <v>765</v>
      </c>
      <c r="AP181" s="80" t="b">
        <v>0</v>
      </c>
      <c r="AQ181" s="88" t="s">
        <v>718</v>
      </c>
      <c r="AR181" s="80" t="s">
        <v>197</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271</v>
      </c>
      <c r="B182" s="65" t="s">
        <v>344</v>
      </c>
      <c r="C182" s="66" t="s">
        <v>2153</v>
      </c>
      <c r="D182" s="67">
        <v>3</v>
      </c>
      <c r="E182" s="66" t="s">
        <v>132</v>
      </c>
      <c r="F182" s="69">
        <v>32</v>
      </c>
      <c r="G182" s="66"/>
      <c r="H182" s="70"/>
      <c r="I182" s="71"/>
      <c r="J182" s="71"/>
      <c r="K182" s="35" t="s">
        <v>65</v>
      </c>
      <c r="L182" s="72">
        <v>182</v>
      </c>
      <c r="M182" s="72"/>
      <c r="N182" s="73"/>
      <c r="O182" s="80" t="s">
        <v>353</v>
      </c>
      <c r="P182" s="82">
        <v>44221.25819444445</v>
      </c>
      <c r="Q182" s="80" t="s">
        <v>412</v>
      </c>
      <c r="R182" s="84" t="str">
        <f>HYPERLINK("https://www.tiess.online/registration?utm_source=Partners&amp;utm_medium=All&amp;utm_campaign=TIESS&amp;utm_term=039")</f>
        <v>https://www.tiess.online/registration?utm_source=Partners&amp;utm_medium=All&amp;utm_campaign=TIESS&amp;utm_term=039</v>
      </c>
      <c r="S182" s="80" t="s">
        <v>444</v>
      </c>
      <c r="T182" s="80" t="s">
        <v>449</v>
      </c>
      <c r="U182" s="84" t="str">
        <f>HYPERLINK("https://pbs.twimg.com/media/EsjncMMVkAEjEeJ.jpg")</f>
        <v>https://pbs.twimg.com/media/EsjncMMVkAEjEeJ.jpg</v>
      </c>
      <c r="V182" s="84" t="str">
        <f>HYPERLINK("https://pbs.twimg.com/media/EsjncMMVkAEjEeJ.jpg")</f>
        <v>https://pbs.twimg.com/media/EsjncMMVkAEjEeJ.jpg</v>
      </c>
      <c r="W182" s="82">
        <v>44221.25819444445</v>
      </c>
      <c r="X182" s="86">
        <v>44221</v>
      </c>
      <c r="Y182" s="88" t="s">
        <v>567</v>
      </c>
      <c r="Z182" s="84" t="str">
        <f>HYPERLINK("https://twitter.com/indiadidac/status/1353586348117028867")</f>
        <v>https://twitter.com/indiadidac/status/1353586348117028867</v>
      </c>
      <c r="AA182" s="80"/>
      <c r="AB182" s="80"/>
      <c r="AC182" s="88" t="s">
        <v>718</v>
      </c>
      <c r="AD182" s="80"/>
      <c r="AE182" s="80" t="b">
        <v>0</v>
      </c>
      <c r="AF182" s="80">
        <v>4</v>
      </c>
      <c r="AG182" s="88" t="s">
        <v>763</v>
      </c>
      <c r="AH182" s="80" t="b">
        <v>0</v>
      </c>
      <c r="AI182" s="80" t="s">
        <v>764</v>
      </c>
      <c r="AJ182" s="80"/>
      <c r="AK182" s="88" t="s">
        <v>763</v>
      </c>
      <c r="AL182" s="80" t="b">
        <v>0</v>
      </c>
      <c r="AM182" s="80">
        <v>1</v>
      </c>
      <c r="AN182" s="88" t="s">
        <v>763</v>
      </c>
      <c r="AO182" s="80" t="s">
        <v>765</v>
      </c>
      <c r="AP182" s="80" t="b">
        <v>0</v>
      </c>
      <c r="AQ182" s="88" t="s">
        <v>718</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2</v>
      </c>
      <c r="BF182" s="49"/>
      <c r="BG182" s="50"/>
      <c r="BH182" s="49"/>
      <c r="BI182" s="50"/>
      <c r="BJ182" s="49"/>
      <c r="BK182" s="50"/>
      <c r="BL182" s="49"/>
      <c r="BM182" s="50"/>
      <c r="BN182" s="49"/>
    </row>
    <row r="183" spans="1:66" ht="15">
      <c r="A183" s="65" t="s">
        <v>292</v>
      </c>
      <c r="B183" s="65" t="s">
        <v>344</v>
      </c>
      <c r="C183" s="66" t="s">
        <v>2153</v>
      </c>
      <c r="D183" s="67">
        <v>3</v>
      </c>
      <c r="E183" s="66" t="s">
        <v>132</v>
      </c>
      <c r="F183" s="69">
        <v>32</v>
      </c>
      <c r="G183" s="66"/>
      <c r="H183" s="70"/>
      <c r="I183" s="71"/>
      <c r="J183" s="71"/>
      <c r="K183" s="35" t="s">
        <v>65</v>
      </c>
      <c r="L183" s="72">
        <v>183</v>
      </c>
      <c r="M183" s="72"/>
      <c r="N183" s="73"/>
      <c r="O183" s="80" t="s">
        <v>352</v>
      </c>
      <c r="P183" s="82">
        <v>44222.38034722222</v>
      </c>
      <c r="Q183" s="80" t="s">
        <v>412</v>
      </c>
      <c r="R183" s="84" t="str">
        <f>HYPERLINK("https://www.tiess.online/registration?utm_source=Partners&amp;utm_medium=All&amp;utm_campaign=TIESS&amp;utm_term=039")</f>
        <v>https://www.tiess.online/registration?utm_source=Partners&amp;utm_medium=All&amp;utm_campaign=TIESS&amp;utm_term=039</v>
      </c>
      <c r="S183" s="80" t="s">
        <v>444</v>
      </c>
      <c r="T183" s="80" t="s">
        <v>449</v>
      </c>
      <c r="U183" s="84" t="str">
        <f>HYPERLINK("https://pbs.twimg.com/media/EsjncMMVkAEjEeJ.jpg")</f>
        <v>https://pbs.twimg.com/media/EsjncMMVkAEjEeJ.jpg</v>
      </c>
      <c r="V183" s="84" t="str">
        <f>HYPERLINK("https://pbs.twimg.com/media/EsjncMMVkAEjEeJ.jpg")</f>
        <v>https://pbs.twimg.com/media/EsjncMMVkAEjEeJ.jpg</v>
      </c>
      <c r="W183" s="82">
        <v>44222.38034722222</v>
      </c>
      <c r="X183" s="86">
        <v>44222</v>
      </c>
      <c r="Y183" s="88" t="s">
        <v>568</v>
      </c>
      <c r="Z183" s="84" t="str">
        <f>HYPERLINK("https://twitter.com/shaireshef/status/1353993003128545281")</f>
        <v>https://twitter.com/shaireshef/status/1353993003128545281</v>
      </c>
      <c r="AA183" s="80"/>
      <c r="AB183" s="80"/>
      <c r="AC183" s="88" t="s">
        <v>719</v>
      </c>
      <c r="AD183" s="80"/>
      <c r="AE183" s="80" t="b">
        <v>0</v>
      </c>
      <c r="AF183" s="80">
        <v>0</v>
      </c>
      <c r="AG183" s="88" t="s">
        <v>763</v>
      </c>
      <c r="AH183" s="80" t="b">
        <v>0</v>
      </c>
      <c r="AI183" s="80" t="s">
        <v>764</v>
      </c>
      <c r="AJ183" s="80"/>
      <c r="AK183" s="88" t="s">
        <v>763</v>
      </c>
      <c r="AL183" s="80" t="b">
        <v>0</v>
      </c>
      <c r="AM183" s="80">
        <v>1</v>
      </c>
      <c r="AN183" s="88" t="s">
        <v>718</v>
      </c>
      <c r="AO183" s="80" t="s">
        <v>765</v>
      </c>
      <c r="AP183" s="80" t="b">
        <v>0</v>
      </c>
      <c r="AQ183" s="88" t="s">
        <v>718</v>
      </c>
      <c r="AR183" s="80" t="s">
        <v>197</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271</v>
      </c>
      <c r="B184" s="65" t="s">
        <v>345</v>
      </c>
      <c r="C184" s="66" t="s">
        <v>2155</v>
      </c>
      <c r="D184" s="67">
        <v>5.333333333333334</v>
      </c>
      <c r="E184" s="66" t="s">
        <v>136</v>
      </c>
      <c r="F184" s="69">
        <v>30.63157894736842</v>
      </c>
      <c r="G184" s="66"/>
      <c r="H184" s="70"/>
      <c r="I184" s="71"/>
      <c r="J184" s="71"/>
      <c r="K184" s="35" t="s">
        <v>65</v>
      </c>
      <c r="L184" s="72">
        <v>184</v>
      </c>
      <c r="M184" s="72"/>
      <c r="N184" s="73"/>
      <c r="O184" s="80" t="s">
        <v>353</v>
      </c>
      <c r="P184" s="82">
        <v>44218.614166666666</v>
      </c>
      <c r="Q184" s="80" t="s">
        <v>413</v>
      </c>
      <c r="R184" s="84" t="str">
        <f>HYPERLINK("https://www.tiess.online/registration?utm_source=SM&amp;utm_medium=Holloway&amp;utm_campaign=TIESS&amp;utm_term=043")</f>
        <v>https://www.tiess.online/registration?utm_source=SM&amp;utm_medium=Holloway&amp;utm_campaign=TIESS&amp;utm_term=043</v>
      </c>
      <c r="S184" s="80" t="s">
        <v>444</v>
      </c>
      <c r="T184" s="80" t="s">
        <v>450</v>
      </c>
      <c r="U184" s="84" t="str">
        <f>HYPERLINK("https://pbs.twimg.com/media/EsWAGTRU4AEz-dp.jpg")</f>
        <v>https://pbs.twimg.com/media/EsWAGTRU4AEz-dp.jpg</v>
      </c>
      <c r="V184" s="84" t="str">
        <f>HYPERLINK("https://pbs.twimg.com/media/EsWAGTRU4AEz-dp.jpg")</f>
        <v>https://pbs.twimg.com/media/EsWAGTRU4AEz-dp.jpg</v>
      </c>
      <c r="W184" s="82">
        <v>44218.614166666666</v>
      </c>
      <c r="X184" s="86">
        <v>44218</v>
      </c>
      <c r="Y184" s="88" t="s">
        <v>569</v>
      </c>
      <c r="Z184" s="84" t="str">
        <f>HYPERLINK("https://twitter.com/indiadidac/status/1352628185117061123")</f>
        <v>https://twitter.com/indiadidac/status/1352628185117061123</v>
      </c>
      <c r="AA184" s="80"/>
      <c r="AB184" s="80"/>
      <c r="AC184" s="88" t="s">
        <v>720</v>
      </c>
      <c r="AD184" s="80"/>
      <c r="AE184" s="80" t="b">
        <v>0</v>
      </c>
      <c r="AF184" s="80">
        <v>0</v>
      </c>
      <c r="AG184" s="88" t="s">
        <v>763</v>
      </c>
      <c r="AH184" s="80" t="b">
        <v>0</v>
      </c>
      <c r="AI184" s="80" t="s">
        <v>764</v>
      </c>
      <c r="AJ184" s="80"/>
      <c r="AK184" s="88" t="s">
        <v>763</v>
      </c>
      <c r="AL184" s="80" t="b">
        <v>0</v>
      </c>
      <c r="AM184" s="80">
        <v>0</v>
      </c>
      <c r="AN184" s="88" t="s">
        <v>763</v>
      </c>
      <c r="AO184" s="80" t="s">
        <v>765</v>
      </c>
      <c r="AP184" s="80" t="b">
        <v>0</v>
      </c>
      <c r="AQ184" s="88" t="s">
        <v>720</v>
      </c>
      <c r="AR184" s="80" t="s">
        <v>197</v>
      </c>
      <c r="AS184" s="80">
        <v>0</v>
      </c>
      <c r="AT184" s="80">
        <v>0</v>
      </c>
      <c r="AU184" s="80"/>
      <c r="AV184" s="80"/>
      <c r="AW184" s="80"/>
      <c r="AX184" s="80"/>
      <c r="AY184" s="80"/>
      <c r="AZ184" s="80"/>
      <c r="BA184" s="80"/>
      <c r="BB184" s="80"/>
      <c r="BC184">
        <v>2</v>
      </c>
      <c r="BD184" s="79" t="str">
        <f>REPLACE(INDEX(GroupVertices[Group],MATCH(Edges[[#This Row],[Vertex 1]],GroupVertices[Vertex],0)),1,1,"")</f>
        <v>1</v>
      </c>
      <c r="BE184" s="79"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5" t="s">
        <v>271</v>
      </c>
      <c r="B185" s="65" t="s">
        <v>345</v>
      </c>
      <c r="C185" s="66" t="s">
        <v>2155</v>
      </c>
      <c r="D185" s="67">
        <v>5.333333333333334</v>
      </c>
      <c r="E185" s="66" t="s">
        <v>136</v>
      </c>
      <c r="F185" s="69">
        <v>30.63157894736842</v>
      </c>
      <c r="G185" s="66"/>
      <c r="H185" s="70"/>
      <c r="I185" s="71"/>
      <c r="J185" s="71"/>
      <c r="K185" s="35" t="s">
        <v>65</v>
      </c>
      <c r="L185" s="72">
        <v>185</v>
      </c>
      <c r="M185" s="72"/>
      <c r="N185" s="73"/>
      <c r="O185" s="80" t="s">
        <v>353</v>
      </c>
      <c r="P185" s="82">
        <v>44221.25819444445</v>
      </c>
      <c r="Q185" s="80" t="s">
        <v>412</v>
      </c>
      <c r="R185" s="84" t="str">
        <f>HYPERLINK("https://www.tiess.online/registration?utm_source=Partners&amp;utm_medium=All&amp;utm_campaign=TIESS&amp;utm_term=039")</f>
        <v>https://www.tiess.online/registration?utm_source=Partners&amp;utm_medium=All&amp;utm_campaign=TIESS&amp;utm_term=039</v>
      </c>
      <c r="S185" s="80" t="s">
        <v>444</v>
      </c>
      <c r="T185" s="80" t="s">
        <v>449</v>
      </c>
      <c r="U185" s="84" t="str">
        <f>HYPERLINK("https://pbs.twimg.com/media/EsjncMMVkAEjEeJ.jpg")</f>
        <v>https://pbs.twimg.com/media/EsjncMMVkAEjEeJ.jpg</v>
      </c>
      <c r="V185" s="84" t="str">
        <f>HYPERLINK("https://pbs.twimg.com/media/EsjncMMVkAEjEeJ.jpg")</f>
        <v>https://pbs.twimg.com/media/EsjncMMVkAEjEeJ.jpg</v>
      </c>
      <c r="W185" s="82">
        <v>44221.25819444445</v>
      </c>
      <c r="X185" s="86">
        <v>44221</v>
      </c>
      <c r="Y185" s="88" t="s">
        <v>567</v>
      </c>
      <c r="Z185" s="84" t="str">
        <f>HYPERLINK("https://twitter.com/indiadidac/status/1353586348117028867")</f>
        <v>https://twitter.com/indiadidac/status/1353586348117028867</v>
      </c>
      <c r="AA185" s="80"/>
      <c r="AB185" s="80"/>
      <c r="AC185" s="88" t="s">
        <v>718</v>
      </c>
      <c r="AD185" s="80"/>
      <c r="AE185" s="80" t="b">
        <v>0</v>
      </c>
      <c r="AF185" s="80">
        <v>4</v>
      </c>
      <c r="AG185" s="88" t="s">
        <v>763</v>
      </c>
      <c r="AH185" s="80" t="b">
        <v>0</v>
      </c>
      <c r="AI185" s="80" t="s">
        <v>764</v>
      </c>
      <c r="AJ185" s="80"/>
      <c r="AK185" s="88" t="s">
        <v>763</v>
      </c>
      <c r="AL185" s="80" t="b">
        <v>0</v>
      </c>
      <c r="AM185" s="80">
        <v>1</v>
      </c>
      <c r="AN185" s="88" t="s">
        <v>763</v>
      </c>
      <c r="AO185" s="80" t="s">
        <v>765</v>
      </c>
      <c r="AP185" s="80" t="b">
        <v>0</v>
      </c>
      <c r="AQ185" s="88" t="s">
        <v>718</v>
      </c>
      <c r="AR185" s="80" t="s">
        <v>197</v>
      </c>
      <c r="AS185" s="80">
        <v>0</v>
      </c>
      <c r="AT185" s="80">
        <v>0</v>
      </c>
      <c r="AU185" s="80"/>
      <c r="AV185" s="80"/>
      <c r="AW185" s="80"/>
      <c r="AX185" s="80"/>
      <c r="AY185" s="80"/>
      <c r="AZ185" s="80"/>
      <c r="BA185" s="80"/>
      <c r="BB185" s="80"/>
      <c r="BC185">
        <v>2</v>
      </c>
      <c r="BD185" s="79" t="str">
        <f>REPLACE(INDEX(GroupVertices[Group],MATCH(Edges[[#This Row],[Vertex 1]],GroupVertices[Vertex],0)),1,1,"")</f>
        <v>1</v>
      </c>
      <c r="BE185" s="79" t="str">
        <f>REPLACE(INDEX(GroupVertices[Group],MATCH(Edges[[#This Row],[Vertex 2]],GroupVertices[Vertex],0)),1,1,"")</f>
        <v>2</v>
      </c>
      <c r="BF185" s="49"/>
      <c r="BG185" s="50"/>
      <c r="BH185" s="49"/>
      <c r="BI185" s="50"/>
      <c r="BJ185" s="49"/>
      <c r="BK185" s="50"/>
      <c r="BL185" s="49"/>
      <c r="BM185" s="50"/>
      <c r="BN185" s="49"/>
    </row>
    <row r="186" spans="1:66" ht="15">
      <c r="A186" s="65" t="s">
        <v>292</v>
      </c>
      <c r="B186" s="65" t="s">
        <v>345</v>
      </c>
      <c r="C186" s="66" t="s">
        <v>2153</v>
      </c>
      <c r="D186" s="67">
        <v>3</v>
      </c>
      <c r="E186" s="66" t="s">
        <v>132</v>
      </c>
      <c r="F186" s="69">
        <v>32</v>
      </c>
      <c r="G186" s="66"/>
      <c r="H186" s="70"/>
      <c r="I186" s="71"/>
      <c r="J186" s="71"/>
      <c r="K186" s="35" t="s">
        <v>65</v>
      </c>
      <c r="L186" s="72">
        <v>186</v>
      </c>
      <c r="M186" s="72"/>
      <c r="N186" s="73"/>
      <c r="O186" s="80" t="s">
        <v>352</v>
      </c>
      <c r="P186" s="82">
        <v>44222.38034722222</v>
      </c>
      <c r="Q186" s="80" t="s">
        <v>412</v>
      </c>
      <c r="R186" s="84" t="str">
        <f>HYPERLINK("https://www.tiess.online/registration?utm_source=Partners&amp;utm_medium=All&amp;utm_campaign=TIESS&amp;utm_term=039")</f>
        <v>https://www.tiess.online/registration?utm_source=Partners&amp;utm_medium=All&amp;utm_campaign=TIESS&amp;utm_term=039</v>
      </c>
      <c r="S186" s="80" t="s">
        <v>444</v>
      </c>
      <c r="T186" s="80" t="s">
        <v>449</v>
      </c>
      <c r="U186" s="84" t="str">
        <f>HYPERLINK("https://pbs.twimg.com/media/EsjncMMVkAEjEeJ.jpg")</f>
        <v>https://pbs.twimg.com/media/EsjncMMVkAEjEeJ.jpg</v>
      </c>
      <c r="V186" s="84" t="str">
        <f>HYPERLINK("https://pbs.twimg.com/media/EsjncMMVkAEjEeJ.jpg")</f>
        <v>https://pbs.twimg.com/media/EsjncMMVkAEjEeJ.jpg</v>
      </c>
      <c r="W186" s="82">
        <v>44222.38034722222</v>
      </c>
      <c r="X186" s="86">
        <v>44222</v>
      </c>
      <c r="Y186" s="88" t="s">
        <v>568</v>
      </c>
      <c r="Z186" s="84" t="str">
        <f>HYPERLINK("https://twitter.com/shaireshef/status/1353993003128545281")</f>
        <v>https://twitter.com/shaireshef/status/1353993003128545281</v>
      </c>
      <c r="AA186" s="80"/>
      <c r="AB186" s="80"/>
      <c r="AC186" s="88" t="s">
        <v>719</v>
      </c>
      <c r="AD186" s="80"/>
      <c r="AE186" s="80" t="b">
        <v>0</v>
      </c>
      <c r="AF186" s="80">
        <v>0</v>
      </c>
      <c r="AG186" s="88" t="s">
        <v>763</v>
      </c>
      <c r="AH186" s="80" t="b">
        <v>0</v>
      </c>
      <c r="AI186" s="80" t="s">
        <v>764</v>
      </c>
      <c r="AJ186" s="80"/>
      <c r="AK186" s="88" t="s">
        <v>763</v>
      </c>
      <c r="AL186" s="80" t="b">
        <v>0</v>
      </c>
      <c r="AM186" s="80">
        <v>1</v>
      </c>
      <c r="AN186" s="88" t="s">
        <v>718</v>
      </c>
      <c r="AO186" s="80" t="s">
        <v>765</v>
      </c>
      <c r="AP186" s="80" t="b">
        <v>0</v>
      </c>
      <c r="AQ186" s="88" t="s">
        <v>718</v>
      </c>
      <c r="AR186" s="80" t="s">
        <v>197</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264</v>
      </c>
      <c r="B187" s="65" t="s">
        <v>264</v>
      </c>
      <c r="C187" s="66" t="s">
        <v>2153</v>
      </c>
      <c r="D187" s="67">
        <v>3</v>
      </c>
      <c r="E187" s="66" t="s">
        <v>132</v>
      </c>
      <c r="F187" s="69">
        <v>32</v>
      </c>
      <c r="G187" s="66"/>
      <c r="H187" s="70"/>
      <c r="I187" s="71"/>
      <c r="J187" s="71"/>
      <c r="K187" s="35" t="s">
        <v>65</v>
      </c>
      <c r="L187" s="72">
        <v>187</v>
      </c>
      <c r="M187" s="72"/>
      <c r="N187" s="73"/>
      <c r="O187" s="80" t="s">
        <v>197</v>
      </c>
      <c r="P187" s="82">
        <v>44221.27065972222</v>
      </c>
      <c r="Q187" s="80" t="s">
        <v>368</v>
      </c>
      <c r="R187" s="84" t="str">
        <f>HYPERLINK("https://twitter.com/Indiadidac/status/1353586348117028867")</f>
        <v>https://twitter.com/Indiadidac/status/1353586348117028867</v>
      </c>
      <c r="S187" s="80" t="s">
        <v>445</v>
      </c>
      <c r="T187" s="80" t="s">
        <v>453</v>
      </c>
      <c r="U187" s="80"/>
      <c r="V187" s="84" t="str">
        <f>HYPERLINK("https://pbs.twimg.com/profile_images/912616865574219776/s0G4kIoM_normal.jpg")</f>
        <v>https://pbs.twimg.com/profile_images/912616865574219776/s0G4kIoM_normal.jpg</v>
      </c>
      <c r="W187" s="82">
        <v>44221.27065972222</v>
      </c>
      <c r="X187" s="86">
        <v>44221</v>
      </c>
      <c r="Y187" s="88" t="s">
        <v>570</v>
      </c>
      <c r="Z187" s="84" t="str">
        <f>HYPERLINK("https://twitter.com/tcs_ion/status/1353590864707162118")</f>
        <v>https://twitter.com/tcs_ion/status/1353590864707162118</v>
      </c>
      <c r="AA187" s="80"/>
      <c r="AB187" s="80"/>
      <c r="AC187" s="88" t="s">
        <v>721</v>
      </c>
      <c r="AD187" s="80"/>
      <c r="AE187" s="80" t="b">
        <v>0</v>
      </c>
      <c r="AF187" s="80">
        <v>3</v>
      </c>
      <c r="AG187" s="88" t="s">
        <v>763</v>
      </c>
      <c r="AH187" s="80" t="b">
        <v>1</v>
      </c>
      <c r="AI187" s="80" t="s">
        <v>764</v>
      </c>
      <c r="AJ187" s="80"/>
      <c r="AK187" s="88" t="s">
        <v>718</v>
      </c>
      <c r="AL187" s="80" t="b">
        <v>0</v>
      </c>
      <c r="AM187" s="80">
        <v>1</v>
      </c>
      <c r="AN187" s="88" t="s">
        <v>763</v>
      </c>
      <c r="AO187" s="80" t="s">
        <v>765</v>
      </c>
      <c r="AP187" s="80" t="b">
        <v>0</v>
      </c>
      <c r="AQ187" s="88" t="s">
        <v>721</v>
      </c>
      <c r="AR187" s="80" t="s">
        <v>197</v>
      </c>
      <c r="AS187" s="80">
        <v>0</v>
      </c>
      <c r="AT187" s="80">
        <v>0</v>
      </c>
      <c r="AU187" s="80"/>
      <c r="AV187" s="80"/>
      <c r="AW187" s="80"/>
      <c r="AX187" s="80"/>
      <c r="AY187" s="80"/>
      <c r="AZ187" s="80"/>
      <c r="BA187" s="80"/>
      <c r="BB187" s="80"/>
      <c r="BC187">
        <v>1</v>
      </c>
      <c r="BD187" s="79" t="str">
        <f>REPLACE(INDEX(GroupVertices[Group],MATCH(Edges[[#This Row],[Vertex 1]],GroupVertices[Vertex],0)),1,1,"")</f>
        <v>8</v>
      </c>
      <c r="BE187" s="79" t="str">
        <f>REPLACE(INDEX(GroupVertices[Group],MATCH(Edges[[#This Row],[Vertex 2]],GroupVertices[Vertex],0)),1,1,"")</f>
        <v>8</v>
      </c>
      <c r="BF187" s="49">
        <v>1</v>
      </c>
      <c r="BG187" s="50">
        <v>3.125</v>
      </c>
      <c r="BH187" s="49">
        <v>0</v>
      </c>
      <c r="BI187" s="50">
        <v>0</v>
      </c>
      <c r="BJ187" s="49">
        <v>0</v>
      </c>
      <c r="BK187" s="50">
        <v>0</v>
      </c>
      <c r="BL187" s="49">
        <v>31</v>
      </c>
      <c r="BM187" s="50">
        <v>96.875</v>
      </c>
      <c r="BN187" s="49">
        <v>32</v>
      </c>
    </row>
    <row r="188" spans="1:66" ht="15">
      <c r="A188" s="65" t="s">
        <v>271</v>
      </c>
      <c r="B188" s="65" t="s">
        <v>264</v>
      </c>
      <c r="C188" s="66" t="s">
        <v>2155</v>
      </c>
      <c r="D188" s="67">
        <v>5.333333333333334</v>
      </c>
      <c r="E188" s="66" t="s">
        <v>136</v>
      </c>
      <c r="F188" s="69">
        <v>30.63157894736842</v>
      </c>
      <c r="G188" s="66"/>
      <c r="H188" s="70"/>
      <c r="I188" s="71"/>
      <c r="J188" s="71"/>
      <c r="K188" s="35" t="s">
        <v>65</v>
      </c>
      <c r="L188" s="72">
        <v>188</v>
      </c>
      <c r="M188" s="72"/>
      <c r="N188" s="73"/>
      <c r="O188" s="80" t="s">
        <v>353</v>
      </c>
      <c r="P188" s="82">
        <v>44218.42642361111</v>
      </c>
      <c r="Q188" s="80" t="s">
        <v>414</v>
      </c>
      <c r="R188" s="84" t="str">
        <f>HYPERLINK("https://www.tiess.online/registration?utm_source=SM&amp;utm_medium=Krishnan&amp;utm_campaign=TIESS&amp;utm_term=040")</f>
        <v>https://www.tiess.online/registration?utm_source=SM&amp;utm_medium=Krishnan&amp;utm_campaign=TIESS&amp;utm_term=040</v>
      </c>
      <c r="S188" s="80" t="s">
        <v>444</v>
      </c>
      <c r="T188" s="80" t="s">
        <v>449</v>
      </c>
      <c r="U188" s="84" t="str">
        <f>HYPERLINK("https://pbs.twimg.com/media/EsVCOMAVEAIUjPy.jpg")</f>
        <v>https://pbs.twimg.com/media/EsVCOMAVEAIUjPy.jpg</v>
      </c>
      <c r="V188" s="84" t="str">
        <f>HYPERLINK("https://pbs.twimg.com/media/EsVCOMAVEAIUjPy.jpg")</f>
        <v>https://pbs.twimg.com/media/EsVCOMAVEAIUjPy.jpg</v>
      </c>
      <c r="W188" s="82">
        <v>44218.42642361111</v>
      </c>
      <c r="X188" s="86">
        <v>44218</v>
      </c>
      <c r="Y188" s="88" t="s">
        <v>571</v>
      </c>
      <c r="Z188" s="84" t="str">
        <f>HYPERLINK("https://twitter.com/indiadidac/status/1352560149135671299")</f>
        <v>https://twitter.com/indiadidac/status/1352560149135671299</v>
      </c>
      <c r="AA188" s="80"/>
      <c r="AB188" s="80"/>
      <c r="AC188" s="88" t="s">
        <v>722</v>
      </c>
      <c r="AD188" s="80"/>
      <c r="AE188" s="80" t="b">
        <v>0</v>
      </c>
      <c r="AF188" s="80">
        <v>1</v>
      </c>
      <c r="AG188" s="88" t="s">
        <v>763</v>
      </c>
      <c r="AH188" s="80" t="b">
        <v>0</v>
      </c>
      <c r="AI188" s="80" t="s">
        <v>764</v>
      </c>
      <c r="AJ188" s="80"/>
      <c r="AK188" s="88" t="s">
        <v>763</v>
      </c>
      <c r="AL188" s="80" t="b">
        <v>0</v>
      </c>
      <c r="AM188" s="80">
        <v>0</v>
      </c>
      <c r="AN188" s="88" t="s">
        <v>763</v>
      </c>
      <c r="AO188" s="80" t="s">
        <v>765</v>
      </c>
      <c r="AP188" s="80" t="b">
        <v>0</v>
      </c>
      <c r="AQ188" s="88" t="s">
        <v>722</v>
      </c>
      <c r="AR188" s="80" t="s">
        <v>197</v>
      </c>
      <c r="AS188" s="80">
        <v>0</v>
      </c>
      <c r="AT188" s="80">
        <v>0</v>
      </c>
      <c r="AU188" s="80"/>
      <c r="AV188" s="80"/>
      <c r="AW188" s="80"/>
      <c r="AX188" s="80"/>
      <c r="AY188" s="80"/>
      <c r="AZ188" s="80"/>
      <c r="BA188" s="80"/>
      <c r="BB188" s="80"/>
      <c r="BC188">
        <v>2</v>
      </c>
      <c r="BD188" s="79" t="str">
        <f>REPLACE(INDEX(GroupVertices[Group],MATCH(Edges[[#This Row],[Vertex 1]],GroupVertices[Vertex],0)),1,1,"")</f>
        <v>1</v>
      </c>
      <c r="BE188" s="79" t="str">
        <f>REPLACE(INDEX(GroupVertices[Group],MATCH(Edges[[#This Row],[Vertex 2]],GroupVertices[Vertex],0)),1,1,"")</f>
        <v>8</v>
      </c>
      <c r="BF188" s="49">
        <v>1</v>
      </c>
      <c r="BG188" s="50">
        <v>2.7027027027027026</v>
      </c>
      <c r="BH188" s="49">
        <v>0</v>
      </c>
      <c r="BI188" s="50">
        <v>0</v>
      </c>
      <c r="BJ188" s="49">
        <v>0</v>
      </c>
      <c r="BK188" s="50">
        <v>0</v>
      </c>
      <c r="BL188" s="49">
        <v>36</v>
      </c>
      <c r="BM188" s="50">
        <v>97.29729729729729</v>
      </c>
      <c r="BN188" s="49">
        <v>37</v>
      </c>
    </row>
    <row r="189" spans="1:66" ht="15">
      <c r="A189" s="65" t="s">
        <v>271</v>
      </c>
      <c r="B189" s="65" t="s">
        <v>264</v>
      </c>
      <c r="C189" s="66" t="s">
        <v>2155</v>
      </c>
      <c r="D189" s="67">
        <v>5.333333333333334</v>
      </c>
      <c r="E189" s="66" t="s">
        <v>136</v>
      </c>
      <c r="F189" s="69">
        <v>30.63157894736842</v>
      </c>
      <c r="G189" s="66"/>
      <c r="H189" s="70"/>
      <c r="I189" s="71"/>
      <c r="J189" s="71"/>
      <c r="K189" s="35" t="s">
        <v>65</v>
      </c>
      <c r="L189" s="72">
        <v>189</v>
      </c>
      <c r="M189" s="72"/>
      <c r="N189" s="73"/>
      <c r="O189" s="80" t="s">
        <v>353</v>
      </c>
      <c r="P189" s="82">
        <v>44221.25819444445</v>
      </c>
      <c r="Q189" s="80" t="s">
        <v>412</v>
      </c>
      <c r="R189" s="84" t="str">
        <f>HYPERLINK("https://www.tiess.online/registration?utm_source=Partners&amp;utm_medium=All&amp;utm_campaign=TIESS&amp;utm_term=039")</f>
        <v>https://www.tiess.online/registration?utm_source=Partners&amp;utm_medium=All&amp;utm_campaign=TIESS&amp;utm_term=039</v>
      </c>
      <c r="S189" s="80" t="s">
        <v>444</v>
      </c>
      <c r="T189" s="80" t="s">
        <v>449</v>
      </c>
      <c r="U189" s="84" t="str">
        <f>HYPERLINK("https://pbs.twimg.com/media/EsjncMMVkAEjEeJ.jpg")</f>
        <v>https://pbs.twimg.com/media/EsjncMMVkAEjEeJ.jpg</v>
      </c>
      <c r="V189" s="84" t="str">
        <f>HYPERLINK("https://pbs.twimg.com/media/EsjncMMVkAEjEeJ.jpg")</f>
        <v>https://pbs.twimg.com/media/EsjncMMVkAEjEeJ.jpg</v>
      </c>
      <c r="W189" s="82">
        <v>44221.25819444445</v>
      </c>
      <c r="X189" s="86">
        <v>44221</v>
      </c>
      <c r="Y189" s="88" t="s">
        <v>567</v>
      </c>
      <c r="Z189" s="84" t="str">
        <f>HYPERLINK("https://twitter.com/indiadidac/status/1353586348117028867")</f>
        <v>https://twitter.com/indiadidac/status/1353586348117028867</v>
      </c>
      <c r="AA189" s="80"/>
      <c r="AB189" s="80"/>
      <c r="AC189" s="88" t="s">
        <v>718</v>
      </c>
      <c r="AD189" s="80"/>
      <c r="AE189" s="80" t="b">
        <v>0</v>
      </c>
      <c r="AF189" s="80">
        <v>4</v>
      </c>
      <c r="AG189" s="88" t="s">
        <v>763</v>
      </c>
      <c r="AH189" s="80" t="b">
        <v>0</v>
      </c>
      <c r="AI189" s="80" t="s">
        <v>764</v>
      </c>
      <c r="AJ189" s="80"/>
      <c r="AK189" s="88" t="s">
        <v>763</v>
      </c>
      <c r="AL189" s="80" t="b">
        <v>0</v>
      </c>
      <c r="AM189" s="80">
        <v>1</v>
      </c>
      <c r="AN189" s="88" t="s">
        <v>763</v>
      </c>
      <c r="AO189" s="80" t="s">
        <v>765</v>
      </c>
      <c r="AP189" s="80" t="b">
        <v>0</v>
      </c>
      <c r="AQ189" s="88" t="s">
        <v>718</v>
      </c>
      <c r="AR189" s="80" t="s">
        <v>197</v>
      </c>
      <c r="AS189" s="80">
        <v>0</v>
      </c>
      <c r="AT189" s="80">
        <v>0</v>
      </c>
      <c r="AU189" s="80"/>
      <c r="AV189" s="80"/>
      <c r="AW189" s="80"/>
      <c r="AX189" s="80"/>
      <c r="AY189" s="80"/>
      <c r="AZ189" s="80"/>
      <c r="BA189" s="80"/>
      <c r="BB189" s="80"/>
      <c r="BC189">
        <v>2</v>
      </c>
      <c r="BD189" s="79" t="str">
        <f>REPLACE(INDEX(GroupVertices[Group],MATCH(Edges[[#This Row],[Vertex 1]],GroupVertices[Vertex],0)),1,1,"")</f>
        <v>1</v>
      </c>
      <c r="BE189" s="79" t="str">
        <f>REPLACE(INDEX(GroupVertices[Group],MATCH(Edges[[#This Row],[Vertex 2]],GroupVertices[Vertex],0)),1,1,"")</f>
        <v>8</v>
      </c>
      <c r="BF189" s="49"/>
      <c r="BG189" s="50"/>
      <c r="BH189" s="49"/>
      <c r="BI189" s="50"/>
      <c r="BJ189" s="49"/>
      <c r="BK189" s="50"/>
      <c r="BL189" s="49"/>
      <c r="BM189" s="50"/>
      <c r="BN189" s="49"/>
    </row>
    <row r="190" spans="1:66" ht="15">
      <c r="A190" s="65" t="s">
        <v>292</v>
      </c>
      <c r="B190" s="65" t="s">
        <v>264</v>
      </c>
      <c r="C190" s="66" t="s">
        <v>2153</v>
      </c>
      <c r="D190" s="67">
        <v>3</v>
      </c>
      <c r="E190" s="66" t="s">
        <v>132</v>
      </c>
      <c r="F190" s="69">
        <v>32</v>
      </c>
      <c r="G190" s="66"/>
      <c r="H190" s="70"/>
      <c r="I190" s="71"/>
      <c r="J190" s="71"/>
      <c r="K190" s="35" t="s">
        <v>65</v>
      </c>
      <c r="L190" s="72">
        <v>190</v>
      </c>
      <c r="M190" s="72"/>
      <c r="N190" s="73"/>
      <c r="O190" s="80" t="s">
        <v>352</v>
      </c>
      <c r="P190" s="82">
        <v>44222.38034722222</v>
      </c>
      <c r="Q190" s="80" t="s">
        <v>412</v>
      </c>
      <c r="R190" s="84" t="str">
        <f>HYPERLINK("https://www.tiess.online/registration?utm_source=Partners&amp;utm_medium=All&amp;utm_campaign=TIESS&amp;utm_term=039")</f>
        <v>https://www.tiess.online/registration?utm_source=Partners&amp;utm_medium=All&amp;utm_campaign=TIESS&amp;utm_term=039</v>
      </c>
      <c r="S190" s="80" t="s">
        <v>444</v>
      </c>
      <c r="T190" s="80" t="s">
        <v>449</v>
      </c>
      <c r="U190" s="84" t="str">
        <f>HYPERLINK("https://pbs.twimg.com/media/EsjncMMVkAEjEeJ.jpg")</f>
        <v>https://pbs.twimg.com/media/EsjncMMVkAEjEeJ.jpg</v>
      </c>
      <c r="V190" s="84" t="str">
        <f>HYPERLINK("https://pbs.twimg.com/media/EsjncMMVkAEjEeJ.jpg")</f>
        <v>https://pbs.twimg.com/media/EsjncMMVkAEjEeJ.jpg</v>
      </c>
      <c r="W190" s="82">
        <v>44222.38034722222</v>
      </c>
      <c r="X190" s="86">
        <v>44222</v>
      </c>
      <c r="Y190" s="88" t="s">
        <v>568</v>
      </c>
      <c r="Z190" s="84" t="str">
        <f>HYPERLINK("https://twitter.com/shaireshef/status/1353993003128545281")</f>
        <v>https://twitter.com/shaireshef/status/1353993003128545281</v>
      </c>
      <c r="AA190" s="80"/>
      <c r="AB190" s="80"/>
      <c r="AC190" s="88" t="s">
        <v>719</v>
      </c>
      <c r="AD190" s="80"/>
      <c r="AE190" s="80" t="b">
        <v>0</v>
      </c>
      <c r="AF190" s="80">
        <v>0</v>
      </c>
      <c r="AG190" s="88" t="s">
        <v>763</v>
      </c>
      <c r="AH190" s="80" t="b">
        <v>0</v>
      </c>
      <c r="AI190" s="80" t="s">
        <v>764</v>
      </c>
      <c r="AJ190" s="80"/>
      <c r="AK190" s="88" t="s">
        <v>763</v>
      </c>
      <c r="AL190" s="80" t="b">
        <v>0</v>
      </c>
      <c r="AM190" s="80">
        <v>1</v>
      </c>
      <c r="AN190" s="88" t="s">
        <v>718</v>
      </c>
      <c r="AO190" s="80" t="s">
        <v>765</v>
      </c>
      <c r="AP190" s="80" t="b">
        <v>0</v>
      </c>
      <c r="AQ190" s="88" t="s">
        <v>718</v>
      </c>
      <c r="AR190" s="80" t="s">
        <v>197</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8</v>
      </c>
      <c r="BF190" s="49"/>
      <c r="BG190" s="50"/>
      <c r="BH190" s="49"/>
      <c r="BI190" s="50"/>
      <c r="BJ190" s="49"/>
      <c r="BK190" s="50"/>
      <c r="BL190" s="49"/>
      <c r="BM190" s="50"/>
      <c r="BN190" s="49"/>
    </row>
    <row r="191" spans="1:66" ht="15">
      <c r="A191" s="65" t="s">
        <v>271</v>
      </c>
      <c r="B191" s="65" t="s">
        <v>346</v>
      </c>
      <c r="C191" s="66" t="s">
        <v>2154</v>
      </c>
      <c r="D191" s="67">
        <v>7.666666666666667</v>
      </c>
      <c r="E191" s="66" t="s">
        <v>136</v>
      </c>
      <c r="F191" s="69">
        <v>29.263157894736842</v>
      </c>
      <c r="G191" s="66"/>
      <c r="H191" s="70"/>
      <c r="I191" s="71"/>
      <c r="J191" s="71"/>
      <c r="K191" s="35" t="s">
        <v>65</v>
      </c>
      <c r="L191" s="72">
        <v>191</v>
      </c>
      <c r="M191" s="72"/>
      <c r="N191" s="73"/>
      <c r="O191" s="80" t="s">
        <v>353</v>
      </c>
      <c r="P191" s="82">
        <v>44221.25819444445</v>
      </c>
      <c r="Q191" s="80" t="s">
        <v>412</v>
      </c>
      <c r="R191" s="84" t="str">
        <f>HYPERLINK("https://www.tiess.online/registration?utm_source=Partners&amp;utm_medium=All&amp;utm_campaign=TIESS&amp;utm_term=039")</f>
        <v>https://www.tiess.online/registration?utm_source=Partners&amp;utm_medium=All&amp;utm_campaign=TIESS&amp;utm_term=039</v>
      </c>
      <c r="S191" s="80" t="s">
        <v>444</v>
      </c>
      <c r="T191" s="80" t="s">
        <v>449</v>
      </c>
      <c r="U191" s="84" t="str">
        <f>HYPERLINK("https://pbs.twimg.com/media/EsjncMMVkAEjEeJ.jpg")</f>
        <v>https://pbs.twimg.com/media/EsjncMMVkAEjEeJ.jpg</v>
      </c>
      <c r="V191" s="84" t="str">
        <f>HYPERLINK("https://pbs.twimg.com/media/EsjncMMVkAEjEeJ.jpg")</f>
        <v>https://pbs.twimg.com/media/EsjncMMVkAEjEeJ.jpg</v>
      </c>
      <c r="W191" s="82">
        <v>44221.25819444445</v>
      </c>
      <c r="X191" s="86">
        <v>44221</v>
      </c>
      <c r="Y191" s="88" t="s">
        <v>567</v>
      </c>
      <c r="Z191" s="84" t="str">
        <f>HYPERLINK("https://twitter.com/indiadidac/status/1353586348117028867")</f>
        <v>https://twitter.com/indiadidac/status/1353586348117028867</v>
      </c>
      <c r="AA191" s="80"/>
      <c r="AB191" s="80"/>
      <c r="AC191" s="88" t="s">
        <v>718</v>
      </c>
      <c r="AD191" s="80"/>
      <c r="AE191" s="80" t="b">
        <v>0</v>
      </c>
      <c r="AF191" s="80">
        <v>4</v>
      </c>
      <c r="AG191" s="88" t="s">
        <v>763</v>
      </c>
      <c r="AH191" s="80" t="b">
        <v>0</v>
      </c>
      <c r="AI191" s="80" t="s">
        <v>764</v>
      </c>
      <c r="AJ191" s="80"/>
      <c r="AK191" s="88" t="s">
        <v>763</v>
      </c>
      <c r="AL191" s="80" t="b">
        <v>0</v>
      </c>
      <c r="AM191" s="80">
        <v>1</v>
      </c>
      <c r="AN191" s="88" t="s">
        <v>763</v>
      </c>
      <c r="AO191" s="80" t="s">
        <v>765</v>
      </c>
      <c r="AP191" s="80" t="b">
        <v>0</v>
      </c>
      <c r="AQ191" s="88" t="s">
        <v>718</v>
      </c>
      <c r="AR191" s="80" t="s">
        <v>197</v>
      </c>
      <c r="AS191" s="80">
        <v>0</v>
      </c>
      <c r="AT191" s="80">
        <v>0</v>
      </c>
      <c r="AU191" s="80"/>
      <c r="AV191" s="80"/>
      <c r="AW191" s="80"/>
      <c r="AX191" s="80"/>
      <c r="AY191" s="80"/>
      <c r="AZ191" s="80"/>
      <c r="BA191" s="80"/>
      <c r="BB191" s="80"/>
      <c r="BC191">
        <v>3</v>
      </c>
      <c r="BD191" s="79" t="str">
        <f>REPLACE(INDEX(GroupVertices[Group],MATCH(Edges[[#This Row],[Vertex 1]],GroupVertices[Vertex],0)),1,1,"")</f>
        <v>1</v>
      </c>
      <c r="BE191" s="79" t="str">
        <f>REPLACE(INDEX(GroupVertices[Group],MATCH(Edges[[#This Row],[Vertex 2]],GroupVertices[Vertex],0)),1,1,"")</f>
        <v>2</v>
      </c>
      <c r="BF191" s="49"/>
      <c r="BG191" s="50"/>
      <c r="BH191" s="49"/>
      <c r="BI191" s="50"/>
      <c r="BJ191" s="49"/>
      <c r="BK191" s="50"/>
      <c r="BL191" s="49"/>
      <c r="BM191" s="50"/>
      <c r="BN191" s="49"/>
    </row>
    <row r="192" spans="1:66" ht="15">
      <c r="A192" s="65" t="s">
        <v>271</v>
      </c>
      <c r="B192" s="65" t="s">
        <v>346</v>
      </c>
      <c r="C192" s="66" t="s">
        <v>2154</v>
      </c>
      <c r="D192" s="67">
        <v>7.666666666666667</v>
      </c>
      <c r="E192" s="66" t="s">
        <v>136</v>
      </c>
      <c r="F192" s="69">
        <v>29.263157894736842</v>
      </c>
      <c r="G192" s="66"/>
      <c r="H192" s="70"/>
      <c r="I192" s="71"/>
      <c r="J192" s="71"/>
      <c r="K192" s="35" t="s">
        <v>65</v>
      </c>
      <c r="L192" s="72">
        <v>192</v>
      </c>
      <c r="M192" s="72"/>
      <c r="N192" s="73"/>
      <c r="O192" s="80" t="s">
        <v>353</v>
      </c>
      <c r="P192" s="82">
        <v>44221.392476851855</v>
      </c>
      <c r="Q192" s="80" t="s">
        <v>415</v>
      </c>
      <c r="R192" s="84" t="str">
        <f>HYPERLINK("https://www.tiess.online/registration?utm_source=Jeff&amp;utm_medium=Coursera&amp;utm_campaign=TIESS&amp;utm_term=039")</f>
        <v>https://www.tiess.online/registration?utm_source=Jeff&amp;utm_medium=Coursera&amp;utm_campaign=TIESS&amp;utm_term=039</v>
      </c>
      <c r="S192" s="80" t="s">
        <v>444</v>
      </c>
      <c r="T192" s="80" t="s">
        <v>450</v>
      </c>
      <c r="U192" s="84" t="str">
        <f>HYPERLINK("https://pbs.twimg.com/media/EskT0CJVcAAnIcG.jpg")</f>
        <v>https://pbs.twimg.com/media/EskT0CJVcAAnIcG.jpg</v>
      </c>
      <c r="V192" s="84" t="str">
        <f>HYPERLINK("https://pbs.twimg.com/media/EskT0CJVcAAnIcG.jpg")</f>
        <v>https://pbs.twimg.com/media/EskT0CJVcAAnIcG.jpg</v>
      </c>
      <c r="W192" s="82">
        <v>44221.392476851855</v>
      </c>
      <c r="X192" s="86">
        <v>44221</v>
      </c>
      <c r="Y192" s="88" t="s">
        <v>572</v>
      </c>
      <c r="Z192" s="84" t="str">
        <f>HYPERLINK("https://twitter.com/indiadidac/status/1353635009425338370")</f>
        <v>https://twitter.com/indiadidac/status/1353635009425338370</v>
      </c>
      <c r="AA192" s="80"/>
      <c r="AB192" s="80"/>
      <c r="AC192" s="88" t="s">
        <v>723</v>
      </c>
      <c r="AD192" s="80"/>
      <c r="AE192" s="80" t="b">
        <v>0</v>
      </c>
      <c r="AF192" s="80">
        <v>0</v>
      </c>
      <c r="AG192" s="88" t="s">
        <v>763</v>
      </c>
      <c r="AH192" s="80" t="b">
        <v>0</v>
      </c>
      <c r="AI192" s="80" t="s">
        <v>764</v>
      </c>
      <c r="AJ192" s="80"/>
      <c r="AK192" s="88" t="s">
        <v>763</v>
      </c>
      <c r="AL192" s="80" t="b">
        <v>0</v>
      </c>
      <c r="AM192" s="80">
        <v>0</v>
      </c>
      <c r="AN192" s="88" t="s">
        <v>763</v>
      </c>
      <c r="AO192" s="80" t="s">
        <v>765</v>
      </c>
      <c r="AP192" s="80" t="b">
        <v>0</v>
      </c>
      <c r="AQ192" s="88" t="s">
        <v>723</v>
      </c>
      <c r="AR192" s="80" t="s">
        <v>197</v>
      </c>
      <c r="AS192" s="80">
        <v>0</v>
      </c>
      <c r="AT192" s="80">
        <v>0</v>
      </c>
      <c r="AU192" s="80"/>
      <c r="AV192" s="80"/>
      <c r="AW192" s="80"/>
      <c r="AX192" s="80"/>
      <c r="AY192" s="80"/>
      <c r="AZ192" s="80"/>
      <c r="BA192" s="80"/>
      <c r="BB192" s="80"/>
      <c r="BC192">
        <v>3</v>
      </c>
      <c r="BD192" s="79" t="str">
        <f>REPLACE(INDEX(GroupVertices[Group],MATCH(Edges[[#This Row],[Vertex 1]],GroupVertices[Vertex],0)),1,1,"")</f>
        <v>1</v>
      </c>
      <c r="BE192" s="79" t="str">
        <f>REPLACE(INDEX(GroupVertices[Group],MATCH(Edges[[#This Row],[Vertex 2]],GroupVertices[Vertex],0)),1,1,"")</f>
        <v>2</v>
      </c>
      <c r="BF192" s="49">
        <v>2</v>
      </c>
      <c r="BG192" s="50">
        <v>7.6923076923076925</v>
      </c>
      <c r="BH192" s="49">
        <v>0</v>
      </c>
      <c r="BI192" s="50">
        <v>0</v>
      </c>
      <c r="BJ192" s="49">
        <v>0</v>
      </c>
      <c r="BK192" s="50">
        <v>0</v>
      </c>
      <c r="BL192" s="49">
        <v>24</v>
      </c>
      <c r="BM192" s="50">
        <v>92.3076923076923</v>
      </c>
      <c r="BN192" s="49">
        <v>26</v>
      </c>
    </row>
    <row r="193" spans="1:66" ht="15">
      <c r="A193" s="65" t="s">
        <v>271</v>
      </c>
      <c r="B193" s="65" t="s">
        <v>346</v>
      </c>
      <c r="C193" s="66" t="s">
        <v>2154</v>
      </c>
      <c r="D193" s="67">
        <v>7.666666666666667</v>
      </c>
      <c r="E193" s="66" t="s">
        <v>136</v>
      </c>
      <c r="F193" s="69">
        <v>29.263157894736842</v>
      </c>
      <c r="G193" s="66"/>
      <c r="H193" s="70"/>
      <c r="I193" s="71"/>
      <c r="J193" s="71"/>
      <c r="K193" s="35" t="s">
        <v>65</v>
      </c>
      <c r="L193" s="72">
        <v>193</v>
      </c>
      <c r="M193" s="72"/>
      <c r="N193" s="73"/>
      <c r="O193" s="80" t="s">
        <v>353</v>
      </c>
      <c r="P193" s="82">
        <v>44221.39414351852</v>
      </c>
      <c r="Q193" s="80" t="s">
        <v>416</v>
      </c>
      <c r="R193" s="84" t="str">
        <f>HYPERLINK("https://www.tiess.online/registration?utm_source=Raghav&amp;utm_medium=Coursera&amp;utm_campaign=TIESS&amp;utm_term=040")</f>
        <v>https://www.tiess.online/registration?utm_source=Raghav&amp;utm_medium=Coursera&amp;utm_campaign=TIESS&amp;utm_term=040</v>
      </c>
      <c r="S193" s="80" t="s">
        <v>444</v>
      </c>
      <c r="T193" s="80" t="s">
        <v>450</v>
      </c>
      <c r="U193" s="84" t="str">
        <f>HYPERLINK("https://pbs.twimg.com/media/EskUX2gUUAADw5v.jpg")</f>
        <v>https://pbs.twimg.com/media/EskUX2gUUAADw5v.jpg</v>
      </c>
      <c r="V193" s="84" t="str">
        <f>HYPERLINK("https://pbs.twimg.com/media/EskUX2gUUAADw5v.jpg")</f>
        <v>https://pbs.twimg.com/media/EskUX2gUUAADw5v.jpg</v>
      </c>
      <c r="W193" s="82">
        <v>44221.39414351852</v>
      </c>
      <c r="X193" s="86">
        <v>44221</v>
      </c>
      <c r="Y193" s="88" t="s">
        <v>573</v>
      </c>
      <c r="Z193" s="84" t="str">
        <f>HYPERLINK("https://twitter.com/indiadidac/status/1353635615615541248")</f>
        <v>https://twitter.com/indiadidac/status/1353635615615541248</v>
      </c>
      <c r="AA193" s="80"/>
      <c r="AB193" s="80"/>
      <c r="AC193" s="88" t="s">
        <v>724</v>
      </c>
      <c r="AD193" s="80"/>
      <c r="AE193" s="80" t="b">
        <v>0</v>
      </c>
      <c r="AF193" s="80">
        <v>0</v>
      </c>
      <c r="AG193" s="88" t="s">
        <v>763</v>
      </c>
      <c r="AH193" s="80" t="b">
        <v>0</v>
      </c>
      <c r="AI193" s="80" t="s">
        <v>764</v>
      </c>
      <c r="AJ193" s="80"/>
      <c r="AK193" s="88" t="s">
        <v>763</v>
      </c>
      <c r="AL193" s="80" t="b">
        <v>0</v>
      </c>
      <c r="AM193" s="80">
        <v>0</v>
      </c>
      <c r="AN193" s="88" t="s">
        <v>763</v>
      </c>
      <c r="AO193" s="80" t="s">
        <v>765</v>
      </c>
      <c r="AP193" s="80" t="b">
        <v>0</v>
      </c>
      <c r="AQ193" s="88" t="s">
        <v>724</v>
      </c>
      <c r="AR193" s="80" t="s">
        <v>197</v>
      </c>
      <c r="AS193" s="80">
        <v>0</v>
      </c>
      <c r="AT193" s="80">
        <v>0</v>
      </c>
      <c r="AU193" s="80"/>
      <c r="AV193" s="80"/>
      <c r="AW193" s="80"/>
      <c r="AX193" s="80"/>
      <c r="AY193" s="80"/>
      <c r="AZ193" s="80"/>
      <c r="BA193" s="80"/>
      <c r="BB193" s="80"/>
      <c r="BC193">
        <v>3</v>
      </c>
      <c r="BD193" s="79" t="str">
        <f>REPLACE(INDEX(GroupVertices[Group],MATCH(Edges[[#This Row],[Vertex 1]],GroupVertices[Vertex],0)),1,1,"")</f>
        <v>1</v>
      </c>
      <c r="BE193" s="79" t="str">
        <f>REPLACE(INDEX(GroupVertices[Group],MATCH(Edges[[#This Row],[Vertex 2]],GroupVertices[Vertex],0)),1,1,"")</f>
        <v>2</v>
      </c>
      <c r="BF193" s="49">
        <v>1</v>
      </c>
      <c r="BG193" s="50">
        <v>3.8461538461538463</v>
      </c>
      <c r="BH193" s="49">
        <v>0</v>
      </c>
      <c r="BI193" s="50">
        <v>0</v>
      </c>
      <c r="BJ193" s="49">
        <v>0</v>
      </c>
      <c r="BK193" s="50">
        <v>0</v>
      </c>
      <c r="BL193" s="49">
        <v>25</v>
      </c>
      <c r="BM193" s="50">
        <v>96.15384615384616</v>
      </c>
      <c r="BN193" s="49">
        <v>26</v>
      </c>
    </row>
    <row r="194" spans="1:66" ht="15">
      <c r="A194" s="65" t="s">
        <v>292</v>
      </c>
      <c r="B194" s="65" t="s">
        <v>346</v>
      </c>
      <c r="C194" s="66" t="s">
        <v>2153</v>
      </c>
      <c r="D194" s="67">
        <v>3</v>
      </c>
      <c r="E194" s="66" t="s">
        <v>132</v>
      </c>
      <c r="F194" s="69">
        <v>32</v>
      </c>
      <c r="G194" s="66"/>
      <c r="H194" s="70"/>
      <c r="I194" s="71"/>
      <c r="J194" s="71"/>
      <c r="K194" s="35" t="s">
        <v>65</v>
      </c>
      <c r="L194" s="72">
        <v>194</v>
      </c>
      <c r="M194" s="72"/>
      <c r="N194" s="73"/>
      <c r="O194" s="80" t="s">
        <v>352</v>
      </c>
      <c r="P194" s="82">
        <v>44222.38034722222</v>
      </c>
      <c r="Q194" s="80" t="s">
        <v>412</v>
      </c>
      <c r="R194" s="84" t="str">
        <f>HYPERLINK("https://www.tiess.online/registration?utm_source=Partners&amp;utm_medium=All&amp;utm_campaign=TIESS&amp;utm_term=039")</f>
        <v>https://www.tiess.online/registration?utm_source=Partners&amp;utm_medium=All&amp;utm_campaign=TIESS&amp;utm_term=039</v>
      </c>
      <c r="S194" s="80" t="s">
        <v>444</v>
      </c>
      <c r="T194" s="80" t="s">
        <v>449</v>
      </c>
      <c r="U194" s="84" t="str">
        <f>HYPERLINK("https://pbs.twimg.com/media/EsjncMMVkAEjEeJ.jpg")</f>
        <v>https://pbs.twimg.com/media/EsjncMMVkAEjEeJ.jpg</v>
      </c>
      <c r="V194" s="84" t="str">
        <f>HYPERLINK("https://pbs.twimg.com/media/EsjncMMVkAEjEeJ.jpg")</f>
        <v>https://pbs.twimg.com/media/EsjncMMVkAEjEeJ.jpg</v>
      </c>
      <c r="W194" s="82">
        <v>44222.38034722222</v>
      </c>
      <c r="X194" s="86">
        <v>44222</v>
      </c>
      <c r="Y194" s="88" t="s">
        <v>568</v>
      </c>
      <c r="Z194" s="84" t="str">
        <f>HYPERLINK("https://twitter.com/shaireshef/status/1353993003128545281")</f>
        <v>https://twitter.com/shaireshef/status/1353993003128545281</v>
      </c>
      <c r="AA194" s="80"/>
      <c r="AB194" s="80"/>
      <c r="AC194" s="88" t="s">
        <v>719</v>
      </c>
      <c r="AD194" s="80"/>
      <c r="AE194" s="80" t="b">
        <v>0</v>
      </c>
      <c r="AF194" s="80">
        <v>0</v>
      </c>
      <c r="AG194" s="88" t="s">
        <v>763</v>
      </c>
      <c r="AH194" s="80" t="b">
        <v>0</v>
      </c>
      <c r="AI194" s="80" t="s">
        <v>764</v>
      </c>
      <c r="AJ194" s="80"/>
      <c r="AK194" s="88" t="s">
        <v>763</v>
      </c>
      <c r="AL194" s="80" t="b">
        <v>0</v>
      </c>
      <c r="AM194" s="80">
        <v>1</v>
      </c>
      <c r="AN194" s="88" t="s">
        <v>718</v>
      </c>
      <c r="AO194" s="80" t="s">
        <v>765</v>
      </c>
      <c r="AP194" s="80" t="b">
        <v>0</v>
      </c>
      <c r="AQ194" s="88" t="s">
        <v>718</v>
      </c>
      <c r="AR194" s="80" t="s">
        <v>197</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271</v>
      </c>
      <c r="B195" s="65" t="s">
        <v>304</v>
      </c>
      <c r="C195" s="66" t="s">
        <v>2154</v>
      </c>
      <c r="D195" s="67">
        <v>7.666666666666667</v>
      </c>
      <c r="E195" s="66" t="s">
        <v>136</v>
      </c>
      <c r="F195" s="69">
        <v>29.263157894736842</v>
      </c>
      <c r="G195" s="66"/>
      <c r="H195" s="70"/>
      <c r="I195" s="71"/>
      <c r="J195" s="71"/>
      <c r="K195" s="35" t="s">
        <v>65</v>
      </c>
      <c r="L195" s="72">
        <v>195</v>
      </c>
      <c r="M195" s="72"/>
      <c r="N195" s="73"/>
      <c r="O195" s="80" t="s">
        <v>353</v>
      </c>
      <c r="P195" s="82">
        <v>44217.25164351852</v>
      </c>
      <c r="Q195" s="80" t="s">
        <v>356</v>
      </c>
      <c r="R195" s="84" t="str">
        <f>HYPERLINK("https://www.tiess.online/registration?utm_source=SM&amp;utm_medium=Sheeran&amp;utm_campaign=TIESS&amp;utm_term=038")</f>
        <v>https://www.tiess.online/registration?utm_source=SM&amp;utm_medium=Sheeran&amp;utm_campaign=TIESS&amp;utm_term=038</v>
      </c>
      <c r="S195" s="80" t="s">
        <v>444</v>
      </c>
      <c r="T195" s="80" t="s">
        <v>450</v>
      </c>
      <c r="U195" s="84" t="str">
        <f>HYPERLINK("https://pbs.twimg.com/media/EsO_BRzU0AEEbdb.jpg")</f>
        <v>https://pbs.twimg.com/media/EsO_BRzU0AEEbdb.jpg</v>
      </c>
      <c r="V195" s="84" t="str">
        <f>HYPERLINK("https://pbs.twimg.com/media/EsO_BRzU0AEEbdb.jpg")</f>
        <v>https://pbs.twimg.com/media/EsO_BRzU0AEEbdb.jpg</v>
      </c>
      <c r="W195" s="82">
        <v>44217.25164351852</v>
      </c>
      <c r="X195" s="86">
        <v>44217</v>
      </c>
      <c r="Y195" s="88" t="s">
        <v>574</v>
      </c>
      <c r="Z195" s="84" t="str">
        <f>HYPERLINK("https://twitter.com/indiadidac/status/1352134421097324545")</f>
        <v>https://twitter.com/indiadidac/status/1352134421097324545</v>
      </c>
      <c r="AA195" s="80"/>
      <c r="AB195" s="80"/>
      <c r="AC195" s="88" t="s">
        <v>725</v>
      </c>
      <c r="AD195" s="80"/>
      <c r="AE195" s="80" t="b">
        <v>0</v>
      </c>
      <c r="AF195" s="80">
        <v>4</v>
      </c>
      <c r="AG195" s="88" t="s">
        <v>763</v>
      </c>
      <c r="AH195" s="80" t="b">
        <v>0</v>
      </c>
      <c r="AI195" s="80" t="s">
        <v>764</v>
      </c>
      <c r="AJ195" s="80"/>
      <c r="AK195" s="88" t="s">
        <v>763</v>
      </c>
      <c r="AL195" s="80" t="b">
        <v>0</v>
      </c>
      <c r="AM195" s="80">
        <v>2</v>
      </c>
      <c r="AN195" s="88" t="s">
        <v>763</v>
      </c>
      <c r="AO195" s="80" t="s">
        <v>765</v>
      </c>
      <c r="AP195" s="80" t="b">
        <v>0</v>
      </c>
      <c r="AQ195" s="88" t="s">
        <v>725</v>
      </c>
      <c r="AR195" s="80" t="s">
        <v>197</v>
      </c>
      <c r="AS195" s="80">
        <v>0</v>
      </c>
      <c r="AT195" s="80">
        <v>0</v>
      </c>
      <c r="AU195" s="80"/>
      <c r="AV195" s="80"/>
      <c r="AW195" s="80"/>
      <c r="AX195" s="80"/>
      <c r="AY195" s="80"/>
      <c r="AZ195" s="80"/>
      <c r="BA195" s="80"/>
      <c r="BB195" s="80"/>
      <c r="BC195">
        <v>3</v>
      </c>
      <c r="BD195" s="79" t="str">
        <f>REPLACE(INDEX(GroupVertices[Group],MATCH(Edges[[#This Row],[Vertex 1]],GroupVertices[Vertex],0)),1,1,"")</f>
        <v>1</v>
      </c>
      <c r="BE195" s="79" t="str">
        <f>REPLACE(INDEX(GroupVertices[Group],MATCH(Edges[[#This Row],[Vertex 2]],GroupVertices[Vertex],0)),1,1,"")</f>
        <v>11</v>
      </c>
      <c r="BF195" s="49">
        <v>2</v>
      </c>
      <c r="BG195" s="50">
        <v>6.451612903225806</v>
      </c>
      <c r="BH195" s="49">
        <v>1</v>
      </c>
      <c r="BI195" s="50">
        <v>3.225806451612903</v>
      </c>
      <c r="BJ195" s="49">
        <v>0</v>
      </c>
      <c r="BK195" s="50">
        <v>0</v>
      </c>
      <c r="BL195" s="49">
        <v>28</v>
      </c>
      <c r="BM195" s="50">
        <v>90.3225806451613</v>
      </c>
      <c r="BN195" s="49">
        <v>31</v>
      </c>
    </row>
    <row r="196" spans="1:66" ht="15">
      <c r="A196" s="65" t="s">
        <v>271</v>
      </c>
      <c r="B196" s="65" t="s">
        <v>304</v>
      </c>
      <c r="C196" s="66" t="s">
        <v>2154</v>
      </c>
      <c r="D196" s="67">
        <v>7.666666666666667</v>
      </c>
      <c r="E196" s="66" t="s">
        <v>136</v>
      </c>
      <c r="F196" s="69">
        <v>29.263157894736842</v>
      </c>
      <c r="G196" s="66"/>
      <c r="H196" s="70"/>
      <c r="I196" s="71"/>
      <c r="J196" s="71"/>
      <c r="K196" s="35" t="s">
        <v>65</v>
      </c>
      <c r="L196" s="72">
        <v>196</v>
      </c>
      <c r="M196" s="72"/>
      <c r="N196" s="73"/>
      <c r="O196" s="80" t="s">
        <v>353</v>
      </c>
      <c r="P196" s="82">
        <v>44221.25819444445</v>
      </c>
      <c r="Q196" s="80" t="s">
        <v>412</v>
      </c>
      <c r="R196" s="84" t="str">
        <f>HYPERLINK("https://www.tiess.online/registration?utm_source=Partners&amp;utm_medium=All&amp;utm_campaign=TIESS&amp;utm_term=039")</f>
        <v>https://www.tiess.online/registration?utm_source=Partners&amp;utm_medium=All&amp;utm_campaign=TIESS&amp;utm_term=039</v>
      </c>
      <c r="S196" s="80" t="s">
        <v>444</v>
      </c>
      <c r="T196" s="80" t="s">
        <v>449</v>
      </c>
      <c r="U196" s="84" t="str">
        <f>HYPERLINK("https://pbs.twimg.com/media/EsjncMMVkAEjEeJ.jpg")</f>
        <v>https://pbs.twimg.com/media/EsjncMMVkAEjEeJ.jpg</v>
      </c>
      <c r="V196" s="84" t="str">
        <f>HYPERLINK("https://pbs.twimg.com/media/EsjncMMVkAEjEeJ.jpg")</f>
        <v>https://pbs.twimg.com/media/EsjncMMVkAEjEeJ.jpg</v>
      </c>
      <c r="W196" s="82">
        <v>44221.25819444445</v>
      </c>
      <c r="X196" s="86">
        <v>44221</v>
      </c>
      <c r="Y196" s="88" t="s">
        <v>567</v>
      </c>
      <c r="Z196" s="84" t="str">
        <f>HYPERLINK("https://twitter.com/indiadidac/status/1353586348117028867")</f>
        <v>https://twitter.com/indiadidac/status/1353586348117028867</v>
      </c>
      <c r="AA196" s="80"/>
      <c r="AB196" s="80"/>
      <c r="AC196" s="88" t="s">
        <v>718</v>
      </c>
      <c r="AD196" s="80"/>
      <c r="AE196" s="80" t="b">
        <v>0</v>
      </c>
      <c r="AF196" s="80">
        <v>4</v>
      </c>
      <c r="AG196" s="88" t="s">
        <v>763</v>
      </c>
      <c r="AH196" s="80" t="b">
        <v>0</v>
      </c>
      <c r="AI196" s="80" t="s">
        <v>764</v>
      </c>
      <c r="AJ196" s="80"/>
      <c r="AK196" s="88" t="s">
        <v>763</v>
      </c>
      <c r="AL196" s="80" t="b">
        <v>0</v>
      </c>
      <c r="AM196" s="80">
        <v>1</v>
      </c>
      <c r="AN196" s="88" t="s">
        <v>763</v>
      </c>
      <c r="AO196" s="80" t="s">
        <v>765</v>
      </c>
      <c r="AP196" s="80" t="b">
        <v>0</v>
      </c>
      <c r="AQ196" s="88" t="s">
        <v>718</v>
      </c>
      <c r="AR196" s="80" t="s">
        <v>197</v>
      </c>
      <c r="AS196" s="80">
        <v>0</v>
      </c>
      <c r="AT196" s="80">
        <v>0</v>
      </c>
      <c r="AU196" s="80"/>
      <c r="AV196" s="80"/>
      <c r="AW196" s="80"/>
      <c r="AX196" s="80"/>
      <c r="AY196" s="80"/>
      <c r="AZ196" s="80"/>
      <c r="BA196" s="80"/>
      <c r="BB196" s="80"/>
      <c r="BC196">
        <v>3</v>
      </c>
      <c r="BD196" s="79" t="str">
        <f>REPLACE(INDEX(GroupVertices[Group],MATCH(Edges[[#This Row],[Vertex 1]],GroupVertices[Vertex],0)),1,1,"")</f>
        <v>1</v>
      </c>
      <c r="BE196" s="79" t="str">
        <f>REPLACE(INDEX(GroupVertices[Group],MATCH(Edges[[#This Row],[Vertex 2]],GroupVertices[Vertex],0)),1,1,"")</f>
        <v>11</v>
      </c>
      <c r="BF196" s="49"/>
      <c r="BG196" s="50"/>
      <c r="BH196" s="49"/>
      <c r="BI196" s="50"/>
      <c r="BJ196" s="49"/>
      <c r="BK196" s="50"/>
      <c r="BL196" s="49"/>
      <c r="BM196" s="50"/>
      <c r="BN196" s="49"/>
    </row>
    <row r="197" spans="1:66" ht="15">
      <c r="A197" s="65" t="s">
        <v>271</v>
      </c>
      <c r="B197" s="65" t="s">
        <v>304</v>
      </c>
      <c r="C197" s="66" t="s">
        <v>2154</v>
      </c>
      <c r="D197" s="67">
        <v>7.666666666666667</v>
      </c>
      <c r="E197" s="66" t="s">
        <v>136</v>
      </c>
      <c r="F197" s="69">
        <v>29.263157894736842</v>
      </c>
      <c r="G197" s="66"/>
      <c r="H197" s="70"/>
      <c r="I197" s="71"/>
      <c r="J197" s="71"/>
      <c r="K197" s="35" t="s">
        <v>65</v>
      </c>
      <c r="L197" s="72">
        <v>197</v>
      </c>
      <c r="M197" s="72"/>
      <c r="N197" s="73"/>
      <c r="O197" s="80" t="s">
        <v>353</v>
      </c>
      <c r="P197" s="82">
        <v>44222.27952546296</v>
      </c>
      <c r="Q197" s="80" t="s">
        <v>417</v>
      </c>
      <c r="R197" s="84" t="str">
        <f>HYPERLINK("https://www.tiess.online/registration?utm_source=Lokesh&amp;utm_medium=AWS&amp;utm_campaign=TIESS&amp;utm_term=045")</f>
        <v>https://www.tiess.online/registration?utm_source=Lokesh&amp;utm_medium=AWS&amp;utm_campaign=TIESS&amp;utm_term=045</v>
      </c>
      <c r="S197" s="80" t="s">
        <v>444</v>
      </c>
      <c r="T197" s="80" t="s">
        <v>450</v>
      </c>
      <c r="U197" s="84" t="str">
        <f>HYPERLINK("https://pbs.twimg.com/media/Eso4HfdVkAQoj93.jpg")</f>
        <v>https://pbs.twimg.com/media/Eso4HfdVkAQoj93.jpg</v>
      </c>
      <c r="V197" s="84" t="str">
        <f>HYPERLINK("https://pbs.twimg.com/media/Eso4HfdVkAQoj93.jpg")</f>
        <v>https://pbs.twimg.com/media/Eso4HfdVkAQoj93.jpg</v>
      </c>
      <c r="W197" s="82">
        <v>44222.27952546296</v>
      </c>
      <c r="X197" s="86">
        <v>44222</v>
      </c>
      <c r="Y197" s="88" t="s">
        <v>575</v>
      </c>
      <c r="Z197" s="84" t="str">
        <f>HYPERLINK("https://twitter.com/indiadidac/status/1353956465287995392")</f>
        <v>https://twitter.com/indiadidac/status/1353956465287995392</v>
      </c>
      <c r="AA197" s="80"/>
      <c r="AB197" s="80"/>
      <c r="AC197" s="88" t="s">
        <v>726</v>
      </c>
      <c r="AD197" s="80"/>
      <c r="AE197" s="80" t="b">
        <v>0</v>
      </c>
      <c r="AF197" s="80">
        <v>2</v>
      </c>
      <c r="AG197" s="88" t="s">
        <v>763</v>
      </c>
      <c r="AH197" s="80" t="b">
        <v>0</v>
      </c>
      <c r="AI197" s="80" t="s">
        <v>764</v>
      </c>
      <c r="AJ197" s="80"/>
      <c r="AK197" s="88" t="s">
        <v>763</v>
      </c>
      <c r="AL197" s="80" t="b">
        <v>0</v>
      </c>
      <c r="AM197" s="80">
        <v>0</v>
      </c>
      <c r="AN197" s="88" t="s">
        <v>763</v>
      </c>
      <c r="AO197" s="80" t="s">
        <v>765</v>
      </c>
      <c r="AP197" s="80" t="b">
        <v>0</v>
      </c>
      <c r="AQ197" s="88" t="s">
        <v>726</v>
      </c>
      <c r="AR197" s="80" t="s">
        <v>197</v>
      </c>
      <c r="AS197" s="80">
        <v>0</v>
      </c>
      <c r="AT197" s="80">
        <v>0</v>
      </c>
      <c r="AU197" s="80"/>
      <c r="AV197" s="80"/>
      <c r="AW197" s="80"/>
      <c r="AX197" s="80"/>
      <c r="AY197" s="80"/>
      <c r="AZ197" s="80"/>
      <c r="BA197" s="80"/>
      <c r="BB197" s="80"/>
      <c r="BC197">
        <v>3</v>
      </c>
      <c r="BD197" s="79" t="str">
        <f>REPLACE(INDEX(GroupVertices[Group],MATCH(Edges[[#This Row],[Vertex 1]],GroupVertices[Vertex],0)),1,1,"")</f>
        <v>1</v>
      </c>
      <c r="BE197" s="79" t="str">
        <f>REPLACE(INDEX(GroupVertices[Group],MATCH(Edges[[#This Row],[Vertex 2]],GroupVertices[Vertex],0)),1,1,"")</f>
        <v>11</v>
      </c>
      <c r="BF197" s="49">
        <v>1</v>
      </c>
      <c r="BG197" s="50">
        <v>2.9411764705882355</v>
      </c>
      <c r="BH197" s="49">
        <v>0</v>
      </c>
      <c r="BI197" s="50">
        <v>0</v>
      </c>
      <c r="BJ197" s="49">
        <v>0</v>
      </c>
      <c r="BK197" s="50">
        <v>0</v>
      </c>
      <c r="BL197" s="49">
        <v>33</v>
      </c>
      <c r="BM197" s="50">
        <v>97.05882352941177</v>
      </c>
      <c r="BN197" s="49">
        <v>34</v>
      </c>
    </row>
    <row r="198" spans="1:66" ht="15">
      <c r="A198" s="65" t="s">
        <v>292</v>
      </c>
      <c r="B198" s="65" t="s">
        <v>304</v>
      </c>
      <c r="C198" s="66" t="s">
        <v>2153</v>
      </c>
      <c r="D198" s="67">
        <v>3</v>
      </c>
      <c r="E198" s="66" t="s">
        <v>132</v>
      </c>
      <c r="F198" s="69">
        <v>32</v>
      </c>
      <c r="G198" s="66"/>
      <c r="H198" s="70"/>
      <c r="I198" s="71"/>
      <c r="J198" s="71"/>
      <c r="K198" s="35" t="s">
        <v>65</v>
      </c>
      <c r="L198" s="72">
        <v>198</v>
      </c>
      <c r="M198" s="72"/>
      <c r="N198" s="73"/>
      <c r="O198" s="80" t="s">
        <v>352</v>
      </c>
      <c r="P198" s="82">
        <v>44222.38034722222</v>
      </c>
      <c r="Q198" s="80" t="s">
        <v>412</v>
      </c>
      <c r="R198" s="84" t="str">
        <f>HYPERLINK("https://www.tiess.online/registration?utm_source=Partners&amp;utm_medium=All&amp;utm_campaign=TIESS&amp;utm_term=039")</f>
        <v>https://www.tiess.online/registration?utm_source=Partners&amp;utm_medium=All&amp;utm_campaign=TIESS&amp;utm_term=039</v>
      </c>
      <c r="S198" s="80" t="s">
        <v>444</v>
      </c>
      <c r="T198" s="80" t="s">
        <v>449</v>
      </c>
      <c r="U198" s="84" t="str">
        <f>HYPERLINK("https://pbs.twimg.com/media/EsjncMMVkAEjEeJ.jpg")</f>
        <v>https://pbs.twimg.com/media/EsjncMMVkAEjEeJ.jpg</v>
      </c>
      <c r="V198" s="84" t="str">
        <f>HYPERLINK("https://pbs.twimg.com/media/EsjncMMVkAEjEeJ.jpg")</f>
        <v>https://pbs.twimg.com/media/EsjncMMVkAEjEeJ.jpg</v>
      </c>
      <c r="W198" s="82">
        <v>44222.38034722222</v>
      </c>
      <c r="X198" s="86">
        <v>44222</v>
      </c>
      <c r="Y198" s="88" t="s">
        <v>568</v>
      </c>
      <c r="Z198" s="84" t="str">
        <f>HYPERLINK("https://twitter.com/shaireshef/status/1353993003128545281")</f>
        <v>https://twitter.com/shaireshef/status/1353993003128545281</v>
      </c>
      <c r="AA198" s="80"/>
      <c r="AB198" s="80"/>
      <c r="AC198" s="88" t="s">
        <v>719</v>
      </c>
      <c r="AD198" s="80"/>
      <c r="AE198" s="80" t="b">
        <v>0</v>
      </c>
      <c r="AF198" s="80">
        <v>0</v>
      </c>
      <c r="AG198" s="88" t="s">
        <v>763</v>
      </c>
      <c r="AH198" s="80" t="b">
        <v>0</v>
      </c>
      <c r="AI198" s="80" t="s">
        <v>764</v>
      </c>
      <c r="AJ198" s="80"/>
      <c r="AK198" s="88" t="s">
        <v>763</v>
      </c>
      <c r="AL198" s="80" t="b">
        <v>0</v>
      </c>
      <c r="AM198" s="80">
        <v>1</v>
      </c>
      <c r="AN198" s="88" t="s">
        <v>718</v>
      </c>
      <c r="AO198" s="80" t="s">
        <v>765</v>
      </c>
      <c r="AP198" s="80" t="b">
        <v>0</v>
      </c>
      <c r="AQ198" s="88" t="s">
        <v>718</v>
      </c>
      <c r="AR198" s="80" t="s">
        <v>197</v>
      </c>
      <c r="AS198" s="80">
        <v>0</v>
      </c>
      <c r="AT198" s="80">
        <v>0</v>
      </c>
      <c r="AU198" s="80"/>
      <c r="AV198" s="80"/>
      <c r="AW198" s="80"/>
      <c r="AX198" s="80"/>
      <c r="AY198" s="80"/>
      <c r="AZ198" s="80"/>
      <c r="BA198" s="80"/>
      <c r="BB198" s="80"/>
      <c r="BC198">
        <v>1</v>
      </c>
      <c r="BD198" s="79" t="str">
        <f>REPLACE(INDEX(GroupVertices[Group],MATCH(Edges[[#This Row],[Vertex 1]],GroupVertices[Vertex],0)),1,1,"")</f>
        <v>2</v>
      </c>
      <c r="BE198" s="79" t="str">
        <f>REPLACE(INDEX(GroupVertices[Group],MATCH(Edges[[#This Row],[Vertex 2]],GroupVertices[Vertex],0)),1,1,"")</f>
        <v>11</v>
      </c>
      <c r="BF198" s="49"/>
      <c r="BG198" s="50"/>
      <c r="BH198" s="49"/>
      <c r="BI198" s="50"/>
      <c r="BJ198" s="49"/>
      <c r="BK198" s="50"/>
      <c r="BL198" s="49"/>
      <c r="BM198" s="50"/>
      <c r="BN198" s="49"/>
    </row>
    <row r="199" spans="1:66" ht="15">
      <c r="A199" s="65" t="s">
        <v>271</v>
      </c>
      <c r="B199" s="65" t="s">
        <v>347</v>
      </c>
      <c r="C199" s="66" t="s">
        <v>2153</v>
      </c>
      <c r="D199" s="67">
        <v>3</v>
      </c>
      <c r="E199" s="66" t="s">
        <v>132</v>
      </c>
      <c r="F199" s="69">
        <v>32</v>
      </c>
      <c r="G199" s="66"/>
      <c r="H199" s="70"/>
      <c r="I199" s="71"/>
      <c r="J199" s="71"/>
      <c r="K199" s="35" t="s">
        <v>65</v>
      </c>
      <c r="L199" s="72">
        <v>199</v>
      </c>
      <c r="M199" s="72"/>
      <c r="N199" s="73"/>
      <c r="O199" s="80" t="s">
        <v>353</v>
      </c>
      <c r="P199" s="82">
        <v>44221.25819444445</v>
      </c>
      <c r="Q199" s="80" t="s">
        <v>412</v>
      </c>
      <c r="R199" s="84" t="str">
        <f>HYPERLINK("https://www.tiess.online/registration?utm_source=Partners&amp;utm_medium=All&amp;utm_campaign=TIESS&amp;utm_term=039")</f>
        <v>https://www.tiess.online/registration?utm_source=Partners&amp;utm_medium=All&amp;utm_campaign=TIESS&amp;utm_term=039</v>
      </c>
      <c r="S199" s="80" t="s">
        <v>444</v>
      </c>
      <c r="T199" s="80" t="s">
        <v>449</v>
      </c>
      <c r="U199" s="84" t="str">
        <f>HYPERLINK("https://pbs.twimg.com/media/EsjncMMVkAEjEeJ.jpg")</f>
        <v>https://pbs.twimg.com/media/EsjncMMVkAEjEeJ.jpg</v>
      </c>
      <c r="V199" s="84" t="str">
        <f>HYPERLINK("https://pbs.twimg.com/media/EsjncMMVkAEjEeJ.jpg")</f>
        <v>https://pbs.twimg.com/media/EsjncMMVkAEjEeJ.jpg</v>
      </c>
      <c r="W199" s="82">
        <v>44221.25819444445</v>
      </c>
      <c r="X199" s="86">
        <v>44221</v>
      </c>
      <c r="Y199" s="88" t="s">
        <v>567</v>
      </c>
      <c r="Z199" s="84" t="str">
        <f>HYPERLINK("https://twitter.com/indiadidac/status/1353586348117028867")</f>
        <v>https://twitter.com/indiadidac/status/1353586348117028867</v>
      </c>
      <c r="AA199" s="80"/>
      <c r="AB199" s="80"/>
      <c r="AC199" s="88" t="s">
        <v>718</v>
      </c>
      <c r="AD199" s="80"/>
      <c r="AE199" s="80" t="b">
        <v>0</v>
      </c>
      <c r="AF199" s="80">
        <v>4</v>
      </c>
      <c r="AG199" s="88" t="s">
        <v>763</v>
      </c>
      <c r="AH199" s="80" t="b">
        <v>0</v>
      </c>
      <c r="AI199" s="80" t="s">
        <v>764</v>
      </c>
      <c r="AJ199" s="80"/>
      <c r="AK199" s="88" t="s">
        <v>763</v>
      </c>
      <c r="AL199" s="80" t="b">
        <v>0</v>
      </c>
      <c r="AM199" s="80">
        <v>1</v>
      </c>
      <c r="AN199" s="88" t="s">
        <v>763</v>
      </c>
      <c r="AO199" s="80" t="s">
        <v>765</v>
      </c>
      <c r="AP199" s="80" t="b">
        <v>0</v>
      </c>
      <c r="AQ199" s="88" t="s">
        <v>718</v>
      </c>
      <c r="AR199" s="80" t="s">
        <v>197</v>
      </c>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2</v>
      </c>
      <c r="BF199" s="49"/>
      <c r="BG199" s="50"/>
      <c r="BH199" s="49"/>
      <c r="BI199" s="50"/>
      <c r="BJ199" s="49"/>
      <c r="BK199" s="50"/>
      <c r="BL199" s="49"/>
      <c r="BM199" s="50"/>
      <c r="BN199" s="49"/>
    </row>
    <row r="200" spans="1:66" ht="15">
      <c r="A200" s="65" t="s">
        <v>292</v>
      </c>
      <c r="B200" s="65" t="s">
        <v>347</v>
      </c>
      <c r="C200" s="66" t="s">
        <v>2153</v>
      </c>
      <c r="D200" s="67">
        <v>3</v>
      </c>
      <c r="E200" s="66" t="s">
        <v>132</v>
      </c>
      <c r="F200" s="69">
        <v>32</v>
      </c>
      <c r="G200" s="66"/>
      <c r="H200" s="70"/>
      <c r="I200" s="71"/>
      <c r="J200" s="71"/>
      <c r="K200" s="35" t="s">
        <v>65</v>
      </c>
      <c r="L200" s="72">
        <v>200</v>
      </c>
      <c r="M200" s="72"/>
      <c r="N200" s="73"/>
      <c r="O200" s="80" t="s">
        <v>352</v>
      </c>
      <c r="P200" s="82">
        <v>44222.38034722222</v>
      </c>
      <c r="Q200" s="80" t="s">
        <v>412</v>
      </c>
      <c r="R200" s="84" t="str">
        <f>HYPERLINK("https://www.tiess.online/registration?utm_source=Partners&amp;utm_medium=All&amp;utm_campaign=TIESS&amp;utm_term=039")</f>
        <v>https://www.tiess.online/registration?utm_source=Partners&amp;utm_medium=All&amp;utm_campaign=TIESS&amp;utm_term=039</v>
      </c>
      <c r="S200" s="80" t="s">
        <v>444</v>
      </c>
      <c r="T200" s="80" t="s">
        <v>449</v>
      </c>
      <c r="U200" s="84" t="str">
        <f>HYPERLINK("https://pbs.twimg.com/media/EsjncMMVkAEjEeJ.jpg")</f>
        <v>https://pbs.twimg.com/media/EsjncMMVkAEjEeJ.jpg</v>
      </c>
      <c r="V200" s="84" t="str">
        <f>HYPERLINK("https://pbs.twimg.com/media/EsjncMMVkAEjEeJ.jpg")</f>
        <v>https://pbs.twimg.com/media/EsjncMMVkAEjEeJ.jpg</v>
      </c>
      <c r="W200" s="82">
        <v>44222.38034722222</v>
      </c>
      <c r="X200" s="86">
        <v>44222</v>
      </c>
      <c r="Y200" s="88" t="s">
        <v>568</v>
      </c>
      <c r="Z200" s="84" t="str">
        <f>HYPERLINK("https://twitter.com/shaireshef/status/1353993003128545281")</f>
        <v>https://twitter.com/shaireshef/status/1353993003128545281</v>
      </c>
      <c r="AA200" s="80"/>
      <c r="AB200" s="80"/>
      <c r="AC200" s="88" t="s">
        <v>719</v>
      </c>
      <c r="AD200" s="80"/>
      <c r="AE200" s="80" t="b">
        <v>0</v>
      </c>
      <c r="AF200" s="80">
        <v>0</v>
      </c>
      <c r="AG200" s="88" t="s">
        <v>763</v>
      </c>
      <c r="AH200" s="80" t="b">
        <v>0</v>
      </c>
      <c r="AI200" s="80" t="s">
        <v>764</v>
      </c>
      <c r="AJ200" s="80"/>
      <c r="AK200" s="88" t="s">
        <v>763</v>
      </c>
      <c r="AL200" s="80" t="b">
        <v>0</v>
      </c>
      <c r="AM200" s="80">
        <v>1</v>
      </c>
      <c r="AN200" s="88" t="s">
        <v>718</v>
      </c>
      <c r="AO200" s="80" t="s">
        <v>765</v>
      </c>
      <c r="AP200" s="80" t="b">
        <v>0</v>
      </c>
      <c r="AQ200" s="88" t="s">
        <v>718</v>
      </c>
      <c r="AR200" s="80" t="s">
        <v>197</v>
      </c>
      <c r="AS200" s="80">
        <v>0</v>
      </c>
      <c r="AT200" s="80">
        <v>0</v>
      </c>
      <c r="AU200" s="80"/>
      <c r="AV200" s="80"/>
      <c r="AW200" s="80"/>
      <c r="AX200" s="80"/>
      <c r="AY200" s="80"/>
      <c r="AZ200" s="80"/>
      <c r="BA200" s="80"/>
      <c r="BB200" s="80"/>
      <c r="BC20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271</v>
      </c>
      <c r="B201" s="65" t="s">
        <v>348</v>
      </c>
      <c r="C201" s="66" t="s">
        <v>2153</v>
      </c>
      <c r="D201" s="67">
        <v>3</v>
      </c>
      <c r="E201" s="66" t="s">
        <v>132</v>
      </c>
      <c r="F201" s="69">
        <v>32</v>
      </c>
      <c r="G201" s="66"/>
      <c r="H201" s="70"/>
      <c r="I201" s="71"/>
      <c r="J201" s="71"/>
      <c r="K201" s="35" t="s">
        <v>65</v>
      </c>
      <c r="L201" s="72">
        <v>201</v>
      </c>
      <c r="M201" s="72"/>
      <c r="N201" s="73"/>
      <c r="O201" s="80" t="s">
        <v>353</v>
      </c>
      <c r="P201" s="82">
        <v>44221.25819444445</v>
      </c>
      <c r="Q201" s="80" t="s">
        <v>412</v>
      </c>
      <c r="R201" s="84" t="str">
        <f>HYPERLINK("https://www.tiess.online/registration?utm_source=Partners&amp;utm_medium=All&amp;utm_campaign=TIESS&amp;utm_term=039")</f>
        <v>https://www.tiess.online/registration?utm_source=Partners&amp;utm_medium=All&amp;utm_campaign=TIESS&amp;utm_term=039</v>
      </c>
      <c r="S201" s="80" t="s">
        <v>444</v>
      </c>
      <c r="T201" s="80" t="s">
        <v>449</v>
      </c>
      <c r="U201" s="84" t="str">
        <f>HYPERLINK("https://pbs.twimg.com/media/EsjncMMVkAEjEeJ.jpg")</f>
        <v>https://pbs.twimg.com/media/EsjncMMVkAEjEeJ.jpg</v>
      </c>
      <c r="V201" s="84" t="str">
        <f>HYPERLINK("https://pbs.twimg.com/media/EsjncMMVkAEjEeJ.jpg")</f>
        <v>https://pbs.twimg.com/media/EsjncMMVkAEjEeJ.jpg</v>
      </c>
      <c r="W201" s="82">
        <v>44221.25819444445</v>
      </c>
      <c r="X201" s="86">
        <v>44221</v>
      </c>
      <c r="Y201" s="88" t="s">
        <v>567</v>
      </c>
      <c r="Z201" s="84" t="str">
        <f>HYPERLINK("https://twitter.com/indiadidac/status/1353586348117028867")</f>
        <v>https://twitter.com/indiadidac/status/1353586348117028867</v>
      </c>
      <c r="AA201" s="80"/>
      <c r="AB201" s="80"/>
      <c r="AC201" s="88" t="s">
        <v>718</v>
      </c>
      <c r="AD201" s="80"/>
      <c r="AE201" s="80" t="b">
        <v>0</v>
      </c>
      <c r="AF201" s="80">
        <v>4</v>
      </c>
      <c r="AG201" s="88" t="s">
        <v>763</v>
      </c>
      <c r="AH201" s="80" t="b">
        <v>0</v>
      </c>
      <c r="AI201" s="80" t="s">
        <v>764</v>
      </c>
      <c r="AJ201" s="80"/>
      <c r="AK201" s="88" t="s">
        <v>763</v>
      </c>
      <c r="AL201" s="80" t="b">
        <v>0</v>
      </c>
      <c r="AM201" s="80">
        <v>1</v>
      </c>
      <c r="AN201" s="88" t="s">
        <v>763</v>
      </c>
      <c r="AO201" s="80" t="s">
        <v>765</v>
      </c>
      <c r="AP201" s="80" t="b">
        <v>0</v>
      </c>
      <c r="AQ201" s="88" t="s">
        <v>718</v>
      </c>
      <c r="AR201" s="80" t="s">
        <v>197</v>
      </c>
      <c r="AS201" s="80">
        <v>0</v>
      </c>
      <c r="AT201" s="80">
        <v>0</v>
      </c>
      <c r="AU201" s="80"/>
      <c r="AV201" s="80"/>
      <c r="AW201" s="80"/>
      <c r="AX201" s="80"/>
      <c r="AY201" s="80"/>
      <c r="AZ201" s="80"/>
      <c r="BA201" s="80"/>
      <c r="BB201" s="80"/>
      <c r="BC201">
        <v>1</v>
      </c>
      <c r="BD201" s="79" t="str">
        <f>REPLACE(INDEX(GroupVertices[Group],MATCH(Edges[[#This Row],[Vertex 1]],GroupVertices[Vertex],0)),1,1,"")</f>
        <v>1</v>
      </c>
      <c r="BE201" s="79" t="str">
        <f>REPLACE(INDEX(GroupVertices[Group],MATCH(Edges[[#This Row],[Vertex 2]],GroupVertices[Vertex],0)),1,1,"")</f>
        <v>2</v>
      </c>
      <c r="BF201" s="49"/>
      <c r="BG201" s="50"/>
      <c r="BH201" s="49"/>
      <c r="BI201" s="50"/>
      <c r="BJ201" s="49"/>
      <c r="BK201" s="50"/>
      <c r="BL201" s="49"/>
      <c r="BM201" s="50"/>
      <c r="BN201" s="49"/>
    </row>
    <row r="202" spans="1:66" ht="15">
      <c r="A202" s="65" t="s">
        <v>292</v>
      </c>
      <c r="B202" s="65" t="s">
        <v>348</v>
      </c>
      <c r="C202" s="66" t="s">
        <v>2153</v>
      </c>
      <c r="D202" s="67">
        <v>3</v>
      </c>
      <c r="E202" s="66" t="s">
        <v>132</v>
      </c>
      <c r="F202" s="69">
        <v>32</v>
      </c>
      <c r="G202" s="66"/>
      <c r="H202" s="70"/>
      <c r="I202" s="71"/>
      <c r="J202" s="71"/>
      <c r="K202" s="35" t="s">
        <v>65</v>
      </c>
      <c r="L202" s="72">
        <v>202</v>
      </c>
      <c r="M202" s="72"/>
      <c r="N202" s="73"/>
      <c r="O202" s="80" t="s">
        <v>352</v>
      </c>
      <c r="P202" s="82">
        <v>44222.38034722222</v>
      </c>
      <c r="Q202" s="80" t="s">
        <v>412</v>
      </c>
      <c r="R202" s="84" t="str">
        <f>HYPERLINK("https://www.tiess.online/registration?utm_source=Partners&amp;utm_medium=All&amp;utm_campaign=TIESS&amp;utm_term=039")</f>
        <v>https://www.tiess.online/registration?utm_source=Partners&amp;utm_medium=All&amp;utm_campaign=TIESS&amp;utm_term=039</v>
      </c>
      <c r="S202" s="80" t="s">
        <v>444</v>
      </c>
      <c r="T202" s="80" t="s">
        <v>449</v>
      </c>
      <c r="U202" s="84" t="str">
        <f>HYPERLINK("https://pbs.twimg.com/media/EsjncMMVkAEjEeJ.jpg")</f>
        <v>https://pbs.twimg.com/media/EsjncMMVkAEjEeJ.jpg</v>
      </c>
      <c r="V202" s="84" t="str">
        <f>HYPERLINK("https://pbs.twimg.com/media/EsjncMMVkAEjEeJ.jpg")</f>
        <v>https://pbs.twimg.com/media/EsjncMMVkAEjEeJ.jpg</v>
      </c>
      <c r="W202" s="82">
        <v>44222.38034722222</v>
      </c>
      <c r="X202" s="86">
        <v>44222</v>
      </c>
      <c r="Y202" s="88" t="s">
        <v>568</v>
      </c>
      <c r="Z202" s="84" t="str">
        <f>HYPERLINK("https://twitter.com/shaireshef/status/1353993003128545281")</f>
        <v>https://twitter.com/shaireshef/status/1353993003128545281</v>
      </c>
      <c r="AA202" s="80"/>
      <c r="AB202" s="80"/>
      <c r="AC202" s="88" t="s">
        <v>719</v>
      </c>
      <c r="AD202" s="80"/>
      <c r="AE202" s="80" t="b">
        <v>0</v>
      </c>
      <c r="AF202" s="80">
        <v>0</v>
      </c>
      <c r="AG202" s="88" t="s">
        <v>763</v>
      </c>
      <c r="AH202" s="80" t="b">
        <v>0</v>
      </c>
      <c r="AI202" s="80" t="s">
        <v>764</v>
      </c>
      <c r="AJ202" s="80"/>
      <c r="AK202" s="88" t="s">
        <v>763</v>
      </c>
      <c r="AL202" s="80" t="b">
        <v>0</v>
      </c>
      <c r="AM202" s="80">
        <v>1</v>
      </c>
      <c r="AN202" s="88" t="s">
        <v>718</v>
      </c>
      <c r="AO202" s="80" t="s">
        <v>765</v>
      </c>
      <c r="AP202" s="80" t="b">
        <v>0</v>
      </c>
      <c r="AQ202" s="88" t="s">
        <v>718</v>
      </c>
      <c r="AR202" s="80" t="s">
        <v>197</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271</v>
      </c>
      <c r="B203" s="65" t="s">
        <v>349</v>
      </c>
      <c r="C203" s="66" t="s">
        <v>2153</v>
      </c>
      <c r="D203" s="67">
        <v>3</v>
      </c>
      <c r="E203" s="66" t="s">
        <v>132</v>
      </c>
      <c r="F203" s="69">
        <v>32</v>
      </c>
      <c r="G203" s="66"/>
      <c r="H203" s="70"/>
      <c r="I203" s="71"/>
      <c r="J203" s="71"/>
      <c r="K203" s="35" t="s">
        <v>65</v>
      </c>
      <c r="L203" s="72">
        <v>203</v>
      </c>
      <c r="M203" s="72"/>
      <c r="N203" s="73"/>
      <c r="O203" s="80" t="s">
        <v>353</v>
      </c>
      <c r="P203" s="82">
        <v>44221.25819444445</v>
      </c>
      <c r="Q203" s="80" t="s">
        <v>412</v>
      </c>
      <c r="R203" s="84" t="str">
        <f>HYPERLINK("https://www.tiess.online/registration?utm_source=Partners&amp;utm_medium=All&amp;utm_campaign=TIESS&amp;utm_term=039")</f>
        <v>https://www.tiess.online/registration?utm_source=Partners&amp;utm_medium=All&amp;utm_campaign=TIESS&amp;utm_term=039</v>
      </c>
      <c r="S203" s="80" t="s">
        <v>444</v>
      </c>
      <c r="T203" s="80" t="s">
        <v>449</v>
      </c>
      <c r="U203" s="84" t="str">
        <f>HYPERLINK("https://pbs.twimg.com/media/EsjncMMVkAEjEeJ.jpg")</f>
        <v>https://pbs.twimg.com/media/EsjncMMVkAEjEeJ.jpg</v>
      </c>
      <c r="V203" s="84" t="str">
        <f>HYPERLINK("https://pbs.twimg.com/media/EsjncMMVkAEjEeJ.jpg")</f>
        <v>https://pbs.twimg.com/media/EsjncMMVkAEjEeJ.jpg</v>
      </c>
      <c r="W203" s="82">
        <v>44221.25819444445</v>
      </c>
      <c r="X203" s="86">
        <v>44221</v>
      </c>
      <c r="Y203" s="88" t="s">
        <v>567</v>
      </c>
      <c r="Z203" s="84" t="str">
        <f>HYPERLINK("https://twitter.com/indiadidac/status/1353586348117028867")</f>
        <v>https://twitter.com/indiadidac/status/1353586348117028867</v>
      </c>
      <c r="AA203" s="80"/>
      <c r="AB203" s="80"/>
      <c r="AC203" s="88" t="s">
        <v>718</v>
      </c>
      <c r="AD203" s="80"/>
      <c r="AE203" s="80" t="b">
        <v>0</v>
      </c>
      <c r="AF203" s="80">
        <v>4</v>
      </c>
      <c r="AG203" s="88" t="s">
        <v>763</v>
      </c>
      <c r="AH203" s="80" t="b">
        <v>0</v>
      </c>
      <c r="AI203" s="80" t="s">
        <v>764</v>
      </c>
      <c r="AJ203" s="80"/>
      <c r="AK203" s="88" t="s">
        <v>763</v>
      </c>
      <c r="AL203" s="80" t="b">
        <v>0</v>
      </c>
      <c r="AM203" s="80">
        <v>1</v>
      </c>
      <c r="AN203" s="88" t="s">
        <v>763</v>
      </c>
      <c r="AO203" s="80" t="s">
        <v>765</v>
      </c>
      <c r="AP203" s="80" t="b">
        <v>0</v>
      </c>
      <c r="AQ203" s="88" t="s">
        <v>718</v>
      </c>
      <c r="AR203" s="80" t="s">
        <v>197</v>
      </c>
      <c r="AS203" s="80">
        <v>0</v>
      </c>
      <c r="AT203" s="80">
        <v>0</v>
      </c>
      <c r="AU203" s="80"/>
      <c r="AV203" s="80"/>
      <c r="AW203" s="80"/>
      <c r="AX203" s="80"/>
      <c r="AY203" s="80"/>
      <c r="AZ203" s="80"/>
      <c r="BA203" s="80"/>
      <c r="BB203" s="80"/>
      <c r="BC203">
        <v>1</v>
      </c>
      <c r="BD203" s="79" t="str">
        <f>REPLACE(INDEX(GroupVertices[Group],MATCH(Edges[[#This Row],[Vertex 1]],GroupVertices[Vertex],0)),1,1,"")</f>
        <v>1</v>
      </c>
      <c r="BE203" s="79" t="str">
        <f>REPLACE(INDEX(GroupVertices[Group],MATCH(Edges[[#This Row],[Vertex 2]],GroupVertices[Vertex],0)),1,1,"")</f>
        <v>2</v>
      </c>
      <c r="BF203" s="49">
        <v>2</v>
      </c>
      <c r="BG203" s="50">
        <v>6.896551724137931</v>
      </c>
      <c r="BH203" s="49">
        <v>0</v>
      </c>
      <c r="BI203" s="50">
        <v>0</v>
      </c>
      <c r="BJ203" s="49">
        <v>0</v>
      </c>
      <c r="BK203" s="50">
        <v>0</v>
      </c>
      <c r="BL203" s="49">
        <v>27</v>
      </c>
      <c r="BM203" s="50">
        <v>93.10344827586206</v>
      </c>
      <c r="BN203" s="49">
        <v>29</v>
      </c>
    </row>
    <row r="204" spans="1:66" ht="15">
      <c r="A204" s="65" t="s">
        <v>292</v>
      </c>
      <c r="B204" s="65" t="s">
        <v>349</v>
      </c>
      <c r="C204" s="66" t="s">
        <v>2153</v>
      </c>
      <c r="D204" s="67">
        <v>3</v>
      </c>
      <c r="E204" s="66" t="s">
        <v>132</v>
      </c>
      <c r="F204" s="69">
        <v>32</v>
      </c>
      <c r="G204" s="66"/>
      <c r="H204" s="70"/>
      <c r="I204" s="71"/>
      <c r="J204" s="71"/>
      <c r="K204" s="35" t="s">
        <v>65</v>
      </c>
      <c r="L204" s="72">
        <v>204</v>
      </c>
      <c r="M204" s="72"/>
      <c r="N204" s="73"/>
      <c r="O204" s="80" t="s">
        <v>352</v>
      </c>
      <c r="P204" s="82">
        <v>44222.38034722222</v>
      </c>
      <c r="Q204" s="80" t="s">
        <v>412</v>
      </c>
      <c r="R204" s="84" t="str">
        <f>HYPERLINK("https://www.tiess.online/registration?utm_source=Partners&amp;utm_medium=All&amp;utm_campaign=TIESS&amp;utm_term=039")</f>
        <v>https://www.tiess.online/registration?utm_source=Partners&amp;utm_medium=All&amp;utm_campaign=TIESS&amp;utm_term=039</v>
      </c>
      <c r="S204" s="80" t="s">
        <v>444</v>
      </c>
      <c r="T204" s="80" t="s">
        <v>449</v>
      </c>
      <c r="U204" s="84" t="str">
        <f>HYPERLINK("https://pbs.twimg.com/media/EsjncMMVkAEjEeJ.jpg")</f>
        <v>https://pbs.twimg.com/media/EsjncMMVkAEjEeJ.jpg</v>
      </c>
      <c r="V204" s="84" t="str">
        <f>HYPERLINK("https://pbs.twimg.com/media/EsjncMMVkAEjEeJ.jpg")</f>
        <v>https://pbs.twimg.com/media/EsjncMMVkAEjEeJ.jpg</v>
      </c>
      <c r="W204" s="82">
        <v>44222.38034722222</v>
      </c>
      <c r="X204" s="86">
        <v>44222</v>
      </c>
      <c r="Y204" s="88" t="s">
        <v>568</v>
      </c>
      <c r="Z204" s="84" t="str">
        <f>HYPERLINK("https://twitter.com/shaireshef/status/1353993003128545281")</f>
        <v>https://twitter.com/shaireshef/status/1353993003128545281</v>
      </c>
      <c r="AA204" s="80"/>
      <c r="AB204" s="80"/>
      <c r="AC204" s="88" t="s">
        <v>719</v>
      </c>
      <c r="AD204" s="80"/>
      <c r="AE204" s="80" t="b">
        <v>0</v>
      </c>
      <c r="AF204" s="80">
        <v>0</v>
      </c>
      <c r="AG204" s="88" t="s">
        <v>763</v>
      </c>
      <c r="AH204" s="80" t="b">
        <v>0</v>
      </c>
      <c r="AI204" s="80" t="s">
        <v>764</v>
      </c>
      <c r="AJ204" s="80"/>
      <c r="AK204" s="88" t="s">
        <v>763</v>
      </c>
      <c r="AL204" s="80" t="b">
        <v>0</v>
      </c>
      <c r="AM204" s="80">
        <v>1</v>
      </c>
      <c r="AN204" s="88" t="s">
        <v>718</v>
      </c>
      <c r="AO204" s="80" t="s">
        <v>765</v>
      </c>
      <c r="AP204" s="80" t="b">
        <v>0</v>
      </c>
      <c r="AQ204" s="88" t="s">
        <v>718</v>
      </c>
      <c r="AR204" s="80" t="s">
        <v>197</v>
      </c>
      <c r="AS204" s="80">
        <v>0</v>
      </c>
      <c r="AT204" s="80">
        <v>0</v>
      </c>
      <c r="AU204" s="80"/>
      <c r="AV204" s="80"/>
      <c r="AW204" s="80"/>
      <c r="AX204" s="80"/>
      <c r="AY204" s="80"/>
      <c r="AZ204" s="80"/>
      <c r="BA204" s="80"/>
      <c r="BB204" s="80"/>
      <c r="BC204">
        <v>1</v>
      </c>
      <c r="BD204" s="79" t="str">
        <f>REPLACE(INDEX(GroupVertices[Group],MATCH(Edges[[#This Row],[Vertex 1]],GroupVertices[Vertex],0)),1,1,"")</f>
        <v>2</v>
      </c>
      <c r="BE204" s="79" t="str">
        <f>REPLACE(INDEX(GroupVertices[Group],MATCH(Edges[[#This Row],[Vertex 2]],GroupVertices[Vertex],0)),1,1,"")</f>
        <v>2</v>
      </c>
      <c r="BF204" s="49">
        <v>2</v>
      </c>
      <c r="BG204" s="50">
        <v>6.896551724137931</v>
      </c>
      <c r="BH204" s="49">
        <v>0</v>
      </c>
      <c r="BI204" s="50">
        <v>0</v>
      </c>
      <c r="BJ204" s="49">
        <v>0</v>
      </c>
      <c r="BK204" s="50">
        <v>0</v>
      </c>
      <c r="BL204" s="49">
        <v>27</v>
      </c>
      <c r="BM204" s="50">
        <v>93.10344827586206</v>
      </c>
      <c r="BN204" s="49">
        <v>29</v>
      </c>
    </row>
    <row r="205" spans="1:66" ht="15">
      <c r="A205" s="65" t="s">
        <v>293</v>
      </c>
      <c r="B205" s="65" t="s">
        <v>292</v>
      </c>
      <c r="C205" s="66" t="s">
        <v>2153</v>
      </c>
      <c r="D205" s="67">
        <v>3</v>
      </c>
      <c r="E205" s="66" t="s">
        <v>132</v>
      </c>
      <c r="F205" s="69">
        <v>32</v>
      </c>
      <c r="G205" s="66"/>
      <c r="H205" s="70"/>
      <c r="I205" s="71"/>
      <c r="J205" s="71"/>
      <c r="K205" s="35" t="s">
        <v>65</v>
      </c>
      <c r="L205" s="72">
        <v>205</v>
      </c>
      <c r="M205" s="72"/>
      <c r="N205" s="73"/>
      <c r="O205" s="80" t="s">
        <v>352</v>
      </c>
      <c r="P205" s="82">
        <v>44222.66983796296</v>
      </c>
      <c r="Q205" s="80" t="s">
        <v>418</v>
      </c>
      <c r="R205" s="84" t="str">
        <f>HYPERLINK("https://bit.ly/3oTtvE6")</f>
        <v>https://bit.ly/3oTtvE6</v>
      </c>
      <c r="S205" s="80" t="s">
        <v>448</v>
      </c>
      <c r="T205" s="80" t="s">
        <v>459</v>
      </c>
      <c r="U205" s="84" t="str">
        <f>HYPERLINK("https://pbs.twimg.com/media/Esq4fzDXcAAqKOj.jpg")</f>
        <v>https://pbs.twimg.com/media/Esq4fzDXcAAqKOj.jpg</v>
      </c>
      <c r="V205" s="84" t="str">
        <f>HYPERLINK("https://pbs.twimg.com/media/Esq4fzDXcAAqKOj.jpg")</f>
        <v>https://pbs.twimg.com/media/Esq4fzDXcAAqKOj.jpg</v>
      </c>
      <c r="W205" s="82">
        <v>44222.66983796296</v>
      </c>
      <c r="X205" s="86">
        <v>44222</v>
      </c>
      <c r="Y205" s="88" t="s">
        <v>576</v>
      </c>
      <c r="Z205" s="84" t="str">
        <f>HYPERLINK("https://twitter.com/stazanuel/status/1354097912154890246")</f>
        <v>https://twitter.com/stazanuel/status/1354097912154890246</v>
      </c>
      <c r="AA205" s="80"/>
      <c r="AB205" s="80"/>
      <c r="AC205" s="88" t="s">
        <v>727</v>
      </c>
      <c r="AD205" s="80"/>
      <c r="AE205" s="80" t="b">
        <v>0</v>
      </c>
      <c r="AF205" s="80">
        <v>0</v>
      </c>
      <c r="AG205" s="88" t="s">
        <v>763</v>
      </c>
      <c r="AH205" s="80" t="b">
        <v>0</v>
      </c>
      <c r="AI205" s="80" t="s">
        <v>764</v>
      </c>
      <c r="AJ205" s="80"/>
      <c r="AK205" s="88" t="s">
        <v>763</v>
      </c>
      <c r="AL205" s="80" t="b">
        <v>0</v>
      </c>
      <c r="AM205" s="80">
        <v>2</v>
      </c>
      <c r="AN205" s="88" t="s">
        <v>730</v>
      </c>
      <c r="AO205" s="80" t="s">
        <v>766</v>
      </c>
      <c r="AP205" s="80" t="b">
        <v>0</v>
      </c>
      <c r="AQ205" s="88" t="s">
        <v>730</v>
      </c>
      <c r="AR205" s="80" t="s">
        <v>197</v>
      </c>
      <c r="AS205" s="80">
        <v>0</v>
      </c>
      <c r="AT205" s="80">
        <v>0</v>
      </c>
      <c r="AU205" s="80"/>
      <c r="AV205" s="80"/>
      <c r="AW205" s="80"/>
      <c r="AX205" s="80"/>
      <c r="AY205" s="80"/>
      <c r="AZ205" s="80"/>
      <c r="BA205" s="80"/>
      <c r="BB205" s="80"/>
      <c r="BC205">
        <v>1</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293</v>
      </c>
      <c r="B206" s="65" t="s">
        <v>294</v>
      </c>
      <c r="C206" s="66" t="s">
        <v>2153</v>
      </c>
      <c r="D206" s="67">
        <v>3</v>
      </c>
      <c r="E206" s="66" t="s">
        <v>132</v>
      </c>
      <c r="F206" s="69">
        <v>32</v>
      </c>
      <c r="G206" s="66"/>
      <c r="H206" s="70"/>
      <c r="I206" s="71"/>
      <c r="J206" s="71"/>
      <c r="K206" s="35" t="s">
        <v>65</v>
      </c>
      <c r="L206" s="72">
        <v>206</v>
      </c>
      <c r="M206" s="72"/>
      <c r="N206" s="73"/>
      <c r="O206" s="80" t="s">
        <v>351</v>
      </c>
      <c r="P206" s="82">
        <v>44222.66983796296</v>
      </c>
      <c r="Q206" s="80" t="s">
        <v>418</v>
      </c>
      <c r="R206" s="84" t="str">
        <f>HYPERLINK("https://bit.ly/3oTtvE6")</f>
        <v>https://bit.ly/3oTtvE6</v>
      </c>
      <c r="S206" s="80" t="s">
        <v>448</v>
      </c>
      <c r="T206" s="80" t="s">
        <v>459</v>
      </c>
      <c r="U206" s="84" t="str">
        <f>HYPERLINK("https://pbs.twimg.com/media/Esq4fzDXcAAqKOj.jpg")</f>
        <v>https://pbs.twimg.com/media/Esq4fzDXcAAqKOj.jpg</v>
      </c>
      <c r="V206" s="84" t="str">
        <f>HYPERLINK("https://pbs.twimg.com/media/Esq4fzDXcAAqKOj.jpg")</f>
        <v>https://pbs.twimg.com/media/Esq4fzDXcAAqKOj.jpg</v>
      </c>
      <c r="W206" s="82">
        <v>44222.66983796296</v>
      </c>
      <c r="X206" s="86">
        <v>44222</v>
      </c>
      <c r="Y206" s="88" t="s">
        <v>576</v>
      </c>
      <c r="Z206" s="84" t="str">
        <f>HYPERLINK("https://twitter.com/stazanuel/status/1354097912154890246")</f>
        <v>https://twitter.com/stazanuel/status/1354097912154890246</v>
      </c>
      <c r="AA206" s="80"/>
      <c r="AB206" s="80"/>
      <c r="AC206" s="88" t="s">
        <v>727</v>
      </c>
      <c r="AD206" s="80"/>
      <c r="AE206" s="80" t="b">
        <v>0</v>
      </c>
      <c r="AF206" s="80">
        <v>0</v>
      </c>
      <c r="AG206" s="88" t="s">
        <v>763</v>
      </c>
      <c r="AH206" s="80" t="b">
        <v>0</v>
      </c>
      <c r="AI206" s="80" t="s">
        <v>764</v>
      </c>
      <c r="AJ206" s="80"/>
      <c r="AK206" s="88" t="s">
        <v>763</v>
      </c>
      <c r="AL206" s="80" t="b">
        <v>0</v>
      </c>
      <c r="AM206" s="80">
        <v>2</v>
      </c>
      <c r="AN206" s="88" t="s">
        <v>730</v>
      </c>
      <c r="AO206" s="80" t="s">
        <v>766</v>
      </c>
      <c r="AP206" s="80" t="b">
        <v>0</v>
      </c>
      <c r="AQ206" s="88" t="s">
        <v>730</v>
      </c>
      <c r="AR206" s="80" t="s">
        <v>197</v>
      </c>
      <c r="AS206" s="80">
        <v>0</v>
      </c>
      <c r="AT206" s="80">
        <v>0</v>
      </c>
      <c r="AU206" s="80"/>
      <c r="AV206" s="80"/>
      <c r="AW206" s="80"/>
      <c r="AX206" s="80"/>
      <c r="AY206" s="80"/>
      <c r="AZ206" s="80"/>
      <c r="BA206" s="80"/>
      <c r="BB206" s="80"/>
      <c r="BC206">
        <v>1</v>
      </c>
      <c r="BD206" s="79" t="str">
        <f>REPLACE(INDEX(GroupVertices[Group],MATCH(Edges[[#This Row],[Vertex 1]],GroupVertices[Vertex],0)),1,1,"")</f>
        <v>2</v>
      </c>
      <c r="BE206" s="79" t="str">
        <f>REPLACE(INDEX(GroupVertices[Group],MATCH(Edges[[#This Row],[Vertex 2]],GroupVertices[Vertex],0)),1,1,"")</f>
        <v>2</v>
      </c>
      <c r="BF206" s="49">
        <v>0</v>
      </c>
      <c r="BG206" s="50">
        <v>0</v>
      </c>
      <c r="BH206" s="49">
        <v>0</v>
      </c>
      <c r="BI206" s="50">
        <v>0</v>
      </c>
      <c r="BJ206" s="49">
        <v>0</v>
      </c>
      <c r="BK206" s="50">
        <v>0</v>
      </c>
      <c r="BL206" s="49">
        <v>27</v>
      </c>
      <c r="BM206" s="50">
        <v>100</v>
      </c>
      <c r="BN206" s="49">
        <v>27</v>
      </c>
    </row>
    <row r="207" spans="1:66" ht="15">
      <c r="A207" s="65" t="s">
        <v>271</v>
      </c>
      <c r="B207" s="65" t="s">
        <v>294</v>
      </c>
      <c r="C207" s="66" t="s">
        <v>2153</v>
      </c>
      <c r="D207" s="67">
        <v>3</v>
      </c>
      <c r="E207" s="66" t="s">
        <v>132</v>
      </c>
      <c r="F207" s="69">
        <v>32</v>
      </c>
      <c r="G207" s="66"/>
      <c r="H207" s="70"/>
      <c r="I207" s="71"/>
      <c r="J207" s="71"/>
      <c r="K207" s="35" t="s">
        <v>66</v>
      </c>
      <c r="L207" s="72">
        <v>207</v>
      </c>
      <c r="M207" s="72"/>
      <c r="N207" s="73"/>
      <c r="O207" s="80" t="s">
        <v>353</v>
      </c>
      <c r="P207" s="82">
        <v>44215.490324074075</v>
      </c>
      <c r="Q207" s="80" t="s">
        <v>399</v>
      </c>
      <c r="R207" s="84" t="str">
        <f>HYPERLINK("https://www.tiess.online/registration?utm_source=SM&amp;utm_medium=Rashef&amp;utm_campaign=TIESS&amp;utm_term=020")</f>
        <v>https://www.tiess.online/registration?utm_source=SM&amp;utm_medium=Rashef&amp;utm_campaign=TIESS&amp;utm_term=020</v>
      </c>
      <c r="S207" s="80" t="s">
        <v>444</v>
      </c>
      <c r="T207" s="80" t="s">
        <v>450</v>
      </c>
      <c r="U207" s="84" t="str">
        <f>HYPERLINK("https://pbs.twimg.com/media/EsF6A6rU0AAESdA.jpg")</f>
        <v>https://pbs.twimg.com/media/EsF6A6rU0AAESdA.jpg</v>
      </c>
      <c r="V207" s="84" t="str">
        <f>HYPERLINK("https://pbs.twimg.com/media/EsF6A6rU0AAESdA.jpg")</f>
        <v>https://pbs.twimg.com/media/EsF6A6rU0AAESdA.jpg</v>
      </c>
      <c r="W207" s="82">
        <v>44215.490324074075</v>
      </c>
      <c r="X207" s="86">
        <v>44215</v>
      </c>
      <c r="Y207" s="88" t="s">
        <v>577</v>
      </c>
      <c r="Z207" s="84" t="str">
        <f>HYPERLINK("https://twitter.com/indiadidac/status/1351496140764504065")</f>
        <v>https://twitter.com/indiadidac/status/1351496140764504065</v>
      </c>
      <c r="AA207" s="80"/>
      <c r="AB207" s="80"/>
      <c r="AC207" s="88" t="s">
        <v>728</v>
      </c>
      <c r="AD207" s="80"/>
      <c r="AE207" s="80" t="b">
        <v>0</v>
      </c>
      <c r="AF207" s="80">
        <v>7</v>
      </c>
      <c r="AG207" s="88" t="s">
        <v>763</v>
      </c>
      <c r="AH207" s="80" t="b">
        <v>0</v>
      </c>
      <c r="AI207" s="80" t="s">
        <v>764</v>
      </c>
      <c r="AJ207" s="80"/>
      <c r="AK207" s="88" t="s">
        <v>763</v>
      </c>
      <c r="AL207" s="80" t="b">
        <v>0</v>
      </c>
      <c r="AM207" s="80">
        <v>2</v>
      </c>
      <c r="AN207" s="88" t="s">
        <v>763</v>
      </c>
      <c r="AO207" s="80" t="s">
        <v>765</v>
      </c>
      <c r="AP207" s="80" t="b">
        <v>0</v>
      </c>
      <c r="AQ207" s="88" t="s">
        <v>728</v>
      </c>
      <c r="AR207" s="80" t="s">
        <v>197</v>
      </c>
      <c r="AS207" s="80">
        <v>0</v>
      </c>
      <c r="AT207" s="80">
        <v>0</v>
      </c>
      <c r="AU207" s="80"/>
      <c r="AV207" s="80"/>
      <c r="AW207" s="80"/>
      <c r="AX207" s="80"/>
      <c r="AY207" s="80"/>
      <c r="AZ207" s="80"/>
      <c r="BA207" s="80"/>
      <c r="BB207" s="80"/>
      <c r="BC207">
        <v>1</v>
      </c>
      <c r="BD207" s="79" t="str">
        <f>REPLACE(INDEX(GroupVertices[Group],MATCH(Edges[[#This Row],[Vertex 1]],GroupVertices[Vertex],0)),1,1,"")</f>
        <v>1</v>
      </c>
      <c r="BE207" s="79" t="str">
        <f>REPLACE(INDEX(GroupVertices[Group],MATCH(Edges[[#This Row],[Vertex 2]],GroupVertices[Vertex],0)),1,1,"")</f>
        <v>2</v>
      </c>
      <c r="BF207" s="49"/>
      <c r="BG207" s="50"/>
      <c r="BH207" s="49"/>
      <c r="BI207" s="50"/>
      <c r="BJ207" s="49"/>
      <c r="BK207" s="50"/>
      <c r="BL207" s="49"/>
      <c r="BM207" s="50"/>
      <c r="BN207" s="49"/>
    </row>
    <row r="208" spans="1:66" ht="15">
      <c r="A208" s="65" t="s">
        <v>294</v>
      </c>
      <c r="B208" s="65" t="s">
        <v>292</v>
      </c>
      <c r="C208" s="66" t="s">
        <v>2153</v>
      </c>
      <c r="D208" s="67">
        <v>3</v>
      </c>
      <c r="E208" s="66" t="s">
        <v>132</v>
      </c>
      <c r="F208" s="69">
        <v>32</v>
      </c>
      <c r="G208" s="66"/>
      <c r="H208" s="70"/>
      <c r="I208" s="71"/>
      <c r="J208" s="71"/>
      <c r="K208" s="35" t="s">
        <v>65</v>
      </c>
      <c r="L208" s="72">
        <v>208</v>
      </c>
      <c r="M208" s="72"/>
      <c r="N208" s="73"/>
      <c r="O208" s="80" t="s">
        <v>352</v>
      </c>
      <c r="P208" s="82">
        <v>44215.522511574076</v>
      </c>
      <c r="Q208" s="80" t="s">
        <v>399</v>
      </c>
      <c r="R208" s="84" t="str">
        <f>HYPERLINK("https://www.tiess.online/registration?utm_source=SM&amp;utm_medium=Rashef&amp;utm_campaign=TIESS&amp;utm_term=020")</f>
        <v>https://www.tiess.online/registration?utm_source=SM&amp;utm_medium=Rashef&amp;utm_campaign=TIESS&amp;utm_term=020</v>
      </c>
      <c r="S208" s="80" t="s">
        <v>444</v>
      </c>
      <c r="T208" s="80" t="s">
        <v>450</v>
      </c>
      <c r="U208" s="84" t="str">
        <f>HYPERLINK("https://pbs.twimg.com/media/EsF6A6rU0AAESdA.jpg")</f>
        <v>https://pbs.twimg.com/media/EsF6A6rU0AAESdA.jpg</v>
      </c>
      <c r="V208" s="84" t="str">
        <f>HYPERLINK("https://pbs.twimg.com/media/EsF6A6rU0AAESdA.jpg")</f>
        <v>https://pbs.twimg.com/media/EsF6A6rU0AAESdA.jpg</v>
      </c>
      <c r="W208" s="82">
        <v>44215.522511574076</v>
      </c>
      <c r="X208" s="86">
        <v>44215</v>
      </c>
      <c r="Y208" s="88" t="s">
        <v>578</v>
      </c>
      <c r="Z208" s="84" t="str">
        <f>HYPERLINK("https://twitter.com/uopeople/status/1351507806915096578")</f>
        <v>https://twitter.com/uopeople/status/1351507806915096578</v>
      </c>
      <c r="AA208" s="80"/>
      <c r="AB208" s="80"/>
      <c r="AC208" s="88" t="s">
        <v>729</v>
      </c>
      <c r="AD208" s="80"/>
      <c r="AE208" s="80" t="b">
        <v>0</v>
      </c>
      <c r="AF208" s="80">
        <v>0</v>
      </c>
      <c r="AG208" s="88" t="s">
        <v>763</v>
      </c>
      <c r="AH208" s="80" t="b">
        <v>0</v>
      </c>
      <c r="AI208" s="80" t="s">
        <v>764</v>
      </c>
      <c r="AJ208" s="80"/>
      <c r="AK208" s="88" t="s">
        <v>763</v>
      </c>
      <c r="AL208" s="80" t="b">
        <v>0</v>
      </c>
      <c r="AM208" s="80">
        <v>2</v>
      </c>
      <c r="AN208" s="88" t="s">
        <v>728</v>
      </c>
      <c r="AO208" s="80" t="s">
        <v>765</v>
      </c>
      <c r="AP208" s="80" t="b">
        <v>0</v>
      </c>
      <c r="AQ208" s="88" t="s">
        <v>728</v>
      </c>
      <c r="AR208" s="80" t="s">
        <v>197</v>
      </c>
      <c r="AS208" s="80">
        <v>0</v>
      </c>
      <c r="AT208" s="80">
        <v>0</v>
      </c>
      <c r="AU208" s="80"/>
      <c r="AV208" s="80"/>
      <c r="AW208" s="80"/>
      <c r="AX208" s="80"/>
      <c r="AY208" s="80"/>
      <c r="AZ208" s="80"/>
      <c r="BA208" s="80"/>
      <c r="BB208" s="80"/>
      <c r="BC208">
        <v>1</v>
      </c>
      <c r="BD208" s="79" t="str">
        <f>REPLACE(INDEX(GroupVertices[Group],MATCH(Edges[[#This Row],[Vertex 1]],GroupVertices[Vertex],0)),1,1,"")</f>
        <v>2</v>
      </c>
      <c r="BE208" s="79" t="str">
        <f>REPLACE(INDEX(GroupVertices[Group],MATCH(Edges[[#This Row],[Vertex 2]],GroupVertices[Vertex],0)),1,1,"")</f>
        <v>2</v>
      </c>
      <c r="BF208" s="49">
        <v>2</v>
      </c>
      <c r="BG208" s="50">
        <v>6.896551724137931</v>
      </c>
      <c r="BH208" s="49">
        <v>0</v>
      </c>
      <c r="BI208" s="50">
        <v>0</v>
      </c>
      <c r="BJ208" s="49">
        <v>0</v>
      </c>
      <c r="BK208" s="50">
        <v>0</v>
      </c>
      <c r="BL208" s="49">
        <v>27</v>
      </c>
      <c r="BM208" s="50">
        <v>93.10344827586206</v>
      </c>
      <c r="BN208" s="49">
        <v>29</v>
      </c>
    </row>
    <row r="209" spans="1:66" ht="15">
      <c r="A209" s="65" t="s">
        <v>294</v>
      </c>
      <c r="B209" s="65" t="s">
        <v>271</v>
      </c>
      <c r="C209" s="66" t="s">
        <v>2153</v>
      </c>
      <c r="D209" s="67">
        <v>3</v>
      </c>
      <c r="E209" s="66" t="s">
        <v>132</v>
      </c>
      <c r="F209" s="69">
        <v>32</v>
      </c>
      <c r="G209" s="66"/>
      <c r="H209" s="70"/>
      <c r="I209" s="71"/>
      <c r="J209" s="71"/>
      <c r="K209" s="35" t="s">
        <v>66</v>
      </c>
      <c r="L209" s="72">
        <v>209</v>
      </c>
      <c r="M209" s="72"/>
      <c r="N209" s="73"/>
      <c r="O209" s="80" t="s">
        <v>351</v>
      </c>
      <c r="P209" s="82">
        <v>44215.522511574076</v>
      </c>
      <c r="Q209" s="80" t="s">
        <v>399</v>
      </c>
      <c r="R209" s="84" t="str">
        <f>HYPERLINK("https://www.tiess.online/registration?utm_source=SM&amp;utm_medium=Rashef&amp;utm_campaign=TIESS&amp;utm_term=020")</f>
        <v>https://www.tiess.online/registration?utm_source=SM&amp;utm_medium=Rashef&amp;utm_campaign=TIESS&amp;utm_term=020</v>
      </c>
      <c r="S209" s="80" t="s">
        <v>444</v>
      </c>
      <c r="T209" s="80" t="s">
        <v>450</v>
      </c>
      <c r="U209" s="84" t="str">
        <f>HYPERLINK("https://pbs.twimg.com/media/EsF6A6rU0AAESdA.jpg")</f>
        <v>https://pbs.twimg.com/media/EsF6A6rU0AAESdA.jpg</v>
      </c>
      <c r="V209" s="84" t="str">
        <f>HYPERLINK("https://pbs.twimg.com/media/EsF6A6rU0AAESdA.jpg")</f>
        <v>https://pbs.twimg.com/media/EsF6A6rU0AAESdA.jpg</v>
      </c>
      <c r="W209" s="82">
        <v>44215.522511574076</v>
      </c>
      <c r="X209" s="86">
        <v>44215</v>
      </c>
      <c r="Y209" s="88" t="s">
        <v>578</v>
      </c>
      <c r="Z209" s="84" t="str">
        <f>HYPERLINK("https://twitter.com/uopeople/status/1351507806915096578")</f>
        <v>https://twitter.com/uopeople/status/1351507806915096578</v>
      </c>
      <c r="AA209" s="80"/>
      <c r="AB209" s="80"/>
      <c r="AC209" s="88" t="s">
        <v>729</v>
      </c>
      <c r="AD209" s="80"/>
      <c r="AE209" s="80" t="b">
        <v>0</v>
      </c>
      <c r="AF209" s="80">
        <v>0</v>
      </c>
      <c r="AG209" s="88" t="s">
        <v>763</v>
      </c>
      <c r="AH209" s="80" t="b">
        <v>0</v>
      </c>
      <c r="AI209" s="80" t="s">
        <v>764</v>
      </c>
      <c r="AJ209" s="80"/>
      <c r="AK209" s="88" t="s">
        <v>763</v>
      </c>
      <c r="AL209" s="80" t="b">
        <v>0</v>
      </c>
      <c r="AM209" s="80">
        <v>2</v>
      </c>
      <c r="AN209" s="88" t="s">
        <v>728</v>
      </c>
      <c r="AO209" s="80" t="s">
        <v>765</v>
      </c>
      <c r="AP209" s="80" t="b">
        <v>0</v>
      </c>
      <c r="AQ209" s="88" t="s">
        <v>728</v>
      </c>
      <c r="AR209" s="80" t="s">
        <v>197</v>
      </c>
      <c r="AS209" s="80">
        <v>0</v>
      </c>
      <c r="AT209" s="80">
        <v>0</v>
      </c>
      <c r="AU209" s="80"/>
      <c r="AV209" s="80"/>
      <c r="AW209" s="80"/>
      <c r="AX209" s="80"/>
      <c r="AY209" s="80"/>
      <c r="AZ209" s="80"/>
      <c r="BA209" s="80"/>
      <c r="BB209" s="80"/>
      <c r="BC209">
        <v>1</v>
      </c>
      <c r="BD209" s="79" t="str">
        <f>REPLACE(INDEX(GroupVertices[Group],MATCH(Edges[[#This Row],[Vertex 1]],GroupVertices[Vertex],0)),1,1,"")</f>
        <v>2</v>
      </c>
      <c r="BE209" s="79" t="str">
        <f>REPLACE(INDEX(GroupVertices[Group],MATCH(Edges[[#This Row],[Vertex 2]],GroupVertices[Vertex],0)),1,1,"")</f>
        <v>1</v>
      </c>
      <c r="BF209" s="49"/>
      <c r="BG209" s="50"/>
      <c r="BH209" s="49"/>
      <c r="BI209" s="50"/>
      <c r="BJ209" s="49"/>
      <c r="BK209" s="50"/>
      <c r="BL209" s="49"/>
      <c r="BM209" s="50"/>
      <c r="BN209" s="49"/>
    </row>
    <row r="210" spans="1:66" ht="15">
      <c r="A210" s="65" t="s">
        <v>294</v>
      </c>
      <c r="B210" s="65" t="s">
        <v>292</v>
      </c>
      <c r="C210" s="66" t="s">
        <v>2153</v>
      </c>
      <c r="D210" s="67">
        <v>3</v>
      </c>
      <c r="E210" s="66" t="s">
        <v>132</v>
      </c>
      <c r="F210" s="69">
        <v>32</v>
      </c>
      <c r="G210" s="66"/>
      <c r="H210" s="70"/>
      <c r="I210" s="71"/>
      <c r="J210" s="71"/>
      <c r="K210" s="35" t="s">
        <v>65</v>
      </c>
      <c r="L210" s="72">
        <v>210</v>
      </c>
      <c r="M210" s="72"/>
      <c r="N210" s="73"/>
      <c r="O210" s="80" t="s">
        <v>353</v>
      </c>
      <c r="P210" s="82">
        <v>44222.668703703705</v>
      </c>
      <c r="Q210" s="80" t="s">
        <v>418</v>
      </c>
      <c r="R210" s="84" t="str">
        <f>HYPERLINK("https://bit.ly/3oTtvE6")</f>
        <v>https://bit.ly/3oTtvE6</v>
      </c>
      <c r="S210" s="80" t="s">
        <v>448</v>
      </c>
      <c r="T210" s="80" t="s">
        <v>459</v>
      </c>
      <c r="U210" s="84" t="str">
        <f>HYPERLINK("https://pbs.twimg.com/media/Esq4fzDXcAAqKOj.jpg")</f>
        <v>https://pbs.twimg.com/media/Esq4fzDXcAAqKOj.jpg</v>
      </c>
      <c r="V210" s="84" t="str">
        <f>HYPERLINK("https://pbs.twimg.com/media/Esq4fzDXcAAqKOj.jpg")</f>
        <v>https://pbs.twimg.com/media/Esq4fzDXcAAqKOj.jpg</v>
      </c>
      <c r="W210" s="82">
        <v>44222.668703703705</v>
      </c>
      <c r="X210" s="86">
        <v>44222</v>
      </c>
      <c r="Y210" s="88" t="s">
        <v>579</v>
      </c>
      <c r="Z210" s="84" t="str">
        <f>HYPERLINK("https://twitter.com/uopeople/status/1354097498713939968")</f>
        <v>https://twitter.com/uopeople/status/1354097498713939968</v>
      </c>
      <c r="AA210" s="80"/>
      <c r="AB210" s="80"/>
      <c r="AC210" s="88" t="s">
        <v>730</v>
      </c>
      <c r="AD210" s="80"/>
      <c r="AE210" s="80" t="b">
        <v>0</v>
      </c>
      <c r="AF210" s="80">
        <v>8</v>
      </c>
      <c r="AG210" s="88" t="s">
        <v>763</v>
      </c>
      <c r="AH210" s="80" t="b">
        <v>0</v>
      </c>
      <c r="AI210" s="80" t="s">
        <v>764</v>
      </c>
      <c r="AJ210" s="80"/>
      <c r="AK210" s="88" t="s">
        <v>763</v>
      </c>
      <c r="AL210" s="80" t="b">
        <v>0</v>
      </c>
      <c r="AM210" s="80">
        <v>2</v>
      </c>
      <c r="AN210" s="88" t="s">
        <v>763</v>
      </c>
      <c r="AO210" s="80" t="s">
        <v>769</v>
      </c>
      <c r="AP210" s="80" t="b">
        <v>0</v>
      </c>
      <c r="AQ210" s="88" t="s">
        <v>730</v>
      </c>
      <c r="AR210" s="80" t="s">
        <v>197</v>
      </c>
      <c r="AS210" s="80">
        <v>0</v>
      </c>
      <c r="AT210" s="80">
        <v>0</v>
      </c>
      <c r="AU210" s="80"/>
      <c r="AV210" s="80"/>
      <c r="AW210" s="80"/>
      <c r="AX210" s="80"/>
      <c r="AY210" s="80"/>
      <c r="AZ210" s="80"/>
      <c r="BA210" s="80"/>
      <c r="BB210" s="80"/>
      <c r="BC210">
        <v>1</v>
      </c>
      <c r="BD210" s="79" t="str">
        <f>REPLACE(INDEX(GroupVertices[Group],MATCH(Edges[[#This Row],[Vertex 1]],GroupVertices[Vertex],0)),1,1,"")</f>
        <v>2</v>
      </c>
      <c r="BE210" s="79" t="str">
        <f>REPLACE(INDEX(GroupVertices[Group],MATCH(Edges[[#This Row],[Vertex 2]],GroupVertices[Vertex],0)),1,1,"")</f>
        <v>2</v>
      </c>
      <c r="BF210" s="49">
        <v>0</v>
      </c>
      <c r="BG210" s="50">
        <v>0</v>
      </c>
      <c r="BH210" s="49">
        <v>0</v>
      </c>
      <c r="BI210" s="50">
        <v>0</v>
      </c>
      <c r="BJ210" s="49">
        <v>0</v>
      </c>
      <c r="BK210" s="50">
        <v>0</v>
      </c>
      <c r="BL210" s="49">
        <v>27</v>
      </c>
      <c r="BM210" s="50">
        <v>100</v>
      </c>
      <c r="BN210" s="49">
        <v>27</v>
      </c>
    </row>
    <row r="211" spans="1:66" ht="15">
      <c r="A211" s="65" t="s">
        <v>295</v>
      </c>
      <c r="B211" s="65" t="s">
        <v>294</v>
      </c>
      <c r="C211" s="66" t="s">
        <v>2153</v>
      </c>
      <c r="D211" s="67">
        <v>3</v>
      </c>
      <c r="E211" s="66" t="s">
        <v>132</v>
      </c>
      <c r="F211" s="69">
        <v>32</v>
      </c>
      <c r="G211" s="66"/>
      <c r="H211" s="70"/>
      <c r="I211" s="71"/>
      <c r="J211" s="71"/>
      <c r="K211" s="35" t="s">
        <v>65</v>
      </c>
      <c r="L211" s="72">
        <v>211</v>
      </c>
      <c r="M211" s="72"/>
      <c r="N211" s="73"/>
      <c r="O211" s="80" t="s">
        <v>351</v>
      </c>
      <c r="P211" s="82">
        <v>44222.679027777776</v>
      </c>
      <c r="Q211" s="80" t="s">
        <v>418</v>
      </c>
      <c r="R211" s="84" t="str">
        <f>HYPERLINK("https://bit.ly/3oTtvE6")</f>
        <v>https://bit.ly/3oTtvE6</v>
      </c>
      <c r="S211" s="80" t="s">
        <v>448</v>
      </c>
      <c r="T211" s="80" t="s">
        <v>459</v>
      </c>
      <c r="U211" s="84" t="str">
        <f>HYPERLINK("https://pbs.twimg.com/media/Esq4fzDXcAAqKOj.jpg")</f>
        <v>https://pbs.twimg.com/media/Esq4fzDXcAAqKOj.jpg</v>
      </c>
      <c r="V211" s="84" t="str">
        <f>HYPERLINK("https://pbs.twimg.com/media/Esq4fzDXcAAqKOj.jpg")</f>
        <v>https://pbs.twimg.com/media/Esq4fzDXcAAqKOj.jpg</v>
      </c>
      <c r="W211" s="82">
        <v>44222.679027777776</v>
      </c>
      <c r="X211" s="86">
        <v>44222</v>
      </c>
      <c r="Y211" s="88" t="s">
        <v>580</v>
      </c>
      <c r="Z211" s="84" t="str">
        <f>HYPERLINK("https://twitter.com/yinkaadeosun/status/1354101241673084930")</f>
        <v>https://twitter.com/yinkaadeosun/status/1354101241673084930</v>
      </c>
      <c r="AA211" s="80"/>
      <c r="AB211" s="80"/>
      <c r="AC211" s="88" t="s">
        <v>731</v>
      </c>
      <c r="AD211" s="80"/>
      <c r="AE211" s="80" t="b">
        <v>0</v>
      </c>
      <c r="AF211" s="80">
        <v>0</v>
      </c>
      <c r="AG211" s="88" t="s">
        <v>763</v>
      </c>
      <c r="AH211" s="80" t="b">
        <v>0</v>
      </c>
      <c r="AI211" s="80" t="s">
        <v>764</v>
      </c>
      <c r="AJ211" s="80"/>
      <c r="AK211" s="88" t="s">
        <v>763</v>
      </c>
      <c r="AL211" s="80" t="b">
        <v>0</v>
      </c>
      <c r="AM211" s="80">
        <v>2</v>
      </c>
      <c r="AN211" s="88" t="s">
        <v>730</v>
      </c>
      <c r="AO211" s="80" t="s">
        <v>766</v>
      </c>
      <c r="AP211" s="80" t="b">
        <v>0</v>
      </c>
      <c r="AQ211" s="88" t="s">
        <v>730</v>
      </c>
      <c r="AR211" s="80" t="s">
        <v>197</v>
      </c>
      <c r="AS211" s="80">
        <v>0</v>
      </c>
      <c r="AT211" s="80">
        <v>0</v>
      </c>
      <c r="AU211" s="80"/>
      <c r="AV211" s="80"/>
      <c r="AW211" s="80"/>
      <c r="AX211" s="80"/>
      <c r="AY211" s="80"/>
      <c r="AZ211" s="80"/>
      <c r="BA211" s="80"/>
      <c r="BB211" s="80"/>
      <c r="BC211">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295</v>
      </c>
      <c r="B212" s="65" t="s">
        <v>292</v>
      </c>
      <c r="C212" s="66" t="s">
        <v>2153</v>
      </c>
      <c r="D212" s="67">
        <v>3</v>
      </c>
      <c r="E212" s="66" t="s">
        <v>132</v>
      </c>
      <c r="F212" s="69">
        <v>32</v>
      </c>
      <c r="G212" s="66"/>
      <c r="H212" s="70"/>
      <c r="I212" s="71"/>
      <c r="J212" s="71"/>
      <c r="K212" s="35" t="s">
        <v>65</v>
      </c>
      <c r="L212" s="72">
        <v>212</v>
      </c>
      <c r="M212" s="72"/>
      <c r="N212" s="73"/>
      <c r="O212" s="80" t="s">
        <v>352</v>
      </c>
      <c r="P212" s="82">
        <v>44222.679027777776</v>
      </c>
      <c r="Q212" s="80" t="s">
        <v>418</v>
      </c>
      <c r="R212" s="84" t="str">
        <f>HYPERLINK("https://bit.ly/3oTtvE6")</f>
        <v>https://bit.ly/3oTtvE6</v>
      </c>
      <c r="S212" s="80" t="s">
        <v>448</v>
      </c>
      <c r="T212" s="80" t="s">
        <v>459</v>
      </c>
      <c r="U212" s="84" t="str">
        <f>HYPERLINK("https://pbs.twimg.com/media/Esq4fzDXcAAqKOj.jpg")</f>
        <v>https://pbs.twimg.com/media/Esq4fzDXcAAqKOj.jpg</v>
      </c>
      <c r="V212" s="84" t="str">
        <f>HYPERLINK("https://pbs.twimg.com/media/Esq4fzDXcAAqKOj.jpg")</f>
        <v>https://pbs.twimg.com/media/Esq4fzDXcAAqKOj.jpg</v>
      </c>
      <c r="W212" s="82">
        <v>44222.679027777776</v>
      </c>
      <c r="X212" s="86">
        <v>44222</v>
      </c>
      <c r="Y212" s="88" t="s">
        <v>580</v>
      </c>
      <c r="Z212" s="84" t="str">
        <f>HYPERLINK("https://twitter.com/yinkaadeosun/status/1354101241673084930")</f>
        <v>https://twitter.com/yinkaadeosun/status/1354101241673084930</v>
      </c>
      <c r="AA212" s="80"/>
      <c r="AB212" s="80"/>
      <c r="AC212" s="88" t="s">
        <v>731</v>
      </c>
      <c r="AD212" s="80"/>
      <c r="AE212" s="80" t="b">
        <v>0</v>
      </c>
      <c r="AF212" s="80">
        <v>0</v>
      </c>
      <c r="AG212" s="88" t="s">
        <v>763</v>
      </c>
      <c r="AH212" s="80" t="b">
        <v>0</v>
      </c>
      <c r="AI212" s="80" t="s">
        <v>764</v>
      </c>
      <c r="AJ212" s="80"/>
      <c r="AK212" s="88" t="s">
        <v>763</v>
      </c>
      <c r="AL212" s="80" t="b">
        <v>0</v>
      </c>
      <c r="AM212" s="80">
        <v>2</v>
      </c>
      <c r="AN212" s="88" t="s">
        <v>730</v>
      </c>
      <c r="AO212" s="80" t="s">
        <v>766</v>
      </c>
      <c r="AP212" s="80" t="b">
        <v>0</v>
      </c>
      <c r="AQ212" s="88" t="s">
        <v>730</v>
      </c>
      <c r="AR212" s="80" t="s">
        <v>197</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2</v>
      </c>
      <c r="BF212" s="49">
        <v>0</v>
      </c>
      <c r="BG212" s="50">
        <v>0</v>
      </c>
      <c r="BH212" s="49">
        <v>0</v>
      </c>
      <c r="BI212" s="50">
        <v>0</v>
      </c>
      <c r="BJ212" s="49">
        <v>0</v>
      </c>
      <c r="BK212" s="50">
        <v>0</v>
      </c>
      <c r="BL212" s="49">
        <v>27</v>
      </c>
      <c r="BM212" s="50">
        <v>100</v>
      </c>
      <c r="BN212" s="49">
        <v>27</v>
      </c>
    </row>
    <row r="213" spans="1:66" ht="15">
      <c r="A213" s="65" t="s">
        <v>296</v>
      </c>
      <c r="B213" s="65" t="s">
        <v>298</v>
      </c>
      <c r="C213" s="66" t="s">
        <v>2153</v>
      </c>
      <c r="D213" s="67">
        <v>3</v>
      </c>
      <c r="E213" s="66" t="s">
        <v>132</v>
      </c>
      <c r="F213" s="69">
        <v>32</v>
      </c>
      <c r="G213" s="66"/>
      <c r="H213" s="70"/>
      <c r="I213" s="71"/>
      <c r="J213" s="71"/>
      <c r="K213" s="35" t="s">
        <v>65</v>
      </c>
      <c r="L213" s="72">
        <v>213</v>
      </c>
      <c r="M213" s="72"/>
      <c r="N213" s="73"/>
      <c r="O213" s="80" t="s">
        <v>351</v>
      </c>
      <c r="P213" s="82">
        <v>44222.88438657407</v>
      </c>
      <c r="Q213" s="80" t="s">
        <v>419</v>
      </c>
      <c r="R213" s="80"/>
      <c r="S213" s="80"/>
      <c r="T213" s="80" t="s">
        <v>451</v>
      </c>
      <c r="U213" s="84" t="str">
        <f>HYPERLINK("https://pbs.twimg.com/media/Esr9_d8XAAYPmIq.jpg")</f>
        <v>https://pbs.twimg.com/media/Esr9_d8XAAYPmIq.jpg</v>
      </c>
      <c r="V213" s="84" t="str">
        <f>HYPERLINK("https://pbs.twimg.com/media/Esr9_d8XAAYPmIq.jpg")</f>
        <v>https://pbs.twimg.com/media/Esr9_d8XAAYPmIq.jpg</v>
      </c>
      <c r="W213" s="82">
        <v>44222.88438657407</v>
      </c>
      <c r="X213" s="86">
        <v>44222</v>
      </c>
      <c r="Y213" s="88" t="s">
        <v>581</v>
      </c>
      <c r="Z213" s="84" t="str">
        <f>HYPERLINK("https://twitter.com/davidbartram_/status/1354175658981777413")</f>
        <v>https://twitter.com/davidbartram_/status/1354175658981777413</v>
      </c>
      <c r="AA213" s="80"/>
      <c r="AB213" s="80"/>
      <c r="AC213" s="88" t="s">
        <v>732</v>
      </c>
      <c r="AD213" s="80"/>
      <c r="AE213" s="80" t="b">
        <v>0</v>
      </c>
      <c r="AF213" s="80">
        <v>0</v>
      </c>
      <c r="AG213" s="88" t="s">
        <v>763</v>
      </c>
      <c r="AH213" s="80" t="b">
        <v>0</v>
      </c>
      <c r="AI213" s="80" t="s">
        <v>764</v>
      </c>
      <c r="AJ213" s="80"/>
      <c r="AK213" s="88" t="s">
        <v>763</v>
      </c>
      <c r="AL213" s="80" t="b">
        <v>0</v>
      </c>
      <c r="AM213" s="80">
        <v>3</v>
      </c>
      <c r="AN213" s="88" t="s">
        <v>734</v>
      </c>
      <c r="AO213" s="80" t="s">
        <v>767</v>
      </c>
      <c r="AP213" s="80" t="b">
        <v>0</v>
      </c>
      <c r="AQ213" s="88" t="s">
        <v>734</v>
      </c>
      <c r="AR213" s="80" t="s">
        <v>197</v>
      </c>
      <c r="AS213" s="80">
        <v>0</v>
      </c>
      <c r="AT213" s="80">
        <v>0</v>
      </c>
      <c r="AU213" s="80"/>
      <c r="AV213" s="80"/>
      <c r="AW213" s="80"/>
      <c r="AX213" s="80"/>
      <c r="AY213" s="80"/>
      <c r="AZ213" s="80"/>
      <c r="BA213" s="80"/>
      <c r="BB213" s="80"/>
      <c r="BC213">
        <v>1</v>
      </c>
      <c r="BD213" s="79" t="str">
        <f>REPLACE(INDEX(GroupVertices[Group],MATCH(Edges[[#This Row],[Vertex 1]],GroupVertices[Vertex],0)),1,1,"")</f>
        <v>7</v>
      </c>
      <c r="BE213" s="79" t="str">
        <f>REPLACE(INDEX(GroupVertices[Group],MATCH(Edges[[#This Row],[Vertex 2]],GroupVertices[Vertex],0)),1,1,"")</f>
        <v>7</v>
      </c>
      <c r="BF213" s="49">
        <v>2</v>
      </c>
      <c r="BG213" s="50">
        <v>5.714285714285714</v>
      </c>
      <c r="BH213" s="49">
        <v>0</v>
      </c>
      <c r="BI213" s="50">
        <v>0</v>
      </c>
      <c r="BJ213" s="49">
        <v>0</v>
      </c>
      <c r="BK213" s="50">
        <v>0</v>
      </c>
      <c r="BL213" s="49">
        <v>33</v>
      </c>
      <c r="BM213" s="50">
        <v>94.28571428571429</v>
      </c>
      <c r="BN213" s="49">
        <v>35</v>
      </c>
    </row>
    <row r="214" spans="1:66" ht="15">
      <c r="A214" s="65" t="s">
        <v>297</v>
      </c>
      <c r="B214" s="65" t="s">
        <v>298</v>
      </c>
      <c r="C214" s="66" t="s">
        <v>2153</v>
      </c>
      <c r="D214" s="67">
        <v>3</v>
      </c>
      <c r="E214" s="66" t="s">
        <v>132</v>
      </c>
      <c r="F214" s="69">
        <v>32</v>
      </c>
      <c r="G214" s="66"/>
      <c r="H214" s="70"/>
      <c r="I214" s="71"/>
      <c r="J214" s="71"/>
      <c r="K214" s="35" t="s">
        <v>65</v>
      </c>
      <c r="L214" s="72">
        <v>214</v>
      </c>
      <c r="M214" s="72"/>
      <c r="N214" s="73"/>
      <c r="O214" s="80" t="s">
        <v>351</v>
      </c>
      <c r="P214" s="82">
        <v>44222.88574074074</v>
      </c>
      <c r="Q214" s="80" t="s">
        <v>419</v>
      </c>
      <c r="R214" s="80"/>
      <c r="S214" s="80"/>
      <c r="T214" s="80" t="s">
        <v>451</v>
      </c>
      <c r="U214" s="84" t="str">
        <f>HYPERLINK("https://pbs.twimg.com/media/Esr9_d8XAAYPmIq.jpg")</f>
        <v>https://pbs.twimg.com/media/Esr9_d8XAAYPmIq.jpg</v>
      </c>
      <c r="V214" s="84" t="str">
        <f>HYPERLINK("https://pbs.twimg.com/media/Esr9_d8XAAYPmIq.jpg")</f>
        <v>https://pbs.twimg.com/media/Esr9_d8XAAYPmIq.jpg</v>
      </c>
      <c r="W214" s="82">
        <v>44222.88574074074</v>
      </c>
      <c r="X214" s="86">
        <v>44222</v>
      </c>
      <c r="Y214" s="88" t="s">
        <v>582</v>
      </c>
      <c r="Z214" s="84" t="str">
        <f>HYPERLINK("https://twitter.com/creativehigg/status/1354176149665021956")</f>
        <v>https://twitter.com/creativehigg/status/1354176149665021956</v>
      </c>
      <c r="AA214" s="80"/>
      <c r="AB214" s="80"/>
      <c r="AC214" s="88" t="s">
        <v>733</v>
      </c>
      <c r="AD214" s="80"/>
      <c r="AE214" s="80" t="b">
        <v>0</v>
      </c>
      <c r="AF214" s="80">
        <v>0</v>
      </c>
      <c r="AG214" s="88" t="s">
        <v>763</v>
      </c>
      <c r="AH214" s="80" t="b">
        <v>0</v>
      </c>
      <c r="AI214" s="80" t="s">
        <v>764</v>
      </c>
      <c r="AJ214" s="80"/>
      <c r="AK214" s="88" t="s">
        <v>763</v>
      </c>
      <c r="AL214" s="80" t="b">
        <v>0</v>
      </c>
      <c r="AM214" s="80">
        <v>3</v>
      </c>
      <c r="AN214" s="88" t="s">
        <v>734</v>
      </c>
      <c r="AO214" s="80" t="s">
        <v>766</v>
      </c>
      <c r="AP214" s="80" t="b">
        <v>0</v>
      </c>
      <c r="AQ214" s="88" t="s">
        <v>734</v>
      </c>
      <c r="AR214" s="80" t="s">
        <v>197</v>
      </c>
      <c r="AS214" s="80">
        <v>0</v>
      </c>
      <c r="AT214" s="80">
        <v>0</v>
      </c>
      <c r="AU214" s="80"/>
      <c r="AV214" s="80"/>
      <c r="AW214" s="80"/>
      <c r="AX214" s="80"/>
      <c r="AY214" s="80"/>
      <c r="AZ214" s="80"/>
      <c r="BA214" s="80"/>
      <c r="BB214" s="80"/>
      <c r="BC214">
        <v>1</v>
      </c>
      <c r="BD214" s="79" t="str">
        <f>REPLACE(INDEX(GroupVertices[Group],MATCH(Edges[[#This Row],[Vertex 1]],GroupVertices[Vertex],0)),1,1,"")</f>
        <v>7</v>
      </c>
      <c r="BE214" s="79" t="str">
        <f>REPLACE(INDEX(GroupVertices[Group],MATCH(Edges[[#This Row],[Vertex 2]],GroupVertices[Vertex],0)),1,1,"")</f>
        <v>7</v>
      </c>
      <c r="BF214" s="49">
        <v>2</v>
      </c>
      <c r="BG214" s="50">
        <v>5.714285714285714</v>
      </c>
      <c r="BH214" s="49">
        <v>0</v>
      </c>
      <c r="BI214" s="50">
        <v>0</v>
      </c>
      <c r="BJ214" s="49">
        <v>0</v>
      </c>
      <c r="BK214" s="50">
        <v>0</v>
      </c>
      <c r="BL214" s="49">
        <v>33</v>
      </c>
      <c r="BM214" s="50">
        <v>94.28571428571429</v>
      </c>
      <c r="BN214" s="49">
        <v>35</v>
      </c>
    </row>
    <row r="215" spans="1:66" ht="15">
      <c r="A215" s="65" t="s">
        <v>298</v>
      </c>
      <c r="B215" s="65" t="s">
        <v>298</v>
      </c>
      <c r="C215" s="66" t="s">
        <v>2153</v>
      </c>
      <c r="D215" s="67">
        <v>3</v>
      </c>
      <c r="E215" s="66" t="s">
        <v>132</v>
      </c>
      <c r="F215" s="69">
        <v>32</v>
      </c>
      <c r="G215" s="66"/>
      <c r="H215" s="70"/>
      <c r="I215" s="71"/>
      <c r="J215" s="71"/>
      <c r="K215" s="35" t="s">
        <v>65</v>
      </c>
      <c r="L215" s="72">
        <v>215</v>
      </c>
      <c r="M215" s="72"/>
      <c r="N215" s="73"/>
      <c r="O215" s="80" t="s">
        <v>197</v>
      </c>
      <c r="P215" s="82">
        <v>44222.88209490741</v>
      </c>
      <c r="Q215" s="80" t="s">
        <v>419</v>
      </c>
      <c r="R215" s="80"/>
      <c r="S215" s="80"/>
      <c r="T215" s="80" t="s">
        <v>451</v>
      </c>
      <c r="U215" s="84" t="str">
        <f>HYPERLINK("https://pbs.twimg.com/media/Esr9_d8XAAYPmIq.jpg")</f>
        <v>https://pbs.twimg.com/media/Esr9_d8XAAYPmIq.jpg</v>
      </c>
      <c r="V215" s="84" t="str">
        <f>HYPERLINK("https://pbs.twimg.com/media/Esr9_d8XAAYPmIq.jpg")</f>
        <v>https://pbs.twimg.com/media/Esr9_d8XAAYPmIq.jpg</v>
      </c>
      <c r="W215" s="82">
        <v>44222.88209490741</v>
      </c>
      <c r="X215" s="86">
        <v>44222</v>
      </c>
      <c r="Y215" s="88" t="s">
        <v>583</v>
      </c>
      <c r="Z215" s="84" t="str">
        <f>HYPERLINK("https://twitter.com/susandouglas70/status/1354174831877623809")</f>
        <v>https://twitter.com/susandouglas70/status/1354174831877623809</v>
      </c>
      <c r="AA215" s="80"/>
      <c r="AB215" s="80"/>
      <c r="AC215" s="88" t="s">
        <v>734</v>
      </c>
      <c r="AD215" s="80"/>
      <c r="AE215" s="80" t="b">
        <v>0</v>
      </c>
      <c r="AF215" s="80">
        <v>8</v>
      </c>
      <c r="AG215" s="88" t="s">
        <v>763</v>
      </c>
      <c r="AH215" s="80" t="b">
        <v>0</v>
      </c>
      <c r="AI215" s="80" t="s">
        <v>764</v>
      </c>
      <c r="AJ215" s="80"/>
      <c r="AK215" s="88" t="s">
        <v>763</v>
      </c>
      <c r="AL215" s="80" t="b">
        <v>0</v>
      </c>
      <c r="AM215" s="80">
        <v>3</v>
      </c>
      <c r="AN215" s="88" t="s">
        <v>763</v>
      </c>
      <c r="AO215" s="80" t="s">
        <v>765</v>
      </c>
      <c r="AP215" s="80" t="b">
        <v>0</v>
      </c>
      <c r="AQ215" s="88" t="s">
        <v>734</v>
      </c>
      <c r="AR215" s="80" t="s">
        <v>197</v>
      </c>
      <c r="AS215" s="80">
        <v>0</v>
      </c>
      <c r="AT215" s="80">
        <v>0</v>
      </c>
      <c r="AU215" s="80"/>
      <c r="AV215" s="80"/>
      <c r="AW215" s="80"/>
      <c r="AX215" s="80"/>
      <c r="AY215" s="80"/>
      <c r="AZ215" s="80"/>
      <c r="BA215" s="80"/>
      <c r="BB215" s="80"/>
      <c r="BC215">
        <v>1</v>
      </c>
      <c r="BD215" s="79" t="str">
        <f>REPLACE(INDEX(GroupVertices[Group],MATCH(Edges[[#This Row],[Vertex 1]],GroupVertices[Vertex],0)),1,1,"")</f>
        <v>7</v>
      </c>
      <c r="BE215" s="79" t="str">
        <f>REPLACE(INDEX(GroupVertices[Group],MATCH(Edges[[#This Row],[Vertex 2]],GroupVertices[Vertex],0)),1,1,"")</f>
        <v>7</v>
      </c>
      <c r="BF215" s="49">
        <v>2</v>
      </c>
      <c r="BG215" s="50">
        <v>5.714285714285714</v>
      </c>
      <c r="BH215" s="49">
        <v>0</v>
      </c>
      <c r="BI215" s="50">
        <v>0</v>
      </c>
      <c r="BJ215" s="49">
        <v>0</v>
      </c>
      <c r="BK215" s="50">
        <v>0</v>
      </c>
      <c r="BL215" s="49">
        <v>33</v>
      </c>
      <c r="BM215" s="50">
        <v>94.28571428571429</v>
      </c>
      <c r="BN215" s="49">
        <v>35</v>
      </c>
    </row>
    <row r="216" spans="1:66" ht="15">
      <c r="A216" s="65" t="s">
        <v>299</v>
      </c>
      <c r="B216" s="65" t="s">
        <v>298</v>
      </c>
      <c r="C216" s="66" t="s">
        <v>2153</v>
      </c>
      <c r="D216" s="67">
        <v>3</v>
      </c>
      <c r="E216" s="66" t="s">
        <v>132</v>
      </c>
      <c r="F216" s="69">
        <v>32</v>
      </c>
      <c r="G216" s="66"/>
      <c r="H216" s="70"/>
      <c r="I216" s="71"/>
      <c r="J216" s="71"/>
      <c r="K216" s="35" t="s">
        <v>65</v>
      </c>
      <c r="L216" s="72">
        <v>216</v>
      </c>
      <c r="M216" s="72"/>
      <c r="N216" s="73"/>
      <c r="O216" s="80" t="s">
        <v>351</v>
      </c>
      <c r="P216" s="82">
        <v>44222.94532407408</v>
      </c>
      <c r="Q216" s="80" t="s">
        <v>419</v>
      </c>
      <c r="R216" s="80"/>
      <c r="S216" s="80"/>
      <c r="T216" s="80" t="s">
        <v>451</v>
      </c>
      <c r="U216" s="84" t="str">
        <f>HYPERLINK("https://pbs.twimg.com/media/Esr9_d8XAAYPmIq.jpg")</f>
        <v>https://pbs.twimg.com/media/Esr9_d8XAAYPmIq.jpg</v>
      </c>
      <c r="V216" s="84" t="str">
        <f>HYPERLINK("https://pbs.twimg.com/media/Esr9_d8XAAYPmIq.jpg")</f>
        <v>https://pbs.twimg.com/media/Esr9_d8XAAYPmIq.jpg</v>
      </c>
      <c r="W216" s="82">
        <v>44222.94532407408</v>
      </c>
      <c r="X216" s="86">
        <v>44222</v>
      </c>
      <c r="Y216" s="88" t="s">
        <v>584</v>
      </c>
      <c r="Z216" s="84" t="str">
        <f>HYPERLINK("https://twitter.com/olgatoulk/status/1354197742827012098")</f>
        <v>https://twitter.com/olgatoulk/status/1354197742827012098</v>
      </c>
      <c r="AA216" s="80"/>
      <c r="AB216" s="80"/>
      <c r="AC216" s="88" t="s">
        <v>735</v>
      </c>
      <c r="AD216" s="80"/>
      <c r="AE216" s="80" t="b">
        <v>0</v>
      </c>
      <c r="AF216" s="80">
        <v>0</v>
      </c>
      <c r="AG216" s="88" t="s">
        <v>763</v>
      </c>
      <c r="AH216" s="80" t="b">
        <v>0</v>
      </c>
      <c r="AI216" s="80" t="s">
        <v>764</v>
      </c>
      <c r="AJ216" s="80"/>
      <c r="AK216" s="88" t="s">
        <v>763</v>
      </c>
      <c r="AL216" s="80" t="b">
        <v>0</v>
      </c>
      <c r="AM216" s="80">
        <v>3</v>
      </c>
      <c r="AN216" s="88" t="s">
        <v>734</v>
      </c>
      <c r="AO216" s="80" t="s">
        <v>766</v>
      </c>
      <c r="AP216" s="80" t="b">
        <v>0</v>
      </c>
      <c r="AQ216" s="88" t="s">
        <v>734</v>
      </c>
      <c r="AR216" s="80" t="s">
        <v>197</v>
      </c>
      <c r="AS216" s="80">
        <v>0</v>
      </c>
      <c r="AT216" s="80">
        <v>0</v>
      </c>
      <c r="AU216" s="80"/>
      <c r="AV216" s="80"/>
      <c r="AW216" s="80"/>
      <c r="AX216" s="80"/>
      <c r="AY216" s="80"/>
      <c r="AZ216" s="80"/>
      <c r="BA216" s="80"/>
      <c r="BB216" s="80"/>
      <c r="BC216">
        <v>1</v>
      </c>
      <c r="BD216" s="79" t="str">
        <f>REPLACE(INDEX(GroupVertices[Group],MATCH(Edges[[#This Row],[Vertex 1]],GroupVertices[Vertex],0)),1,1,"")</f>
        <v>7</v>
      </c>
      <c r="BE216" s="79" t="str">
        <f>REPLACE(INDEX(GroupVertices[Group],MATCH(Edges[[#This Row],[Vertex 2]],GroupVertices[Vertex],0)),1,1,"")</f>
        <v>7</v>
      </c>
      <c r="BF216" s="49">
        <v>2</v>
      </c>
      <c r="BG216" s="50">
        <v>5.714285714285714</v>
      </c>
      <c r="BH216" s="49">
        <v>0</v>
      </c>
      <c r="BI216" s="50">
        <v>0</v>
      </c>
      <c r="BJ216" s="49">
        <v>0</v>
      </c>
      <c r="BK216" s="50">
        <v>0</v>
      </c>
      <c r="BL216" s="49">
        <v>33</v>
      </c>
      <c r="BM216" s="50">
        <v>94.28571428571429</v>
      </c>
      <c r="BN216" s="49">
        <v>35</v>
      </c>
    </row>
    <row r="217" spans="1:66" ht="15">
      <c r="A217" s="65" t="s">
        <v>271</v>
      </c>
      <c r="B217" s="65" t="s">
        <v>271</v>
      </c>
      <c r="C217" s="66" t="s">
        <v>2157</v>
      </c>
      <c r="D217" s="67">
        <v>10</v>
      </c>
      <c r="E217" s="66" t="s">
        <v>136</v>
      </c>
      <c r="F217" s="69">
        <v>6</v>
      </c>
      <c r="G217" s="66"/>
      <c r="H217" s="70"/>
      <c r="I217" s="71"/>
      <c r="J217" s="71"/>
      <c r="K217" s="35" t="s">
        <v>65</v>
      </c>
      <c r="L217" s="72">
        <v>217</v>
      </c>
      <c r="M217" s="72"/>
      <c r="N217" s="73"/>
      <c r="O217" s="80" t="s">
        <v>197</v>
      </c>
      <c r="P217" s="82">
        <v>44215.38060185185</v>
      </c>
      <c r="Q217" s="80" t="s">
        <v>400</v>
      </c>
      <c r="R217" s="84" t="str">
        <f>HYPERLINK("https://www.tiess.online/registration?utm_source=Twitter&amp;utm_medium=IDA&amp;utm_campaign=TIESS&amp;utm_term=006")</f>
        <v>https://www.tiess.online/registration?utm_source=Twitter&amp;utm_medium=IDA&amp;utm_campaign=TIESS&amp;utm_term=006</v>
      </c>
      <c r="S217" s="80" t="s">
        <v>444</v>
      </c>
      <c r="T217" s="80" t="s">
        <v>449</v>
      </c>
      <c r="U217" s="84" t="str">
        <f>HYPERLINK("https://pbs.twimg.com/ext_tw_video_thumb/1351455582709051392/pu/img/HHqo-Y-cvh93oOF6.jpg")</f>
        <v>https://pbs.twimg.com/ext_tw_video_thumb/1351455582709051392/pu/img/HHqo-Y-cvh93oOF6.jpg</v>
      </c>
      <c r="V217" s="84" t="str">
        <f>HYPERLINK("https://pbs.twimg.com/ext_tw_video_thumb/1351455582709051392/pu/img/HHqo-Y-cvh93oOF6.jpg")</f>
        <v>https://pbs.twimg.com/ext_tw_video_thumb/1351455582709051392/pu/img/HHqo-Y-cvh93oOF6.jpg</v>
      </c>
      <c r="W217" s="82">
        <v>44215.38060185185</v>
      </c>
      <c r="X217" s="86">
        <v>44215</v>
      </c>
      <c r="Y217" s="88" t="s">
        <v>585</v>
      </c>
      <c r="Z217" s="84" t="str">
        <f>HYPERLINK("https://twitter.com/indiadidac/status/1351456379308036104")</f>
        <v>https://twitter.com/indiadidac/status/1351456379308036104</v>
      </c>
      <c r="AA217" s="80"/>
      <c r="AB217" s="80"/>
      <c r="AC217" s="88" t="s">
        <v>736</v>
      </c>
      <c r="AD217" s="80"/>
      <c r="AE217" s="80" t="b">
        <v>0</v>
      </c>
      <c r="AF217" s="80">
        <v>5</v>
      </c>
      <c r="AG217" s="88" t="s">
        <v>763</v>
      </c>
      <c r="AH217" s="80" t="b">
        <v>0</v>
      </c>
      <c r="AI217" s="80" t="s">
        <v>764</v>
      </c>
      <c r="AJ217" s="80"/>
      <c r="AK217" s="88" t="s">
        <v>763</v>
      </c>
      <c r="AL217" s="80" t="b">
        <v>0</v>
      </c>
      <c r="AM217" s="80">
        <v>1</v>
      </c>
      <c r="AN217" s="88" t="s">
        <v>763</v>
      </c>
      <c r="AO217" s="80" t="s">
        <v>768</v>
      </c>
      <c r="AP217" s="80" t="b">
        <v>0</v>
      </c>
      <c r="AQ217" s="88" t="s">
        <v>736</v>
      </c>
      <c r="AR217" s="80" t="s">
        <v>351</v>
      </c>
      <c r="AS217" s="80">
        <v>0</v>
      </c>
      <c r="AT217" s="80">
        <v>0</v>
      </c>
      <c r="AU217" s="80"/>
      <c r="AV217" s="80"/>
      <c r="AW217" s="80"/>
      <c r="AX217" s="80"/>
      <c r="AY217" s="80"/>
      <c r="AZ217" s="80"/>
      <c r="BA217" s="80"/>
      <c r="BB217" s="80"/>
      <c r="BC217">
        <v>20</v>
      </c>
      <c r="BD217" s="79" t="str">
        <f>REPLACE(INDEX(GroupVertices[Group],MATCH(Edges[[#This Row],[Vertex 1]],GroupVertices[Vertex],0)),1,1,"")</f>
        <v>1</v>
      </c>
      <c r="BE217" s="79" t="str">
        <f>REPLACE(INDEX(GroupVertices[Group],MATCH(Edges[[#This Row],[Vertex 2]],GroupVertices[Vertex],0)),1,1,"")</f>
        <v>1</v>
      </c>
      <c r="BF217" s="49">
        <v>1</v>
      </c>
      <c r="BG217" s="50">
        <v>2.857142857142857</v>
      </c>
      <c r="BH217" s="49">
        <v>0</v>
      </c>
      <c r="BI217" s="50">
        <v>0</v>
      </c>
      <c r="BJ217" s="49">
        <v>0</v>
      </c>
      <c r="BK217" s="50">
        <v>0</v>
      </c>
      <c r="BL217" s="49">
        <v>34</v>
      </c>
      <c r="BM217" s="50">
        <v>97.14285714285714</v>
      </c>
      <c r="BN217" s="49">
        <v>35</v>
      </c>
    </row>
    <row r="218" spans="1:66" ht="15">
      <c r="A218" s="65" t="s">
        <v>271</v>
      </c>
      <c r="B218" s="65" t="s">
        <v>271</v>
      </c>
      <c r="C218" s="66" t="s">
        <v>2157</v>
      </c>
      <c r="D218" s="67">
        <v>10</v>
      </c>
      <c r="E218" s="66" t="s">
        <v>136</v>
      </c>
      <c r="F218" s="69">
        <v>6</v>
      </c>
      <c r="G218" s="66"/>
      <c r="H218" s="70"/>
      <c r="I218" s="71"/>
      <c r="J218" s="71"/>
      <c r="K218" s="35" t="s">
        <v>65</v>
      </c>
      <c r="L218" s="72">
        <v>218</v>
      </c>
      <c r="M218" s="72"/>
      <c r="N218" s="73"/>
      <c r="O218" s="80" t="s">
        <v>197</v>
      </c>
      <c r="P218" s="82">
        <v>44215.4884375</v>
      </c>
      <c r="Q218" s="80" t="s">
        <v>420</v>
      </c>
      <c r="R218" s="84" t="str">
        <f>HYPERLINK("https://www.tiess.online/registration?utm_source=SM&amp;utm_medium=Almazbek&amp;utm_campaign=TIESS&amp;utm_term=004")</f>
        <v>https://www.tiess.online/registration?utm_source=SM&amp;utm_medium=Almazbek&amp;utm_campaign=TIESS&amp;utm_term=004</v>
      </c>
      <c r="S218" s="80" t="s">
        <v>444</v>
      </c>
      <c r="T218" s="80" t="s">
        <v>450</v>
      </c>
      <c r="U218" s="84" t="str">
        <f>HYPERLINK("https://pbs.twimg.com/media/EsF5W_1VEAQaMhX.jpg")</f>
        <v>https://pbs.twimg.com/media/EsF5W_1VEAQaMhX.jpg</v>
      </c>
      <c r="V218" s="84" t="str">
        <f>HYPERLINK("https://pbs.twimg.com/media/EsF5W_1VEAQaMhX.jpg")</f>
        <v>https://pbs.twimg.com/media/EsF5W_1VEAQaMhX.jpg</v>
      </c>
      <c r="W218" s="82">
        <v>44215.4884375</v>
      </c>
      <c r="X218" s="86">
        <v>44215</v>
      </c>
      <c r="Y218" s="88" t="s">
        <v>586</v>
      </c>
      <c r="Z218" s="84" t="str">
        <f>HYPERLINK("https://twitter.com/indiadidac/status/1351495458422591491")</f>
        <v>https://twitter.com/indiadidac/status/1351495458422591491</v>
      </c>
      <c r="AA218" s="80"/>
      <c r="AB218" s="80"/>
      <c r="AC218" s="88" t="s">
        <v>737</v>
      </c>
      <c r="AD218" s="80"/>
      <c r="AE218" s="80" t="b">
        <v>0</v>
      </c>
      <c r="AF218" s="80">
        <v>4</v>
      </c>
      <c r="AG218" s="88" t="s">
        <v>763</v>
      </c>
      <c r="AH218" s="80" t="b">
        <v>0</v>
      </c>
      <c r="AI218" s="80" t="s">
        <v>764</v>
      </c>
      <c r="AJ218" s="80"/>
      <c r="AK218" s="88" t="s">
        <v>763</v>
      </c>
      <c r="AL218" s="80" t="b">
        <v>0</v>
      </c>
      <c r="AM218" s="80">
        <v>0</v>
      </c>
      <c r="AN218" s="88" t="s">
        <v>763</v>
      </c>
      <c r="AO218" s="80" t="s">
        <v>765</v>
      </c>
      <c r="AP218" s="80" t="b">
        <v>0</v>
      </c>
      <c r="AQ218" s="88" t="s">
        <v>737</v>
      </c>
      <c r="AR218" s="80" t="s">
        <v>197</v>
      </c>
      <c r="AS218" s="80">
        <v>0</v>
      </c>
      <c r="AT218" s="80">
        <v>0</v>
      </c>
      <c r="AU218" s="80"/>
      <c r="AV218" s="80"/>
      <c r="AW218" s="80"/>
      <c r="AX218" s="80"/>
      <c r="AY218" s="80"/>
      <c r="AZ218" s="80"/>
      <c r="BA218" s="80"/>
      <c r="BB218" s="80"/>
      <c r="BC218">
        <v>20</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5" t="s">
        <v>271</v>
      </c>
      <c r="B219" s="65" t="s">
        <v>292</v>
      </c>
      <c r="C219" s="66" t="s">
        <v>2153</v>
      </c>
      <c r="D219" s="67">
        <v>3</v>
      </c>
      <c r="E219" s="66" t="s">
        <v>132</v>
      </c>
      <c r="F219" s="69">
        <v>32</v>
      </c>
      <c r="G219" s="66"/>
      <c r="H219" s="70"/>
      <c r="I219" s="71"/>
      <c r="J219" s="71"/>
      <c r="K219" s="35" t="s">
        <v>66</v>
      </c>
      <c r="L219" s="72">
        <v>219</v>
      </c>
      <c r="M219" s="72"/>
      <c r="N219" s="73"/>
      <c r="O219" s="80" t="s">
        <v>353</v>
      </c>
      <c r="P219" s="82">
        <v>44215.490324074075</v>
      </c>
      <c r="Q219" s="80" t="s">
        <v>399</v>
      </c>
      <c r="R219" s="84" t="str">
        <f>HYPERLINK("https://www.tiess.online/registration?utm_source=SM&amp;utm_medium=Rashef&amp;utm_campaign=TIESS&amp;utm_term=020")</f>
        <v>https://www.tiess.online/registration?utm_source=SM&amp;utm_medium=Rashef&amp;utm_campaign=TIESS&amp;utm_term=020</v>
      </c>
      <c r="S219" s="80" t="s">
        <v>444</v>
      </c>
      <c r="T219" s="80" t="s">
        <v>450</v>
      </c>
      <c r="U219" s="84" t="str">
        <f>HYPERLINK("https://pbs.twimg.com/media/EsF6A6rU0AAESdA.jpg")</f>
        <v>https://pbs.twimg.com/media/EsF6A6rU0AAESdA.jpg</v>
      </c>
      <c r="V219" s="84" t="str">
        <f>HYPERLINK("https://pbs.twimg.com/media/EsF6A6rU0AAESdA.jpg")</f>
        <v>https://pbs.twimg.com/media/EsF6A6rU0AAESdA.jpg</v>
      </c>
      <c r="W219" s="82">
        <v>44215.490324074075</v>
      </c>
      <c r="X219" s="86">
        <v>44215</v>
      </c>
      <c r="Y219" s="88" t="s">
        <v>577</v>
      </c>
      <c r="Z219" s="84" t="str">
        <f>HYPERLINK("https://twitter.com/indiadidac/status/1351496140764504065")</f>
        <v>https://twitter.com/indiadidac/status/1351496140764504065</v>
      </c>
      <c r="AA219" s="80"/>
      <c r="AB219" s="80"/>
      <c r="AC219" s="88" t="s">
        <v>728</v>
      </c>
      <c r="AD219" s="80"/>
      <c r="AE219" s="80" t="b">
        <v>0</v>
      </c>
      <c r="AF219" s="80">
        <v>7</v>
      </c>
      <c r="AG219" s="88" t="s">
        <v>763</v>
      </c>
      <c r="AH219" s="80" t="b">
        <v>0</v>
      </c>
      <c r="AI219" s="80" t="s">
        <v>764</v>
      </c>
      <c r="AJ219" s="80"/>
      <c r="AK219" s="88" t="s">
        <v>763</v>
      </c>
      <c r="AL219" s="80" t="b">
        <v>0</v>
      </c>
      <c r="AM219" s="80">
        <v>2</v>
      </c>
      <c r="AN219" s="88" t="s">
        <v>763</v>
      </c>
      <c r="AO219" s="80" t="s">
        <v>765</v>
      </c>
      <c r="AP219" s="80" t="b">
        <v>0</v>
      </c>
      <c r="AQ219" s="88" t="s">
        <v>728</v>
      </c>
      <c r="AR219" s="80" t="s">
        <v>197</v>
      </c>
      <c r="AS219" s="80">
        <v>0</v>
      </c>
      <c r="AT219" s="80">
        <v>0</v>
      </c>
      <c r="AU219" s="80"/>
      <c r="AV219" s="80"/>
      <c r="AW219" s="80"/>
      <c r="AX219" s="80"/>
      <c r="AY219" s="80"/>
      <c r="AZ219" s="80"/>
      <c r="BA219" s="80"/>
      <c r="BB219" s="80"/>
      <c r="BC219">
        <v>1</v>
      </c>
      <c r="BD219" s="79" t="str">
        <f>REPLACE(INDEX(GroupVertices[Group],MATCH(Edges[[#This Row],[Vertex 1]],GroupVertices[Vertex],0)),1,1,"")</f>
        <v>1</v>
      </c>
      <c r="BE219" s="79" t="str">
        <f>REPLACE(INDEX(GroupVertices[Group],MATCH(Edges[[#This Row],[Vertex 2]],GroupVertices[Vertex],0)),1,1,"")</f>
        <v>2</v>
      </c>
      <c r="BF219" s="49">
        <v>2</v>
      </c>
      <c r="BG219" s="50">
        <v>6.896551724137931</v>
      </c>
      <c r="BH219" s="49">
        <v>0</v>
      </c>
      <c r="BI219" s="50">
        <v>0</v>
      </c>
      <c r="BJ219" s="49">
        <v>0</v>
      </c>
      <c r="BK219" s="50">
        <v>0</v>
      </c>
      <c r="BL219" s="49">
        <v>27</v>
      </c>
      <c r="BM219" s="50">
        <v>93.10344827586206</v>
      </c>
      <c r="BN219" s="49">
        <v>29</v>
      </c>
    </row>
    <row r="220" spans="1:66" ht="15">
      <c r="A220" s="65" t="s">
        <v>271</v>
      </c>
      <c r="B220" s="65" t="s">
        <v>271</v>
      </c>
      <c r="C220" s="66" t="s">
        <v>2157</v>
      </c>
      <c r="D220" s="67">
        <v>10</v>
      </c>
      <c r="E220" s="66" t="s">
        <v>136</v>
      </c>
      <c r="F220" s="69">
        <v>6</v>
      </c>
      <c r="G220" s="66"/>
      <c r="H220" s="70"/>
      <c r="I220" s="71"/>
      <c r="J220" s="71"/>
      <c r="K220" s="35" t="s">
        <v>65</v>
      </c>
      <c r="L220" s="72">
        <v>220</v>
      </c>
      <c r="M220" s="72"/>
      <c r="N220" s="73"/>
      <c r="O220" s="80" t="s">
        <v>197</v>
      </c>
      <c r="P220" s="82">
        <v>44218.24462962963</v>
      </c>
      <c r="Q220" s="80" t="s">
        <v>421</v>
      </c>
      <c r="R220" s="84" t="str">
        <f>HYPERLINK("https://www.tiess.online/registration?utm_source=Makau&amp;utm_medium=Email&amp;utm_campaign=TIESS&amp;utm_term=011")</f>
        <v>https://www.tiess.online/registration?utm_source=Makau&amp;utm_medium=Email&amp;utm_campaign=TIESS&amp;utm_term=011</v>
      </c>
      <c r="S220" s="80" t="s">
        <v>444</v>
      </c>
      <c r="T220" s="80" t="s">
        <v>450</v>
      </c>
      <c r="U220" s="84" t="str">
        <f>HYPERLINK("https://pbs.twimg.com/media/EsUGTaDUUAE-Kmu.jpg")</f>
        <v>https://pbs.twimg.com/media/EsUGTaDUUAE-Kmu.jpg</v>
      </c>
      <c r="V220" s="84" t="str">
        <f>HYPERLINK("https://pbs.twimg.com/media/EsUGTaDUUAE-Kmu.jpg")</f>
        <v>https://pbs.twimg.com/media/EsUGTaDUUAE-Kmu.jpg</v>
      </c>
      <c r="W220" s="82">
        <v>44218.24462962963</v>
      </c>
      <c r="X220" s="86">
        <v>44218</v>
      </c>
      <c r="Y220" s="88" t="s">
        <v>587</v>
      </c>
      <c r="Z220" s="84" t="str">
        <f>HYPERLINK("https://twitter.com/indiadidac/status/1352494269450207234")</f>
        <v>https://twitter.com/indiadidac/status/1352494269450207234</v>
      </c>
      <c r="AA220" s="80"/>
      <c r="AB220" s="80"/>
      <c r="AC220" s="88" t="s">
        <v>738</v>
      </c>
      <c r="AD220" s="80"/>
      <c r="AE220" s="80" t="b">
        <v>0</v>
      </c>
      <c r="AF220" s="80">
        <v>1</v>
      </c>
      <c r="AG220" s="88" t="s">
        <v>763</v>
      </c>
      <c r="AH220" s="80" t="b">
        <v>0</v>
      </c>
      <c r="AI220" s="80" t="s">
        <v>764</v>
      </c>
      <c r="AJ220" s="80"/>
      <c r="AK220" s="88" t="s">
        <v>763</v>
      </c>
      <c r="AL220" s="80" t="b">
        <v>0</v>
      </c>
      <c r="AM220" s="80">
        <v>0</v>
      </c>
      <c r="AN220" s="88" t="s">
        <v>763</v>
      </c>
      <c r="AO220" s="80" t="s">
        <v>765</v>
      </c>
      <c r="AP220" s="80" t="b">
        <v>0</v>
      </c>
      <c r="AQ220" s="88" t="s">
        <v>738</v>
      </c>
      <c r="AR220" s="80" t="s">
        <v>197</v>
      </c>
      <c r="AS220" s="80">
        <v>0</v>
      </c>
      <c r="AT220" s="80">
        <v>0</v>
      </c>
      <c r="AU220" s="80"/>
      <c r="AV220" s="80"/>
      <c r="AW220" s="80"/>
      <c r="AX220" s="80"/>
      <c r="AY220" s="80"/>
      <c r="AZ220" s="80"/>
      <c r="BA220" s="80"/>
      <c r="BB220" s="80"/>
      <c r="BC220">
        <v>20</v>
      </c>
      <c r="BD220" s="79" t="str">
        <f>REPLACE(INDEX(GroupVertices[Group],MATCH(Edges[[#This Row],[Vertex 1]],GroupVertices[Vertex],0)),1,1,"")</f>
        <v>1</v>
      </c>
      <c r="BE220" s="79" t="str">
        <f>REPLACE(INDEX(GroupVertices[Group],MATCH(Edges[[#This Row],[Vertex 2]],GroupVertices[Vertex],0)),1,1,"")</f>
        <v>1</v>
      </c>
      <c r="BF220" s="49">
        <v>1</v>
      </c>
      <c r="BG220" s="50">
        <v>3.4482758620689653</v>
      </c>
      <c r="BH220" s="49">
        <v>0</v>
      </c>
      <c r="BI220" s="50">
        <v>0</v>
      </c>
      <c r="BJ220" s="49">
        <v>0</v>
      </c>
      <c r="BK220" s="50">
        <v>0</v>
      </c>
      <c r="BL220" s="49">
        <v>28</v>
      </c>
      <c r="BM220" s="50">
        <v>96.55172413793103</v>
      </c>
      <c r="BN220" s="49">
        <v>29</v>
      </c>
    </row>
    <row r="221" spans="1:66" ht="15">
      <c r="A221" s="65" t="s">
        <v>271</v>
      </c>
      <c r="B221" s="65" t="s">
        <v>271</v>
      </c>
      <c r="C221" s="66" t="s">
        <v>2157</v>
      </c>
      <c r="D221" s="67">
        <v>10</v>
      </c>
      <c r="E221" s="66" t="s">
        <v>136</v>
      </c>
      <c r="F221" s="69">
        <v>6</v>
      </c>
      <c r="G221" s="66"/>
      <c r="H221" s="70"/>
      <c r="I221" s="71"/>
      <c r="J221" s="71"/>
      <c r="K221" s="35" t="s">
        <v>65</v>
      </c>
      <c r="L221" s="72">
        <v>221</v>
      </c>
      <c r="M221" s="72"/>
      <c r="N221" s="73"/>
      <c r="O221" s="80" t="s">
        <v>197</v>
      </c>
      <c r="P221" s="82">
        <v>44218.33950231481</v>
      </c>
      <c r="Q221" s="80" t="s">
        <v>359</v>
      </c>
      <c r="R221" s="84" t="str">
        <f>HYPERLINK("https://www.tiess.online/registration?utm_source=Mart&amp;utm_medium=Email&amp;utm_campaign=TIESS&amp;utm_term=018")</f>
        <v>https://www.tiess.online/registration?utm_source=Mart&amp;utm_medium=Email&amp;utm_campaign=TIESS&amp;utm_term=018</v>
      </c>
      <c r="S221" s="80" t="s">
        <v>444</v>
      </c>
      <c r="T221" s="80" t="s">
        <v>449</v>
      </c>
      <c r="U221" s="84" t="str">
        <f>HYPERLINK("https://pbs.twimg.com/media/EsUlmPyVkAAkQct.jpg")</f>
        <v>https://pbs.twimg.com/media/EsUlmPyVkAAkQct.jpg</v>
      </c>
      <c r="V221" s="84" t="str">
        <f>HYPERLINK("https://pbs.twimg.com/media/EsUlmPyVkAAkQct.jpg")</f>
        <v>https://pbs.twimg.com/media/EsUlmPyVkAAkQct.jpg</v>
      </c>
      <c r="W221" s="82">
        <v>44218.33950231481</v>
      </c>
      <c r="X221" s="86">
        <v>44218</v>
      </c>
      <c r="Y221" s="88" t="s">
        <v>588</v>
      </c>
      <c r="Z221" s="84" t="str">
        <f>HYPERLINK("https://twitter.com/indiadidac/status/1352528648272629761")</f>
        <v>https://twitter.com/indiadidac/status/1352528648272629761</v>
      </c>
      <c r="AA221" s="80"/>
      <c r="AB221" s="80"/>
      <c r="AC221" s="88" t="s">
        <v>739</v>
      </c>
      <c r="AD221" s="80"/>
      <c r="AE221" s="80" t="b">
        <v>0</v>
      </c>
      <c r="AF221" s="80">
        <v>2</v>
      </c>
      <c r="AG221" s="88" t="s">
        <v>763</v>
      </c>
      <c r="AH221" s="80" t="b">
        <v>0</v>
      </c>
      <c r="AI221" s="80" t="s">
        <v>764</v>
      </c>
      <c r="AJ221" s="80"/>
      <c r="AK221" s="88" t="s">
        <v>763</v>
      </c>
      <c r="AL221" s="80" t="b">
        <v>0</v>
      </c>
      <c r="AM221" s="80">
        <v>1</v>
      </c>
      <c r="AN221" s="88" t="s">
        <v>763</v>
      </c>
      <c r="AO221" s="80" t="s">
        <v>765</v>
      </c>
      <c r="AP221" s="80" t="b">
        <v>0</v>
      </c>
      <c r="AQ221" s="88" t="s">
        <v>739</v>
      </c>
      <c r="AR221" s="80" t="s">
        <v>197</v>
      </c>
      <c r="AS221" s="80">
        <v>0</v>
      </c>
      <c r="AT221" s="80">
        <v>0</v>
      </c>
      <c r="AU221" s="80"/>
      <c r="AV221" s="80"/>
      <c r="AW221" s="80"/>
      <c r="AX221" s="80"/>
      <c r="AY221" s="80"/>
      <c r="AZ221" s="80"/>
      <c r="BA221" s="80"/>
      <c r="BB221" s="80"/>
      <c r="BC221">
        <v>20</v>
      </c>
      <c r="BD221" s="79" t="str">
        <f>REPLACE(INDEX(GroupVertices[Group],MATCH(Edges[[#This Row],[Vertex 1]],GroupVertices[Vertex],0)),1,1,"")</f>
        <v>1</v>
      </c>
      <c r="BE221" s="79" t="str">
        <f>REPLACE(INDEX(GroupVertices[Group],MATCH(Edges[[#This Row],[Vertex 2]],GroupVertices[Vertex],0)),1,1,"")</f>
        <v>1</v>
      </c>
      <c r="BF221" s="49">
        <v>2</v>
      </c>
      <c r="BG221" s="50">
        <v>6.451612903225806</v>
      </c>
      <c r="BH221" s="49">
        <v>0</v>
      </c>
      <c r="BI221" s="50">
        <v>0</v>
      </c>
      <c r="BJ221" s="49">
        <v>0</v>
      </c>
      <c r="BK221" s="50">
        <v>0</v>
      </c>
      <c r="BL221" s="49">
        <v>29</v>
      </c>
      <c r="BM221" s="50">
        <v>93.54838709677419</v>
      </c>
      <c r="BN221" s="49">
        <v>31</v>
      </c>
    </row>
    <row r="222" spans="1:66" ht="15">
      <c r="A222" s="65" t="s">
        <v>271</v>
      </c>
      <c r="B222" s="65" t="s">
        <v>271</v>
      </c>
      <c r="C222" s="66" t="s">
        <v>2157</v>
      </c>
      <c r="D222" s="67">
        <v>10</v>
      </c>
      <c r="E222" s="66" t="s">
        <v>136</v>
      </c>
      <c r="F222" s="69">
        <v>6</v>
      </c>
      <c r="G222" s="66"/>
      <c r="H222" s="70"/>
      <c r="I222" s="71"/>
      <c r="J222" s="71"/>
      <c r="K222" s="35" t="s">
        <v>65</v>
      </c>
      <c r="L222" s="72">
        <v>222</v>
      </c>
      <c r="M222" s="72"/>
      <c r="N222" s="73"/>
      <c r="O222" s="80" t="s">
        <v>197</v>
      </c>
      <c r="P222" s="82">
        <v>44218.39707175926</v>
      </c>
      <c r="Q222" s="80" t="s">
        <v>422</v>
      </c>
      <c r="R222" s="84" t="str">
        <f>HYPERLINK("https://www.tiess.online/registration?utm_source=Lachanthaboun&amp;utm_medium=Email&amp;utm_campaign=TIESS&amp;utm_term=020")</f>
        <v>https://www.tiess.online/registration?utm_source=Lachanthaboun&amp;utm_medium=Email&amp;utm_campaign=TIESS&amp;utm_term=020</v>
      </c>
      <c r="S222" s="80" t="s">
        <v>444</v>
      </c>
      <c r="T222" s="80" t="s">
        <v>449</v>
      </c>
      <c r="U222" s="84" t="str">
        <f>HYPERLINK("https://pbs.twimg.com/media/EsU4ma5UUAEoZPL.jpg")</f>
        <v>https://pbs.twimg.com/media/EsU4ma5UUAEoZPL.jpg</v>
      </c>
      <c r="V222" s="84" t="str">
        <f>HYPERLINK("https://pbs.twimg.com/media/EsU4ma5UUAEoZPL.jpg")</f>
        <v>https://pbs.twimg.com/media/EsU4ma5UUAEoZPL.jpg</v>
      </c>
      <c r="W222" s="82">
        <v>44218.39707175926</v>
      </c>
      <c r="X222" s="86">
        <v>44218</v>
      </c>
      <c r="Y222" s="88" t="s">
        <v>589</v>
      </c>
      <c r="Z222" s="84" t="str">
        <f>HYPERLINK("https://twitter.com/indiadidac/status/1352549511986434050")</f>
        <v>https://twitter.com/indiadidac/status/1352549511986434050</v>
      </c>
      <c r="AA222" s="80"/>
      <c r="AB222" s="80"/>
      <c r="AC222" s="88" t="s">
        <v>740</v>
      </c>
      <c r="AD222" s="80"/>
      <c r="AE222" s="80" t="b">
        <v>0</v>
      </c>
      <c r="AF222" s="80">
        <v>1</v>
      </c>
      <c r="AG222" s="88" t="s">
        <v>763</v>
      </c>
      <c r="AH222" s="80" t="b">
        <v>0</v>
      </c>
      <c r="AI222" s="80" t="s">
        <v>764</v>
      </c>
      <c r="AJ222" s="80"/>
      <c r="AK222" s="88" t="s">
        <v>763</v>
      </c>
      <c r="AL222" s="80" t="b">
        <v>0</v>
      </c>
      <c r="AM222" s="80">
        <v>0</v>
      </c>
      <c r="AN222" s="88" t="s">
        <v>763</v>
      </c>
      <c r="AO222" s="80" t="s">
        <v>765</v>
      </c>
      <c r="AP222" s="80" t="b">
        <v>0</v>
      </c>
      <c r="AQ222" s="88" t="s">
        <v>740</v>
      </c>
      <c r="AR222" s="80" t="s">
        <v>197</v>
      </c>
      <c r="AS222" s="80">
        <v>0</v>
      </c>
      <c r="AT222" s="80">
        <v>0</v>
      </c>
      <c r="AU222" s="80"/>
      <c r="AV222" s="80"/>
      <c r="AW222" s="80"/>
      <c r="AX222" s="80"/>
      <c r="AY222" s="80"/>
      <c r="AZ222" s="80"/>
      <c r="BA222" s="80"/>
      <c r="BB222" s="80"/>
      <c r="BC222">
        <v>20</v>
      </c>
      <c r="BD222" s="79" t="str">
        <f>REPLACE(INDEX(GroupVertices[Group],MATCH(Edges[[#This Row],[Vertex 1]],GroupVertices[Vertex],0)),1,1,"")</f>
        <v>1</v>
      </c>
      <c r="BE222" s="79" t="str">
        <f>REPLACE(INDEX(GroupVertices[Group],MATCH(Edges[[#This Row],[Vertex 2]],GroupVertices[Vertex],0)),1,1,"")</f>
        <v>1</v>
      </c>
      <c r="BF222" s="49">
        <v>1</v>
      </c>
      <c r="BG222" s="50">
        <v>2.857142857142857</v>
      </c>
      <c r="BH222" s="49">
        <v>0</v>
      </c>
      <c r="BI222" s="50">
        <v>0</v>
      </c>
      <c r="BJ222" s="49">
        <v>0</v>
      </c>
      <c r="BK222" s="50">
        <v>0</v>
      </c>
      <c r="BL222" s="49">
        <v>34</v>
      </c>
      <c r="BM222" s="50">
        <v>97.14285714285714</v>
      </c>
      <c r="BN222" s="49">
        <v>35</v>
      </c>
    </row>
    <row r="223" spans="1:66" ht="15">
      <c r="A223" s="65" t="s">
        <v>271</v>
      </c>
      <c r="B223" s="65" t="s">
        <v>271</v>
      </c>
      <c r="C223" s="66" t="s">
        <v>2157</v>
      </c>
      <c r="D223" s="67">
        <v>10</v>
      </c>
      <c r="E223" s="66" t="s">
        <v>136</v>
      </c>
      <c r="F223" s="69">
        <v>6</v>
      </c>
      <c r="G223" s="66"/>
      <c r="H223" s="70"/>
      <c r="I223" s="71"/>
      <c r="J223" s="71"/>
      <c r="K223" s="35" t="s">
        <v>65</v>
      </c>
      <c r="L223" s="72">
        <v>223</v>
      </c>
      <c r="M223" s="72"/>
      <c r="N223" s="73"/>
      <c r="O223" s="80" t="s">
        <v>197</v>
      </c>
      <c r="P223" s="82">
        <v>44218.45945601852</v>
      </c>
      <c r="Q223" s="80" t="s">
        <v>423</v>
      </c>
      <c r="R223" s="84" t="str">
        <f>HYPERLINK("https://www.tiess.online/registration?utm_source=Teerakiat&amp;utm_medium=Email&amp;utm_campaign=TIESS&amp;utm_term=013")</f>
        <v>https://www.tiess.online/registration?utm_source=Teerakiat&amp;utm_medium=Email&amp;utm_campaign=TIESS&amp;utm_term=013</v>
      </c>
      <c r="S223" s="80" t="s">
        <v>444</v>
      </c>
      <c r="T223" s="80" t="s">
        <v>450</v>
      </c>
      <c r="U223" s="84" t="str">
        <f>HYPERLINK("https://pbs.twimg.com/media/EsVNJAiVkAArcVt.jpg")</f>
        <v>https://pbs.twimg.com/media/EsVNJAiVkAArcVt.jpg</v>
      </c>
      <c r="V223" s="84" t="str">
        <f>HYPERLINK("https://pbs.twimg.com/media/EsVNJAiVkAArcVt.jpg")</f>
        <v>https://pbs.twimg.com/media/EsVNJAiVkAArcVt.jpg</v>
      </c>
      <c r="W223" s="82">
        <v>44218.45945601852</v>
      </c>
      <c r="X223" s="86">
        <v>44218</v>
      </c>
      <c r="Y223" s="88" t="s">
        <v>590</v>
      </c>
      <c r="Z223" s="84" t="str">
        <f>HYPERLINK("https://twitter.com/indiadidac/status/1352572120753033218")</f>
        <v>https://twitter.com/indiadidac/status/1352572120753033218</v>
      </c>
      <c r="AA223" s="80"/>
      <c r="AB223" s="80"/>
      <c r="AC223" s="88" t="s">
        <v>741</v>
      </c>
      <c r="AD223" s="80"/>
      <c r="AE223" s="80" t="b">
        <v>0</v>
      </c>
      <c r="AF223" s="80">
        <v>3</v>
      </c>
      <c r="AG223" s="88" t="s">
        <v>763</v>
      </c>
      <c r="AH223" s="80" t="b">
        <v>0</v>
      </c>
      <c r="AI223" s="80" t="s">
        <v>764</v>
      </c>
      <c r="AJ223" s="80"/>
      <c r="AK223" s="88" t="s">
        <v>763</v>
      </c>
      <c r="AL223" s="80" t="b">
        <v>0</v>
      </c>
      <c r="AM223" s="80">
        <v>0</v>
      </c>
      <c r="AN223" s="88" t="s">
        <v>763</v>
      </c>
      <c r="AO223" s="80" t="s">
        <v>765</v>
      </c>
      <c r="AP223" s="80" t="b">
        <v>0</v>
      </c>
      <c r="AQ223" s="88" t="s">
        <v>741</v>
      </c>
      <c r="AR223" s="80" t="s">
        <v>197</v>
      </c>
      <c r="AS223" s="80">
        <v>0</v>
      </c>
      <c r="AT223" s="80">
        <v>0</v>
      </c>
      <c r="AU223" s="80"/>
      <c r="AV223" s="80"/>
      <c r="AW223" s="80"/>
      <c r="AX223" s="80"/>
      <c r="AY223" s="80"/>
      <c r="AZ223" s="80"/>
      <c r="BA223" s="80"/>
      <c r="BB223" s="80"/>
      <c r="BC223">
        <v>20</v>
      </c>
      <c r="BD223" s="79" t="str">
        <f>REPLACE(INDEX(GroupVertices[Group],MATCH(Edges[[#This Row],[Vertex 1]],GroupVertices[Vertex],0)),1,1,"")</f>
        <v>1</v>
      </c>
      <c r="BE223" s="79" t="str">
        <f>REPLACE(INDEX(GroupVertices[Group],MATCH(Edges[[#This Row],[Vertex 2]],GroupVertices[Vertex],0)),1,1,"")</f>
        <v>1</v>
      </c>
      <c r="BF223" s="49">
        <v>1</v>
      </c>
      <c r="BG223" s="50">
        <v>3.4482758620689653</v>
      </c>
      <c r="BH223" s="49">
        <v>0</v>
      </c>
      <c r="BI223" s="50">
        <v>0</v>
      </c>
      <c r="BJ223" s="49">
        <v>0</v>
      </c>
      <c r="BK223" s="50">
        <v>0</v>
      </c>
      <c r="BL223" s="49">
        <v>28</v>
      </c>
      <c r="BM223" s="50">
        <v>96.55172413793103</v>
      </c>
      <c r="BN223" s="49">
        <v>29</v>
      </c>
    </row>
    <row r="224" spans="1:66" ht="15">
      <c r="A224" s="65" t="s">
        <v>271</v>
      </c>
      <c r="B224" s="65" t="s">
        <v>302</v>
      </c>
      <c r="C224" s="66" t="s">
        <v>2153</v>
      </c>
      <c r="D224" s="67">
        <v>3</v>
      </c>
      <c r="E224" s="66" t="s">
        <v>132</v>
      </c>
      <c r="F224" s="69">
        <v>32</v>
      </c>
      <c r="G224" s="66"/>
      <c r="H224" s="70"/>
      <c r="I224" s="71"/>
      <c r="J224" s="71"/>
      <c r="K224" s="35" t="s">
        <v>65</v>
      </c>
      <c r="L224" s="72">
        <v>224</v>
      </c>
      <c r="M224" s="72"/>
      <c r="N224" s="73"/>
      <c r="O224" s="80" t="s">
        <v>353</v>
      </c>
      <c r="P224" s="82">
        <v>44218.479780092595</v>
      </c>
      <c r="Q224" s="80" t="s">
        <v>424</v>
      </c>
      <c r="R224" s="84" t="str">
        <f>HYPERLINK("https://www.tiess.online/registration?utm_source=SM&amp;utm_medium=Becker&amp;utm_campaign=TIESS&amp;utm_term=026")</f>
        <v>https://www.tiess.online/registration?utm_source=SM&amp;utm_medium=Becker&amp;utm_campaign=TIESS&amp;utm_term=026</v>
      </c>
      <c r="S224" s="80" t="s">
        <v>444</v>
      </c>
      <c r="T224" s="80" t="s">
        <v>450</v>
      </c>
      <c r="U224" s="84" t="str">
        <f>HYPERLINK("https://pbs.twimg.com/media/EsVT05tVoAA5wEz.jpg")</f>
        <v>https://pbs.twimg.com/media/EsVT05tVoAA5wEz.jpg</v>
      </c>
      <c r="V224" s="84" t="str">
        <f>HYPERLINK("https://pbs.twimg.com/media/EsVT05tVoAA5wEz.jpg")</f>
        <v>https://pbs.twimg.com/media/EsVT05tVoAA5wEz.jpg</v>
      </c>
      <c r="W224" s="82">
        <v>44218.479780092595</v>
      </c>
      <c r="X224" s="86">
        <v>44218</v>
      </c>
      <c r="Y224" s="88" t="s">
        <v>591</v>
      </c>
      <c r="Z224" s="84" t="str">
        <f>HYPERLINK("https://twitter.com/indiadidac/status/1352579484180860929")</f>
        <v>https://twitter.com/indiadidac/status/1352579484180860929</v>
      </c>
      <c r="AA224" s="80"/>
      <c r="AB224" s="80"/>
      <c r="AC224" s="88" t="s">
        <v>742</v>
      </c>
      <c r="AD224" s="80"/>
      <c r="AE224" s="80" t="b">
        <v>0</v>
      </c>
      <c r="AF224" s="80">
        <v>2</v>
      </c>
      <c r="AG224" s="88" t="s">
        <v>763</v>
      </c>
      <c r="AH224" s="80" t="b">
        <v>0</v>
      </c>
      <c r="AI224" s="80" t="s">
        <v>764</v>
      </c>
      <c r="AJ224" s="80"/>
      <c r="AK224" s="88" t="s">
        <v>763</v>
      </c>
      <c r="AL224" s="80" t="b">
        <v>0</v>
      </c>
      <c r="AM224" s="80">
        <v>0</v>
      </c>
      <c r="AN224" s="88" t="s">
        <v>763</v>
      </c>
      <c r="AO224" s="80" t="s">
        <v>765</v>
      </c>
      <c r="AP224" s="80" t="b">
        <v>0</v>
      </c>
      <c r="AQ224" s="88" t="s">
        <v>742</v>
      </c>
      <c r="AR224" s="80" t="s">
        <v>197</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9">
        <v>1</v>
      </c>
      <c r="BG224" s="50">
        <v>4.166666666666667</v>
      </c>
      <c r="BH224" s="49">
        <v>0</v>
      </c>
      <c r="BI224" s="50">
        <v>0</v>
      </c>
      <c r="BJ224" s="49">
        <v>0</v>
      </c>
      <c r="BK224" s="50">
        <v>0</v>
      </c>
      <c r="BL224" s="49">
        <v>23</v>
      </c>
      <c r="BM224" s="50">
        <v>95.83333333333333</v>
      </c>
      <c r="BN224" s="49">
        <v>24</v>
      </c>
    </row>
    <row r="225" spans="1:66" ht="15">
      <c r="A225" s="65" t="s">
        <v>271</v>
      </c>
      <c r="B225" s="65" t="s">
        <v>271</v>
      </c>
      <c r="C225" s="66" t="s">
        <v>2157</v>
      </c>
      <c r="D225" s="67">
        <v>10</v>
      </c>
      <c r="E225" s="66" t="s">
        <v>136</v>
      </c>
      <c r="F225" s="69">
        <v>6</v>
      </c>
      <c r="G225" s="66"/>
      <c r="H225" s="70"/>
      <c r="I225" s="71"/>
      <c r="J225" s="71"/>
      <c r="K225" s="35" t="s">
        <v>65</v>
      </c>
      <c r="L225" s="72">
        <v>225</v>
      </c>
      <c r="M225" s="72"/>
      <c r="N225" s="73"/>
      <c r="O225" s="80" t="s">
        <v>197</v>
      </c>
      <c r="P225" s="82">
        <v>44218.50549768518</v>
      </c>
      <c r="Q225" s="80" t="s">
        <v>425</v>
      </c>
      <c r="R225" s="84" t="str">
        <f>HYPERLINK("https://www.tiess.online/registration?utm_source=LuisPinto&amp;utm_medium=Email&amp;utm_campaign=TIESS&amp;utm_term=023")</f>
        <v>https://www.tiess.online/registration?utm_source=LuisPinto&amp;utm_medium=Email&amp;utm_campaign=TIESS&amp;utm_term=023</v>
      </c>
      <c r="S225" s="80" t="s">
        <v>444</v>
      </c>
      <c r="T225" s="80" t="s">
        <v>450</v>
      </c>
      <c r="U225" s="84" t="str">
        <f>HYPERLINK("https://pbs.twimg.com/media/EsVcTm-UYAIsNLI.jpg")</f>
        <v>https://pbs.twimg.com/media/EsVcTm-UYAIsNLI.jpg</v>
      </c>
      <c r="V225" s="84" t="str">
        <f>HYPERLINK("https://pbs.twimg.com/media/EsVcTm-UYAIsNLI.jpg")</f>
        <v>https://pbs.twimg.com/media/EsVcTm-UYAIsNLI.jpg</v>
      </c>
      <c r="W225" s="82">
        <v>44218.50549768518</v>
      </c>
      <c r="X225" s="86">
        <v>44218</v>
      </c>
      <c r="Y225" s="88" t="s">
        <v>592</v>
      </c>
      <c r="Z225" s="84" t="str">
        <f>HYPERLINK("https://twitter.com/indiadidac/status/1352588803874070534")</f>
        <v>https://twitter.com/indiadidac/status/1352588803874070534</v>
      </c>
      <c r="AA225" s="80"/>
      <c r="AB225" s="80"/>
      <c r="AC225" s="88" t="s">
        <v>743</v>
      </c>
      <c r="AD225" s="80"/>
      <c r="AE225" s="80" t="b">
        <v>0</v>
      </c>
      <c r="AF225" s="80">
        <v>2</v>
      </c>
      <c r="AG225" s="88" t="s">
        <v>763</v>
      </c>
      <c r="AH225" s="80" t="b">
        <v>0</v>
      </c>
      <c r="AI225" s="80" t="s">
        <v>764</v>
      </c>
      <c r="AJ225" s="80"/>
      <c r="AK225" s="88" t="s">
        <v>763</v>
      </c>
      <c r="AL225" s="80" t="b">
        <v>0</v>
      </c>
      <c r="AM225" s="80">
        <v>0</v>
      </c>
      <c r="AN225" s="88" t="s">
        <v>763</v>
      </c>
      <c r="AO225" s="80" t="s">
        <v>765</v>
      </c>
      <c r="AP225" s="80" t="b">
        <v>0</v>
      </c>
      <c r="AQ225" s="88" t="s">
        <v>743</v>
      </c>
      <c r="AR225" s="80" t="s">
        <v>197</v>
      </c>
      <c r="AS225" s="80">
        <v>0</v>
      </c>
      <c r="AT225" s="80">
        <v>0</v>
      </c>
      <c r="AU225" s="80"/>
      <c r="AV225" s="80"/>
      <c r="AW225" s="80"/>
      <c r="AX225" s="80"/>
      <c r="AY225" s="80"/>
      <c r="AZ225" s="80"/>
      <c r="BA225" s="80"/>
      <c r="BB225" s="80"/>
      <c r="BC225">
        <v>20</v>
      </c>
      <c r="BD225" s="79" t="str">
        <f>REPLACE(INDEX(GroupVertices[Group],MATCH(Edges[[#This Row],[Vertex 1]],GroupVertices[Vertex],0)),1,1,"")</f>
        <v>1</v>
      </c>
      <c r="BE225" s="79" t="str">
        <f>REPLACE(INDEX(GroupVertices[Group],MATCH(Edges[[#This Row],[Vertex 2]],GroupVertices[Vertex],0)),1,1,"")</f>
        <v>1</v>
      </c>
      <c r="BF225" s="49">
        <v>1</v>
      </c>
      <c r="BG225" s="50">
        <v>3.3333333333333335</v>
      </c>
      <c r="BH225" s="49">
        <v>0</v>
      </c>
      <c r="BI225" s="50">
        <v>0</v>
      </c>
      <c r="BJ225" s="49">
        <v>0</v>
      </c>
      <c r="BK225" s="50">
        <v>0</v>
      </c>
      <c r="BL225" s="49">
        <v>29</v>
      </c>
      <c r="BM225" s="50">
        <v>96.66666666666667</v>
      </c>
      <c r="BN225" s="49">
        <v>30</v>
      </c>
    </row>
    <row r="226" spans="1:66" ht="15">
      <c r="A226" s="65" t="s">
        <v>271</v>
      </c>
      <c r="B226" s="65" t="s">
        <v>271</v>
      </c>
      <c r="C226" s="66" t="s">
        <v>2157</v>
      </c>
      <c r="D226" s="67">
        <v>10</v>
      </c>
      <c r="E226" s="66" t="s">
        <v>136</v>
      </c>
      <c r="F226" s="69">
        <v>6</v>
      </c>
      <c r="G226" s="66"/>
      <c r="H226" s="70"/>
      <c r="I226" s="71"/>
      <c r="J226" s="71"/>
      <c r="K226" s="35" t="s">
        <v>65</v>
      </c>
      <c r="L226" s="72">
        <v>226</v>
      </c>
      <c r="M226" s="72"/>
      <c r="N226" s="73"/>
      <c r="O226" s="80" t="s">
        <v>197</v>
      </c>
      <c r="P226" s="82">
        <v>44218.558483796296</v>
      </c>
      <c r="Q226" s="80" t="s">
        <v>426</v>
      </c>
      <c r="R226" s="84" t="str">
        <f>HYPERLINK("https://www.tiess.online/registration?utm_source=AbasBasir&amp;utm_medium=Email&amp;utm_campaign=TIESS&amp;utm_term=016")</f>
        <v>https://www.tiess.online/registration?utm_source=AbasBasir&amp;utm_medium=Email&amp;utm_campaign=TIESS&amp;utm_term=016</v>
      </c>
      <c r="S226" s="80" t="s">
        <v>444</v>
      </c>
      <c r="T226" s="80" t="s">
        <v>451</v>
      </c>
      <c r="U226" s="84" t="str">
        <f>HYPERLINK("https://pbs.twimg.com/media/EsVtvmSVEAAtg9h.jpg")</f>
        <v>https://pbs.twimg.com/media/EsVtvmSVEAAtg9h.jpg</v>
      </c>
      <c r="V226" s="84" t="str">
        <f>HYPERLINK("https://pbs.twimg.com/media/EsVtvmSVEAAtg9h.jpg")</f>
        <v>https://pbs.twimg.com/media/EsVtvmSVEAAtg9h.jpg</v>
      </c>
      <c r="W226" s="82">
        <v>44218.558483796296</v>
      </c>
      <c r="X226" s="86">
        <v>44218</v>
      </c>
      <c r="Y226" s="88" t="s">
        <v>593</v>
      </c>
      <c r="Z226" s="84" t="str">
        <f>HYPERLINK("https://twitter.com/indiadidac/status/1352608007167741953")</f>
        <v>https://twitter.com/indiadidac/status/1352608007167741953</v>
      </c>
      <c r="AA226" s="80"/>
      <c r="AB226" s="80"/>
      <c r="AC226" s="88" t="s">
        <v>744</v>
      </c>
      <c r="AD226" s="80"/>
      <c r="AE226" s="80" t="b">
        <v>0</v>
      </c>
      <c r="AF226" s="80">
        <v>0</v>
      </c>
      <c r="AG226" s="88" t="s">
        <v>763</v>
      </c>
      <c r="AH226" s="80" t="b">
        <v>0</v>
      </c>
      <c r="AI226" s="80" t="s">
        <v>764</v>
      </c>
      <c r="AJ226" s="80"/>
      <c r="AK226" s="88" t="s">
        <v>763</v>
      </c>
      <c r="AL226" s="80" t="b">
        <v>0</v>
      </c>
      <c r="AM226" s="80">
        <v>0</v>
      </c>
      <c r="AN226" s="88" t="s">
        <v>763</v>
      </c>
      <c r="AO226" s="80" t="s">
        <v>765</v>
      </c>
      <c r="AP226" s="80" t="b">
        <v>0</v>
      </c>
      <c r="AQ226" s="88" t="s">
        <v>744</v>
      </c>
      <c r="AR226" s="80" t="s">
        <v>197</v>
      </c>
      <c r="AS226" s="80">
        <v>0</v>
      </c>
      <c r="AT226" s="80">
        <v>0</v>
      </c>
      <c r="AU226" s="80"/>
      <c r="AV226" s="80"/>
      <c r="AW226" s="80"/>
      <c r="AX226" s="80"/>
      <c r="AY226" s="80"/>
      <c r="AZ226" s="80"/>
      <c r="BA226" s="80"/>
      <c r="BB226" s="80"/>
      <c r="BC226">
        <v>20</v>
      </c>
      <c r="BD226" s="79" t="str">
        <f>REPLACE(INDEX(GroupVertices[Group],MATCH(Edges[[#This Row],[Vertex 1]],GroupVertices[Vertex],0)),1,1,"")</f>
        <v>1</v>
      </c>
      <c r="BE226" s="79" t="str">
        <f>REPLACE(INDEX(GroupVertices[Group],MATCH(Edges[[#This Row],[Vertex 2]],GroupVertices[Vertex],0)),1,1,"")</f>
        <v>1</v>
      </c>
      <c r="BF226" s="49">
        <v>0</v>
      </c>
      <c r="BG226" s="50">
        <v>0</v>
      </c>
      <c r="BH226" s="49">
        <v>0</v>
      </c>
      <c r="BI226" s="50">
        <v>0</v>
      </c>
      <c r="BJ226" s="49">
        <v>0</v>
      </c>
      <c r="BK226" s="50">
        <v>0</v>
      </c>
      <c r="BL226" s="49">
        <v>34</v>
      </c>
      <c r="BM226" s="50">
        <v>100</v>
      </c>
      <c r="BN226" s="49">
        <v>34</v>
      </c>
    </row>
    <row r="227" spans="1:66" ht="15">
      <c r="A227" s="65" t="s">
        <v>271</v>
      </c>
      <c r="B227" s="65" t="s">
        <v>271</v>
      </c>
      <c r="C227" s="66" t="s">
        <v>2157</v>
      </c>
      <c r="D227" s="67">
        <v>10</v>
      </c>
      <c r="E227" s="66" t="s">
        <v>136</v>
      </c>
      <c r="F227" s="69">
        <v>6</v>
      </c>
      <c r="G227" s="66"/>
      <c r="H227" s="70"/>
      <c r="I227" s="71"/>
      <c r="J227" s="71"/>
      <c r="K227" s="35" t="s">
        <v>65</v>
      </c>
      <c r="L227" s="72">
        <v>227</v>
      </c>
      <c r="M227" s="72"/>
      <c r="N227" s="73"/>
      <c r="O227" s="80" t="s">
        <v>197</v>
      </c>
      <c r="P227" s="82">
        <v>44218.579513888886</v>
      </c>
      <c r="Q227" s="80" t="s">
        <v>427</v>
      </c>
      <c r="R227" s="84" t="str">
        <f>HYPERLINK("https://www.tiess.online/registration?utm_source=Karanja&amp;utm_medium=Email&amp;utm_campaign=TIESS&amp;utm_term=025")</f>
        <v>https://www.tiess.online/registration?utm_source=Karanja&amp;utm_medium=Email&amp;utm_campaign=TIESS&amp;utm_term=025</v>
      </c>
      <c r="S227" s="80" t="s">
        <v>444</v>
      </c>
      <c r="T227" s="80" t="s">
        <v>450</v>
      </c>
      <c r="U227" s="84" t="str">
        <f>HYPERLINK("https://pbs.twimg.com/media/EsV0sHKUwAUheYy.jpg")</f>
        <v>https://pbs.twimg.com/media/EsV0sHKUwAUheYy.jpg</v>
      </c>
      <c r="V227" s="84" t="str">
        <f>HYPERLINK("https://pbs.twimg.com/media/EsV0sHKUwAUheYy.jpg")</f>
        <v>https://pbs.twimg.com/media/EsV0sHKUwAUheYy.jpg</v>
      </c>
      <c r="W227" s="82">
        <v>44218.579513888886</v>
      </c>
      <c r="X227" s="86">
        <v>44218</v>
      </c>
      <c r="Y227" s="88" t="s">
        <v>594</v>
      </c>
      <c r="Z227" s="84" t="str">
        <f>HYPERLINK("https://twitter.com/indiadidac/status/1352615625869324288")</f>
        <v>https://twitter.com/indiadidac/status/1352615625869324288</v>
      </c>
      <c r="AA227" s="80"/>
      <c r="AB227" s="80"/>
      <c r="AC227" s="88" t="s">
        <v>745</v>
      </c>
      <c r="AD227" s="80"/>
      <c r="AE227" s="80" t="b">
        <v>0</v>
      </c>
      <c r="AF227" s="80">
        <v>1</v>
      </c>
      <c r="AG227" s="88" t="s">
        <v>763</v>
      </c>
      <c r="AH227" s="80" t="b">
        <v>0</v>
      </c>
      <c r="AI227" s="80" t="s">
        <v>764</v>
      </c>
      <c r="AJ227" s="80"/>
      <c r="AK227" s="88" t="s">
        <v>763</v>
      </c>
      <c r="AL227" s="80" t="b">
        <v>0</v>
      </c>
      <c r="AM227" s="80">
        <v>0</v>
      </c>
      <c r="AN227" s="88" t="s">
        <v>763</v>
      </c>
      <c r="AO227" s="80" t="s">
        <v>765</v>
      </c>
      <c r="AP227" s="80" t="b">
        <v>0</v>
      </c>
      <c r="AQ227" s="88" t="s">
        <v>745</v>
      </c>
      <c r="AR227" s="80" t="s">
        <v>197</v>
      </c>
      <c r="AS227" s="80">
        <v>0</v>
      </c>
      <c r="AT227" s="80">
        <v>0</v>
      </c>
      <c r="AU227" s="80"/>
      <c r="AV227" s="80"/>
      <c r="AW227" s="80"/>
      <c r="AX227" s="80"/>
      <c r="AY227" s="80"/>
      <c r="AZ227" s="80"/>
      <c r="BA227" s="80"/>
      <c r="BB227" s="80"/>
      <c r="BC227">
        <v>20</v>
      </c>
      <c r="BD227" s="79" t="str">
        <f>REPLACE(INDEX(GroupVertices[Group],MATCH(Edges[[#This Row],[Vertex 1]],GroupVertices[Vertex],0)),1,1,"")</f>
        <v>1</v>
      </c>
      <c r="BE227" s="79" t="str">
        <f>REPLACE(INDEX(GroupVertices[Group],MATCH(Edges[[#This Row],[Vertex 2]],GroupVertices[Vertex],0)),1,1,"")</f>
        <v>1</v>
      </c>
      <c r="BF227" s="49">
        <v>1</v>
      </c>
      <c r="BG227" s="50">
        <v>4</v>
      </c>
      <c r="BH227" s="49">
        <v>0</v>
      </c>
      <c r="BI227" s="50">
        <v>0</v>
      </c>
      <c r="BJ227" s="49">
        <v>0</v>
      </c>
      <c r="BK227" s="50">
        <v>0</v>
      </c>
      <c r="BL227" s="49">
        <v>24</v>
      </c>
      <c r="BM227" s="50">
        <v>96</v>
      </c>
      <c r="BN227" s="49">
        <v>25</v>
      </c>
    </row>
    <row r="228" spans="1:66" ht="15">
      <c r="A228" s="65" t="s">
        <v>271</v>
      </c>
      <c r="B228" s="65" t="s">
        <v>271</v>
      </c>
      <c r="C228" s="66" t="s">
        <v>2157</v>
      </c>
      <c r="D228" s="67">
        <v>10</v>
      </c>
      <c r="E228" s="66" t="s">
        <v>136</v>
      </c>
      <c r="F228" s="69">
        <v>6</v>
      </c>
      <c r="G228" s="66"/>
      <c r="H228" s="70"/>
      <c r="I228" s="71"/>
      <c r="J228" s="71"/>
      <c r="K228" s="35" t="s">
        <v>65</v>
      </c>
      <c r="L228" s="72">
        <v>228</v>
      </c>
      <c r="M228" s="72"/>
      <c r="N228" s="73"/>
      <c r="O228" s="80" t="s">
        <v>197</v>
      </c>
      <c r="P228" s="82">
        <v>44218.60765046296</v>
      </c>
      <c r="Q228" s="80" t="s">
        <v>428</v>
      </c>
      <c r="R228" s="84" t="str">
        <f>HYPERLINK("https://www.tiess.online/registration?utm_source=SM&amp;utm_medium=Pooja&amp;utm_campaign=TIESS&amp;utm_term=041")</f>
        <v>https://www.tiess.online/registration?utm_source=SM&amp;utm_medium=Pooja&amp;utm_campaign=TIESS&amp;utm_term=041</v>
      </c>
      <c r="S228" s="80" t="s">
        <v>444</v>
      </c>
      <c r="T228" s="80" t="s">
        <v>450</v>
      </c>
      <c r="U228" s="84" t="str">
        <f>HYPERLINK("https://pbs.twimg.com/media/EsV-AdpU0AAZHSM.jpg")</f>
        <v>https://pbs.twimg.com/media/EsV-AdpU0AAZHSM.jpg</v>
      </c>
      <c r="V228" s="84" t="str">
        <f>HYPERLINK("https://pbs.twimg.com/media/EsV-AdpU0AAZHSM.jpg")</f>
        <v>https://pbs.twimg.com/media/EsV-AdpU0AAZHSM.jpg</v>
      </c>
      <c r="W228" s="82">
        <v>44218.60765046296</v>
      </c>
      <c r="X228" s="86">
        <v>44218</v>
      </c>
      <c r="Y228" s="88" t="s">
        <v>595</v>
      </c>
      <c r="Z228" s="84" t="str">
        <f>HYPERLINK("https://twitter.com/indiadidac/status/1352625823094763521")</f>
        <v>https://twitter.com/indiadidac/status/1352625823094763521</v>
      </c>
      <c r="AA228" s="80"/>
      <c r="AB228" s="80"/>
      <c r="AC228" s="88" t="s">
        <v>746</v>
      </c>
      <c r="AD228" s="80"/>
      <c r="AE228" s="80" t="b">
        <v>0</v>
      </c>
      <c r="AF228" s="80">
        <v>0</v>
      </c>
      <c r="AG228" s="88" t="s">
        <v>763</v>
      </c>
      <c r="AH228" s="80" t="b">
        <v>0</v>
      </c>
      <c r="AI228" s="80" t="s">
        <v>764</v>
      </c>
      <c r="AJ228" s="80"/>
      <c r="AK228" s="88" t="s">
        <v>763</v>
      </c>
      <c r="AL228" s="80" t="b">
        <v>0</v>
      </c>
      <c r="AM228" s="80">
        <v>0</v>
      </c>
      <c r="AN228" s="88" t="s">
        <v>763</v>
      </c>
      <c r="AO228" s="80" t="s">
        <v>765</v>
      </c>
      <c r="AP228" s="80" t="b">
        <v>0</v>
      </c>
      <c r="AQ228" s="88" t="s">
        <v>746</v>
      </c>
      <c r="AR228" s="80" t="s">
        <v>197</v>
      </c>
      <c r="AS228" s="80">
        <v>0</v>
      </c>
      <c r="AT228" s="80">
        <v>0</v>
      </c>
      <c r="AU228" s="80"/>
      <c r="AV228" s="80"/>
      <c r="AW228" s="80"/>
      <c r="AX228" s="80"/>
      <c r="AY228" s="80"/>
      <c r="AZ228" s="80"/>
      <c r="BA228" s="80"/>
      <c r="BB228" s="80"/>
      <c r="BC228">
        <v>20</v>
      </c>
      <c r="BD228" s="79" t="str">
        <f>REPLACE(INDEX(GroupVertices[Group],MATCH(Edges[[#This Row],[Vertex 1]],GroupVertices[Vertex],0)),1,1,"")</f>
        <v>1</v>
      </c>
      <c r="BE228" s="79" t="str">
        <f>REPLACE(INDEX(GroupVertices[Group],MATCH(Edges[[#This Row],[Vertex 2]],GroupVertices[Vertex],0)),1,1,"")</f>
        <v>1</v>
      </c>
      <c r="BF228" s="49">
        <v>0</v>
      </c>
      <c r="BG228" s="50">
        <v>0</v>
      </c>
      <c r="BH228" s="49">
        <v>0</v>
      </c>
      <c r="BI228" s="50">
        <v>0</v>
      </c>
      <c r="BJ228" s="49">
        <v>0</v>
      </c>
      <c r="BK228" s="50">
        <v>0</v>
      </c>
      <c r="BL228" s="49">
        <v>22</v>
      </c>
      <c r="BM228" s="50">
        <v>100</v>
      </c>
      <c r="BN228" s="49">
        <v>22</v>
      </c>
    </row>
    <row r="229" spans="1:66" ht="15">
      <c r="A229" s="65" t="s">
        <v>271</v>
      </c>
      <c r="B229" s="65" t="s">
        <v>271</v>
      </c>
      <c r="C229" s="66" t="s">
        <v>2157</v>
      </c>
      <c r="D229" s="67">
        <v>10</v>
      </c>
      <c r="E229" s="66" t="s">
        <v>136</v>
      </c>
      <c r="F229" s="69">
        <v>6</v>
      </c>
      <c r="G229" s="66"/>
      <c r="H229" s="70"/>
      <c r="I229" s="71"/>
      <c r="J229" s="71"/>
      <c r="K229" s="35" t="s">
        <v>65</v>
      </c>
      <c r="L229" s="72">
        <v>229</v>
      </c>
      <c r="M229" s="72"/>
      <c r="N229" s="73"/>
      <c r="O229" s="80" t="s">
        <v>197</v>
      </c>
      <c r="P229" s="82">
        <v>44219.43148148148</v>
      </c>
      <c r="Q229" s="80" t="s">
        <v>429</v>
      </c>
      <c r="R229" s="84" t="str">
        <f>HYPERLINK("https://www.tiess.online/registration?utm_source=Susan&amp;utm_medium=SM&amp;utm_campaign=TIESS&amp;utm_term=031")</f>
        <v>https://www.tiess.online/registration?utm_source=Susan&amp;utm_medium=SM&amp;utm_campaign=TIESS&amp;utm_term=031</v>
      </c>
      <c r="S229" s="80" t="s">
        <v>444</v>
      </c>
      <c r="T229" s="80" t="s">
        <v>450</v>
      </c>
      <c r="U229" s="84" t="str">
        <f>HYPERLINK("https://pbs.twimg.com/media/EsaNhoDUcAAFxKr.jpg")</f>
        <v>https://pbs.twimg.com/media/EsaNhoDUcAAFxKr.jpg</v>
      </c>
      <c r="V229" s="84" t="str">
        <f>HYPERLINK("https://pbs.twimg.com/media/EsaNhoDUcAAFxKr.jpg")</f>
        <v>https://pbs.twimg.com/media/EsaNhoDUcAAFxKr.jpg</v>
      </c>
      <c r="W229" s="82">
        <v>44219.43148148148</v>
      </c>
      <c r="X229" s="86">
        <v>44219</v>
      </c>
      <c r="Y229" s="88" t="s">
        <v>596</v>
      </c>
      <c r="Z229" s="84" t="str">
        <f>HYPERLINK("https://twitter.com/indiadidac/status/1352924371090776066")</f>
        <v>https://twitter.com/indiadidac/status/1352924371090776066</v>
      </c>
      <c r="AA229" s="80"/>
      <c r="AB229" s="80"/>
      <c r="AC229" s="88" t="s">
        <v>747</v>
      </c>
      <c r="AD229" s="80"/>
      <c r="AE229" s="80" t="b">
        <v>0</v>
      </c>
      <c r="AF229" s="80">
        <v>0</v>
      </c>
      <c r="AG229" s="88" t="s">
        <v>763</v>
      </c>
      <c r="AH229" s="80" t="b">
        <v>0</v>
      </c>
      <c r="AI229" s="80" t="s">
        <v>764</v>
      </c>
      <c r="AJ229" s="80"/>
      <c r="AK229" s="88" t="s">
        <v>763</v>
      </c>
      <c r="AL229" s="80" t="b">
        <v>0</v>
      </c>
      <c r="AM229" s="80">
        <v>0</v>
      </c>
      <c r="AN229" s="88" t="s">
        <v>763</v>
      </c>
      <c r="AO229" s="80" t="s">
        <v>765</v>
      </c>
      <c r="AP229" s="80" t="b">
        <v>0</v>
      </c>
      <c r="AQ229" s="88" t="s">
        <v>747</v>
      </c>
      <c r="AR229" s="80" t="s">
        <v>197</v>
      </c>
      <c r="AS229" s="80">
        <v>0</v>
      </c>
      <c r="AT229" s="80">
        <v>0</v>
      </c>
      <c r="AU229" s="80"/>
      <c r="AV229" s="80"/>
      <c r="AW229" s="80"/>
      <c r="AX229" s="80"/>
      <c r="AY229" s="80"/>
      <c r="AZ229" s="80"/>
      <c r="BA229" s="80"/>
      <c r="BB229" s="80"/>
      <c r="BC229">
        <v>20</v>
      </c>
      <c r="BD229" s="79" t="str">
        <f>REPLACE(INDEX(GroupVertices[Group],MATCH(Edges[[#This Row],[Vertex 1]],GroupVertices[Vertex],0)),1,1,"")</f>
        <v>1</v>
      </c>
      <c r="BE229" s="79" t="str">
        <f>REPLACE(INDEX(GroupVertices[Group],MATCH(Edges[[#This Row],[Vertex 2]],GroupVertices[Vertex],0)),1,1,"")</f>
        <v>1</v>
      </c>
      <c r="BF229" s="49">
        <v>3</v>
      </c>
      <c r="BG229" s="50">
        <v>10.344827586206897</v>
      </c>
      <c r="BH229" s="49">
        <v>0</v>
      </c>
      <c r="BI229" s="50">
        <v>0</v>
      </c>
      <c r="BJ229" s="49">
        <v>0</v>
      </c>
      <c r="BK229" s="50">
        <v>0</v>
      </c>
      <c r="BL229" s="49">
        <v>26</v>
      </c>
      <c r="BM229" s="50">
        <v>89.65517241379311</v>
      </c>
      <c r="BN229" s="49">
        <v>29</v>
      </c>
    </row>
    <row r="230" spans="1:66" ht="15">
      <c r="A230" s="65" t="s">
        <v>271</v>
      </c>
      <c r="B230" s="65" t="s">
        <v>271</v>
      </c>
      <c r="C230" s="66" t="s">
        <v>2157</v>
      </c>
      <c r="D230" s="67">
        <v>10</v>
      </c>
      <c r="E230" s="66" t="s">
        <v>136</v>
      </c>
      <c r="F230" s="69">
        <v>6</v>
      </c>
      <c r="G230" s="66"/>
      <c r="H230" s="70"/>
      <c r="I230" s="71"/>
      <c r="J230" s="71"/>
      <c r="K230" s="35" t="s">
        <v>65</v>
      </c>
      <c r="L230" s="72">
        <v>230</v>
      </c>
      <c r="M230" s="72"/>
      <c r="N230" s="73"/>
      <c r="O230" s="80" t="s">
        <v>197</v>
      </c>
      <c r="P230" s="82">
        <v>44219.43320601852</v>
      </c>
      <c r="Q230" s="80" t="s">
        <v>430</v>
      </c>
      <c r="R230" s="84" t="str">
        <f>HYPERLINK("https://www.tiess.online/registration?utm_source=Jim&amp;utm_medium=SM&amp;utm_campaign=TIESS&amp;utm_term=032")</f>
        <v>https://www.tiess.online/registration?utm_source=Jim&amp;utm_medium=SM&amp;utm_campaign=TIESS&amp;utm_term=032</v>
      </c>
      <c r="S230" s="80" t="s">
        <v>444</v>
      </c>
      <c r="T230" s="80" t="s">
        <v>450</v>
      </c>
      <c r="U230" s="84" t="str">
        <f>HYPERLINK("https://pbs.twimg.com/media/EsaOC-PUwAAgHVH.jpg")</f>
        <v>https://pbs.twimg.com/media/EsaOC-PUwAAgHVH.jpg</v>
      </c>
      <c r="V230" s="84" t="str">
        <f>HYPERLINK("https://pbs.twimg.com/media/EsaOC-PUwAAgHVH.jpg")</f>
        <v>https://pbs.twimg.com/media/EsaOC-PUwAAgHVH.jpg</v>
      </c>
      <c r="W230" s="82">
        <v>44219.43320601852</v>
      </c>
      <c r="X230" s="86">
        <v>44219</v>
      </c>
      <c r="Y230" s="88" t="s">
        <v>597</v>
      </c>
      <c r="Z230" s="84" t="str">
        <f>HYPERLINK("https://twitter.com/indiadidac/status/1352924996251729920")</f>
        <v>https://twitter.com/indiadidac/status/1352924996251729920</v>
      </c>
      <c r="AA230" s="80"/>
      <c r="AB230" s="80"/>
      <c r="AC230" s="88" t="s">
        <v>748</v>
      </c>
      <c r="AD230" s="80"/>
      <c r="AE230" s="80" t="b">
        <v>0</v>
      </c>
      <c r="AF230" s="80">
        <v>1</v>
      </c>
      <c r="AG230" s="88" t="s">
        <v>763</v>
      </c>
      <c r="AH230" s="80" t="b">
        <v>0</v>
      </c>
      <c r="AI230" s="80" t="s">
        <v>764</v>
      </c>
      <c r="AJ230" s="80"/>
      <c r="AK230" s="88" t="s">
        <v>763</v>
      </c>
      <c r="AL230" s="80" t="b">
        <v>0</v>
      </c>
      <c r="AM230" s="80">
        <v>0</v>
      </c>
      <c r="AN230" s="88" t="s">
        <v>763</v>
      </c>
      <c r="AO230" s="80" t="s">
        <v>765</v>
      </c>
      <c r="AP230" s="80" t="b">
        <v>0</v>
      </c>
      <c r="AQ230" s="88" t="s">
        <v>748</v>
      </c>
      <c r="AR230" s="80" t="s">
        <v>197</v>
      </c>
      <c r="AS230" s="80">
        <v>0</v>
      </c>
      <c r="AT230" s="80">
        <v>0</v>
      </c>
      <c r="AU230" s="80"/>
      <c r="AV230" s="80"/>
      <c r="AW230" s="80"/>
      <c r="AX230" s="80"/>
      <c r="AY230" s="80"/>
      <c r="AZ230" s="80"/>
      <c r="BA230" s="80"/>
      <c r="BB230" s="80"/>
      <c r="BC230">
        <v>20</v>
      </c>
      <c r="BD230" s="79" t="str">
        <f>REPLACE(INDEX(GroupVertices[Group],MATCH(Edges[[#This Row],[Vertex 1]],GroupVertices[Vertex],0)),1,1,"")</f>
        <v>1</v>
      </c>
      <c r="BE230" s="79" t="str">
        <f>REPLACE(INDEX(GroupVertices[Group],MATCH(Edges[[#This Row],[Vertex 2]],GroupVertices[Vertex],0)),1,1,"")</f>
        <v>1</v>
      </c>
      <c r="BF230" s="49">
        <v>1</v>
      </c>
      <c r="BG230" s="50">
        <v>4.545454545454546</v>
      </c>
      <c r="BH230" s="49">
        <v>0</v>
      </c>
      <c r="BI230" s="50">
        <v>0</v>
      </c>
      <c r="BJ230" s="49">
        <v>0</v>
      </c>
      <c r="BK230" s="50">
        <v>0</v>
      </c>
      <c r="BL230" s="49">
        <v>21</v>
      </c>
      <c r="BM230" s="50">
        <v>95.45454545454545</v>
      </c>
      <c r="BN230" s="49">
        <v>22</v>
      </c>
    </row>
    <row r="231" spans="1:66" ht="15">
      <c r="A231" s="65" t="s">
        <v>271</v>
      </c>
      <c r="B231" s="65" t="s">
        <v>350</v>
      </c>
      <c r="C231" s="66" t="s">
        <v>2153</v>
      </c>
      <c r="D231" s="67">
        <v>3</v>
      </c>
      <c r="E231" s="66" t="s">
        <v>132</v>
      </c>
      <c r="F231" s="69">
        <v>32</v>
      </c>
      <c r="G231" s="66"/>
      <c r="H231" s="70"/>
      <c r="I231" s="71"/>
      <c r="J231" s="71"/>
      <c r="K231" s="35" t="s">
        <v>65</v>
      </c>
      <c r="L231" s="72">
        <v>231</v>
      </c>
      <c r="M231" s="72"/>
      <c r="N231" s="73"/>
      <c r="O231" s="80" t="s">
        <v>353</v>
      </c>
      <c r="P231" s="82">
        <v>44219.44295138889</v>
      </c>
      <c r="Q231" s="80" t="s">
        <v>431</v>
      </c>
      <c r="R231" s="84" t="str">
        <f>HYPERLINK("https://www.tiess.online/registration?utm_source=Lucy&amp;utm_medium=SM&amp;utm_campaign=TIESS&amp;utm_term=033")</f>
        <v>https://www.tiess.online/registration?utm_source=Lucy&amp;utm_medium=SM&amp;utm_campaign=TIESS&amp;utm_term=033</v>
      </c>
      <c r="S231" s="80" t="s">
        <v>444</v>
      </c>
      <c r="T231" s="80" t="s">
        <v>451</v>
      </c>
      <c r="U231" s="84" t="str">
        <f>HYPERLINK("https://pbs.twimg.com/media/EsaRNp6VoAE0MPK.jpg")</f>
        <v>https://pbs.twimg.com/media/EsaRNp6VoAE0MPK.jpg</v>
      </c>
      <c r="V231" s="84" t="str">
        <f>HYPERLINK("https://pbs.twimg.com/media/EsaRNp6VoAE0MPK.jpg")</f>
        <v>https://pbs.twimg.com/media/EsaRNp6VoAE0MPK.jpg</v>
      </c>
      <c r="W231" s="82">
        <v>44219.44295138889</v>
      </c>
      <c r="X231" s="86">
        <v>44219</v>
      </c>
      <c r="Y231" s="88" t="s">
        <v>598</v>
      </c>
      <c r="Z231" s="84" t="str">
        <f>HYPERLINK("https://twitter.com/indiadidac/status/1352928524621889537")</f>
        <v>https://twitter.com/indiadidac/status/1352928524621889537</v>
      </c>
      <c r="AA231" s="80"/>
      <c r="AB231" s="80"/>
      <c r="AC231" s="88" t="s">
        <v>749</v>
      </c>
      <c r="AD231" s="80"/>
      <c r="AE231" s="80" t="b">
        <v>0</v>
      </c>
      <c r="AF231" s="80">
        <v>1</v>
      </c>
      <c r="AG231" s="88" t="s">
        <v>763</v>
      </c>
      <c r="AH231" s="80" t="b">
        <v>0</v>
      </c>
      <c r="AI231" s="80" t="s">
        <v>764</v>
      </c>
      <c r="AJ231" s="80"/>
      <c r="AK231" s="88" t="s">
        <v>763</v>
      </c>
      <c r="AL231" s="80" t="b">
        <v>0</v>
      </c>
      <c r="AM231" s="80">
        <v>0</v>
      </c>
      <c r="AN231" s="88" t="s">
        <v>763</v>
      </c>
      <c r="AO231" s="80" t="s">
        <v>765</v>
      </c>
      <c r="AP231" s="80" t="b">
        <v>0</v>
      </c>
      <c r="AQ231" s="88" t="s">
        <v>749</v>
      </c>
      <c r="AR231" s="80" t="s">
        <v>197</v>
      </c>
      <c r="AS231" s="80">
        <v>0</v>
      </c>
      <c r="AT231" s="80">
        <v>0</v>
      </c>
      <c r="AU231" s="80"/>
      <c r="AV231" s="80"/>
      <c r="AW231" s="80"/>
      <c r="AX231" s="80"/>
      <c r="AY231" s="80"/>
      <c r="AZ231" s="80"/>
      <c r="BA231" s="80"/>
      <c r="BB231" s="80"/>
      <c r="BC231">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271</v>
      </c>
      <c r="B232" s="65" t="s">
        <v>300</v>
      </c>
      <c r="C232" s="66" t="s">
        <v>2153</v>
      </c>
      <c r="D232" s="67">
        <v>3</v>
      </c>
      <c r="E232" s="66" t="s">
        <v>132</v>
      </c>
      <c r="F232" s="69">
        <v>32</v>
      </c>
      <c r="G232" s="66"/>
      <c r="H232" s="70"/>
      <c r="I232" s="71"/>
      <c r="J232" s="71"/>
      <c r="K232" s="35" t="s">
        <v>66</v>
      </c>
      <c r="L232" s="72">
        <v>232</v>
      </c>
      <c r="M232" s="72"/>
      <c r="N232" s="73"/>
      <c r="O232" s="80" t="s">
        <v>353</v>
      </c>
      <c r="P232" s="82">
        <v>44219.44295138889</v>
      </c>
      <c r="Q232" s="80" t="s">
        <v>431</v>
      </c>
      <c r="R232" s="84" t="str">
        <f>HYPERLINK("https://www.tiess.online/registration?utm_source=Lucy&amp;utm_medium=SM&amp;utm_campaign=TIESS&amp;utm_term=033")</f>
        <v>https://www.tiess.online/registration?utm_source=Lucy&amp;utm_medium=SM&amp;utm_campaign=TIESS&amp;utm_term=033</v>
      </c>
      <c r="S232" s="80" t="s">
        <v>444</v>
      </c>
      <c r="T232" s="80" t="s">
        <v>451</v>
      </c>
      <c r="U232" s="84" t="str">
        <f>HYPERLINK("https://pbs.twimg.com/media/EsaRNp6VoAE0MPK.jpg")</f>
        <v>https://pbs.twimg.com/media/EsaRNp6VoAE0MPK.jpg</v>
      </c>
      <c r="V232" s="84" t="str">
        <f>HYPERLINK("https://pbs.twimg.com/media/EsaRNp6VoAE0MPK.jpg")</f>
        <v>https://pbs.twimg.com/media/EsaRNp6VoAE0MPK.jpg</v>
      </c>
      <c r="W232" s="82">
        <v>44219.44295138889</v>
      </c>
      <c r="X232" s="86">
        <v>44219</v>
      </c>
      <c r="Y232" s="88" t="s">
        <v>598</v>
      </c>
      <c r="Z232" s="84" t="str">
        <f>HYPERLINK("https://twitter.com/indiadidac/status/1352928524621889537")</f>
        <v>https://twitter.com/indiadidac/status/1352928524621889537</v>
      </c>
      <c r="AA232" s="80"/>
      <c r="AB232" s="80"/>
      <c r="AC232" s="88" t="s">
        <v>749</v>
      </c>
      <c r="AD232" s="80"/>
      <c r="AE232" s="80" t="b">
        <v>0</v>
      </c>
      <c r="AF232" s="80">
        <v>1</v>
      </c>
      <c r="AG232" s="88" t="s">
        <v>763</v>
      </c>
      <c r="AH232" s="80" t="b">
        <v>0</v>
      </c>
      <c r="AI232" s="80" t="s">
        <v>764</v>
      </c>
      <c r="AJ232" s="80"/>
      <c r="AK232" s="88" t="s">
        <v>763</v>
      </c>
      <c r="AL232" s="80" t="b">
        <v>0</v>
      </c>
      <c r="AM232" s="80">
        <v>0</v>
      </c>
      <c r="AN232" s="88" t="s">
        <v>763</v>
      </c>
      <c r="AO232" s="80" t="s">
        <v>765</v>
      </c>
      <c r="AP232" s="80" t="b">
        <v>0</v>
      </c>
      <c r="AQ232" s="88" t="s">
        <v>749</v>
      </c>
      <c r="AR232" s="80" t="s">
        <v>197</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1</v>
      </c>
      <c r="BF232" s="49">
        <v>1</v>
      </c>
      <c r="BG232" s="50">
        <v>2.857142857142857</v>
      </c>
      <c r="BH232" s="49">
        <v>0</v>
      </c>
      <c r="BI232" s="50">
        <v>0</v>
      </c>
      <c r="BJ232" s="49">
        <v>0</v>
      </c>
      <c r="BK232" s="50">
        <v>0</v>
      </c>
      <c r="BL232" s="49">
        <v>34</v>
      </c>
      <c r="BM232" s="50">
        <v>97.14285714285714</v>
      </c>
      <c r="BN232" s="49">
        <v>35</v>
      </c>
    </row>
    <row r="233" spans="1:66" ht="15">
      <c r="A233" s="65" t="s">
        <v>271</v>
      </c>
      <c r="B233" s="65" t="s">
        <v>271</v>
      </c>
      <c r="C233" s="66" t="s">
        <v>2157</v>
      </c>
      <c r="D233" s="67">
        <v>10</v>
      </c>
      <c r="E233" s="66" t="s">
        <v>136</v>
      </c>
      <c r="F233" s="69">
        <v>6</v>
      </c>
      <c r="G233" s="66"/>
      <c r="H233" s="70"/>
      <c r="I233" s="71"/>
      <c r="J233" s="71"/>
      <c r="K233" s="35" t="s">
        <v>65</v>
      </c>
      <c r="L233" s="72">
        <v>233</v>
      </c>
      <c r="M233" s="72"/>
      <c r="N233" s="73"/>
      <c r="O233" s="80" t="s">
        <v>197</v>
      </c>
      <c r="P233" s="82">
        <v>44219.45655092593</v>
      </c>
      <c r="Q233" s="80" t="s">
        <v>432</v>
      </c>
      <c r="R233" s="84" t="str">
        <f>HYPERLINK("https://www.tiess.online/registration?utm_source=Keith&amp;utm_medium=SM&amp;utm_campaign=TIESS&amp;utm_term=034")</f>
        <v>https://www.tiess.online/registration?utm_source=Keith&amp;utm_medium=SM&amp;utm_campaign=TIESS&amp;utm_term=034</v>
      </c>
      <c r="S233" s="80" t="s">
        <v>444</v>
      </c>
      <c r="T233" s="80" t="s">
        <v>450</v>
      </c>
      <c r="U233" s="84" t="str">
        <f>HYPERLINK("https://pbs.twimg.com/media/EsaVyhcUYAE6RSO.jpg")</f>
        <v>https://pbs.twimg.com/media/EsaVyhcUYAE6RSO.jpg</v>
      </c>
      <c r="V233" s="84" t="str">
        <f>HYPERLINK("https://pbs.twimg.com/media/EsaVyhcUYAE6RSO.jpg")</f>
        <v>https://pbs.twimg.com/media/EsaVyhcUYAE6RSO.jpg</v>
      </c>
      <c r="W233" s="82">
        <v>44219.45655092593</v>
      </c>
      <c r="X233" s="86">
        <v>44219</v>
      </c>
      <c r="Y233" s="88" t="s">
        <v>599</v>
      </c>
      <c r="Z233" s="84" t="str">
        <f>HYPERLINK("https://twitter.com/indiadidac/status/1352933456553021440")</f>
        <v>https://twitter.com/indiadidac/status/1352933456553021440</v>
      </c>
      <c r="AA233" s="80"/>
      <c r="AB233" s="80"/>
      <c r="AC233" s="88" t="s">
        <v>750</v>
      </c>
      <c r="AD233" s="80"/>
      <c r="AE233" s="80" t="b">
        <v>0</v>
      </c>
      <c r="AF233" s="80">
        <v>0</v>
      </c>
      <c r="AG233" s="88" t="s">
        <v>763</v>
      </c>
      <c r="AH233" s="80" t="b">
        <v>0</v>
      </c>
      <c r="AI233" s="80" t="s">
        <v>764</v>
      </c>
      <c r="AJ233" s="80"/>
      <c r="AK233" s="88" t="s">
        <v>763</v>
      </c>
      <c r="AL233" s="80" t="b">
        <v>0</v>
      </c>
      <c r="AM233" s="80">
        <v>0</v>
      </c>
      <c r="AN233" s="88" t="s">
        <v>763</v>
      </c>
      <c r="AO233" s="80" t="s">
        <v>765</v>
      </c>
      <c r="AP233" s="80" t="b">
        <v>0</v>
      </c>
      <c r="AQ233" s="88" t="s">
        <v>750</v>
      </c>
      <c r="AR233" s="80" t="s">
        <v>197</v>
      </c>
      <c r="AS233" s="80">
        <v>0</v>
      </c>
      <c r="AT233" s="80">
        <v>0</v>
      </c>
      <c r="AU233" s="80"/>
      <c r="AV233" s="80"/>
      <c r="AW233" s="80"/>
      <c r="AX233" s="80"/>
      <c r="AY233" s="80"/>
      <c r="AZ233" s="80"/>
      <c r="BA233" s="80"/>
      <c r="BB233" s="80"/>
      <c r="BC233">
        <v>20</v>
      </c>
      <c r="BD233" s="79" t="str">
        <f>REPLACE(INDEX(GroupVertices[Group],MATCH(Edges[[#This Row],[Vertex 1]],GroupVertices[Vertex],0)),1,1,"")</f>
        <v>1</v>
      </c>
      <c r="BE233" s="79" t="str">
        <f>REPLACE(INDEX(GroupVertices[Group],MATCH(Edges[[#This Row],[Vertex 2]],GroupVertices[Vertex],0)),1,1,"")</f>
        <v>1</v>
      </c>
      <c r="BF233" s="49">
        <v>2</v>
      </c>
      <c r="BG233" s="50">
        <v>5.555555555555555</v>
      </c>
      <c r="BH233" s="49">
        <v>0</v>
      </c>
      <c r="BI233" s="50">
        <v>0</v>
      </c>
      <c r="BJ233" s="49">
        <v>0</v>
      </c>
      <c r="BK233" s="50">
        <v>0</v>
      </c>
      <c r="BL233" s="49">
        <v>34</v>
      </c>
      <c r="BM233" s="50">
        <v>94.44444444444444</v>
      </c>
      <c r="BN233" s="49">
        <v>36</v>
      </c>
    </row>
    <row r="234" spans="1:66" ht="15">
      <c r="A234" s="65" t="s">
        <v>271</v>
      </c>
      <c r="B234" s="65" t="s">
        <v>271</v>
      </c>
      <c r="C234" s="66" t="s">
        <v>2157</v>
      </c>
      <c r="D234" s="67">
        <v>10</v>
      </c>
      <c r="E234" s="66" t="s">
        <v>136</v>
      </c>
      <c r="F234" s="69">
        <v>6</v>
      </c>
      <c r="G234" s="66"/>
      <c r="H234" s="70"/>
      <c r="I234" s="71"/>
      <c r="J234" s="71"/>
      <c r="K234" s="35" t="s">
        <v>65</v>
      </c>
      <c r="L234" s="72">
        <v>234</v>
      </c>
      <c r="M234" s="72"/>
      <c r="N234" s="73"/>
      <c r="O234" s="80" t="s">
        <v>197</v>
      </c>
      <c r="P234" s="82">
        <v>44219.483831018515</v>
      </c>
      <c r="Q234" s="80" t="s">
        <v>433</v>
      </c>
      <c r="R234" s="84" t="str">
        <f>HYPERLINK("https://www.tiess.online/registration?utm_source=Datuk&amp;utm_medium=SM&amp;utm_campaign=TIESS&amp;utm_term=036")</f>
        <v>https://www.tiess.online/registration?utm_source=Datuk&amp;utm_medium=SM&amp;utm_campaign=TIESS&amp;utm_term=036</v>
      </c>
      <c r="S234" s="80" t="s">
        <v>444</v>
      </c>
      <c r="T234" s="80" t="s">
        <v>451</v>
      </c>
      <c r="U234" s="84" t="str">
        <f>HYPERLINK("https://pbs.twimg.com/media/EsaedxxUYAESky6.jpg")</f>
        <v>https://pbs.twimg.com/media/EsaedxxUYAESky6.jpg</v>
      </c>
      <c r="V234" s="84" t="str">
        <f>HYPERLINK("https://pbs.twimg.com/media/EsaedxxUYAESky6.jpg")</f>
        <v>https://pbs.twimg.com/media/EsaedxxUYAESky6.jpg</v>
      </c>
      <c r="W234" s="82">
        <v>44219.483831018515</v>
      </c>
      <c r="X234" s="86">
        <v>44219</v>
      </c>
      <c r="Y234" s="88" t="s">
        <v>600</v>
      </c>
      <c r="Z234" s="84" t="str">
        <f>HYPERLINK("https://twitter.com/indiadidac/status/1352943341902520330")</f>
        <v>https://twitter.com/indiadidac/status/1352943341902520330</v>
      </c>
      <c r="AA234" s="80"/>
      <c r="AB234" s="80"/>
      <c r="AC234" s="88" t="s">
        <v>751</v>
      </c>
      <c r="AD234" s="80"/>
      <c r="AE234" s="80" t="b">
        <v>0</v>
      </c>
      <c r="AF234" s="80">
        <v>0</v>
      </c>
      <c r="AG234" s="88" t="s">
        <v>763</v>
      </c>
      <c r="AH234" s="80" t="b">
        <v>0</v>
      </c>
      <c r="AI234" s="80" t="s">
        <v>764</v>
      </c>
      <c r="AJ234" s="80"/>
      <c r="AK234" s="88" t="s">
        <v>763</v>
      </c>
      <c r="AL234" s="80" t="b">
        <v>0</v>
      </c>
      <c r="AM234" s="80">
        <v>0</v>
      </c>
      <c r="AN234" s="88" t="s">
        <v>763</v>
      </c>
      <c r="AO234" s="80" t="s">
        <v>765</v>
      </c>
      <c r="AP234" s="80" t="b">
        <v>0</v>
      </c>
      <c r="AQ234" s="88" t="s">
        <v>751</v>
      </c>
      <c r="AR234" s="80" t="s">
        <v>197</v>
      </c>
      <c r="AS234" s="80">
        <v>0</v>
      </c>
      <c r="AT234" s="80">
        <v>0</v>
      </c>
      <c r="AU234" s="80"/>
      <c r="AV234" s="80"/>
      <c r="AW234" s="80"/>
      <c r="AX234" s="80"/>
      <c r="AY234" s="80"/>
      <c r="AZ234" s="80"/>
      <c r="BA234" s="80"/>
      <c r="BB234" s="80"/>
      <c r="BC234">
        <v>20</v>
      </c>
      <c r="BD234" s="79" t="str">
        <f>REPLACE(INDEX(GroupVertices[Group],MATCH(Edges[[#This Row],[Vertex 1]],GroupVertices[Vertex],0)),1,1,"")</f>
        <v>1</v>
      </c>
      <c r="BE234" s="79" t="str">
        <f>REPLACE(INDEX(GroupVertices[Group],MATCH(Edges[[#This Row],[Vertex 2]],GroupVertices[Vertex],0)),1,1,"")</f>
        <v>1</v>
      </c>
      <c r="BF234" s="49">
        <v>0</v>
      </c>
      <c r="BG234" s="50">
        <v>0</v>
      </c>
      <c r="BH234" s="49">
        <v>0</v>
      </c>
      <c r="BI234" s="50">
        <v>0</v>
      </c>
      <c r="BJ234" s="49">
        <v>0</v>
      </c>
      <c r="BK234" s="50">
        <v>0</v>
      </c>
      <c r="BL234" s="49">
        <v>35</v>
      </c>
      <c r="BM234" s="50">
        <v>100</v>
      </c>
      <c r="BN234" s="49">
        <v>35</v>
      </c>
    </row>
    <row r="235" spans="1:66" ht="15">
      <c r="A235" s="65" t="s">
        <v>271</v>
      </c>
      <c r="B235" s="65" t="s">
        <v>271</v>
      </c>
      <c r="C235" s="66" t="s">
        <v>2157</v>
      </c>
      <c r="D235" s="67">
        <v>10</v>
      </c>
      <c r="E235" s="66" t="s">
        <v>136</v>
      </c>
      <c r="F235" s="69">
        <v>6</v>
      </c>
      <c r="G235" s="66"/>
      <c r="H235" s="70"/>
      <c r="I235" s="71"/>
      <c r="J235" s="71"/>
      <c r="K235" s="35" t="s">
        <v>65</v>
      </c>
      <c r="L235" s="72">
        <v>235</v>
      </c>
      <c r="M235" s="72"/>
      <c r="N235" s="73"/>
      <c r="O235" s="80" t="s">
        <v>197</v>
      </c>
      <c r="P235" s="82">
        <v>44219.5621875</v>
      </c>
      <c r="Q235" s="80" t="s">
        <v>434</v>
      </c>
      <c r="R235" s="84" t="str">
        <f>HYPERLINK("https://www.tiess.online/registration?utm_source=Dominic&amp;utm_medium=SM&amp;utm_campaign=TIESS&amp;utm_term=037")</f>
        <v>https://www.tiess.online/registration?utm_source=Dominic&amp;utm_medium=SM&amp;utm_campaign=TIESS&amp;utm_term=037</v>
      </c>
      <c r="S235" s="80" t="s">
        <v>444</v>
      </c>
      <c r="T235" s="80" t="s">
        <v>450</v>
      </c>
      <c r="U235" s="84" t="str">
        <f>HYPERLINK("https://pbs.twimg.com/media/Esa4kXKU0AAxg2E.jpg")</f>
        <v>https://pbs.twimg.com/media/Esa4kXKU0AAxg2E.jpg</v>
      </c>
      <c r="V235" s="84" t="str">
        <f>HYPERLINK("https://pbs.twimg.com/media/Esa4kXKU0AAxg2E.jpg")</f>
        <v>https://pbs.twimg.com/media/Esa4kXKU0AAxg2E.jpg</v>
      </c>
      <c r="W235" s="82">
        <v>44219.5621875</v>
      </c>
      <c r="X235" s="86">
        <v>44219</v>
      </c>
      <c r="Y235" s="88" t="s">
        <v>601</v>
      </c>
      <c r="Z235" s="84" t="str">
        <f>HYPERLINK("https://twitter.com/indiadidac/status/1352971736552067073")</f>
        <v>https://twitter.com/indiadidac/status/1352971736552067073</v>
      </c>
      <c r="AA235" s="80"/>
      <c r="AB235" s="80"/>
      <c r="AC235" s="88" t="s">
        <v>752</v>
      </c>
      <c r="AD235" s="80"/>
      <c r="AE235" s="80" t="b">
        <v>0</v>
      </c>
      <c r="AF235" s="80">
        <v>0</v>
      </c>
      <c r="AG235" s="88" t="s">
        <v>763</v>
      </c>
      <c r="AH235" s="80" t="b">
        <v>0</v>
      </c>
      <c r="AI235" s="80" t="s">
        <v>764</v>
      </c>
      <c r="AJ235" s="80"/>
      <c r="AK235" s="88" t="s">
        <v>763</v>
      </c>
      <c r="AL235" s="80" t="b">
        <v>0</v>
      </c>
      <c r="AM235" s="80">
        <v>0</v>
      </c>
      <c r="AN235" s="88" t="s">
        <v>763</v>
      </c>
      <c r="AO235" s="80" t="s">
        <v>765</v>
      </c>
      <c r="AP235" s="80" t="b">
        <v>0</v>
      </c>
      <c r="AQ235" s="88" t="s">
        <v>752</v>
      </c>
      <c r="AR235" s="80" t="s">
        <v>197</v>
      </c>
      <c r="AS235" s="80">
        <v>0</v>
      </c>
      <c r="AT235" s="80">
        <v>0</v>
      </c>
      <c r="AU235" s="80"/>
      <c r="AV235" s="80"/>
      <c r="AW235" s="80"/>
      <c r="AX235" s="80"/>
      <c r="AY235" s="80"/>
      <c r="AZ235" s="80"/>
      <c r="BA235" s="80"/>
      <c r="BB235" s="80"/>
      <c r="BC235">
        <v>20</v>
      </c>
      <c r="BD235" s="79" t="str">
        <f>REPLACE(INDEX(GroupVertices[Group],MATCH(Edges[[#This Row],[Vertex 1]],GroupVertices[Vertex],0)),1,1,"")</f>
        <v>1</v>
      </c>
      <c r="BE235" s="79" t="str">
        <f>REPLACE(INDEX(GroupVertices[Group],MATCH(Edges[[#This Row],[Vertex 2]],GroupVertices[Vertex],0)),1,1,"")</f>
        <v>1</v>
      </c>
      <c r="BF235" s="49">
        <v>1</v>
      </c>
      <c r="BG235" s="50">
        <v>3.225806451612903</v>
      </c>
      <c r="BH235" s="49">
        <v>1</v>
      </c>
      <c r="BI235" s="50">
        <v>3.225806451612903</v>
      </c>
      <c r="BJ235" s="49">
        <v>0</v>
      </c>
      <c r="BK235" s="50">
        <v>0</v>
      </c>
      <c r="BL235" s="49">
        <v>29</v>
      </c>
      <c r="BM235" s="50">
        <v>93.54838709677419</v>
      </c>
      <c r="BN235" s="49">
        <v>31</v>
      </c>
    </row>
    <row r="236" spans="1:66" ht="15">
      <c r="A236" s="65" t="s">
        <v>271</v>
      </c>
      <c r="B236" s="65" t="s">
        <v>271</v>
      </c>
      <c r="C236" s="66" t="s">
        <v>2157</v>
      </c>
      <c r="D236" s="67">
        <v>10</v>
      </c>
      <c r="E236" s="66" t="s">
        <v>136</v>
      </c>
      <c r="F236" s="69">
        <v>6</v>
      </c>
      <c r="G236" s="66"/>
      <c r="H236" s="70"/>
      <c r="I236" s="71"/>
      <c r="J236" s="71"/>
      <c r="K236" s="35" t="s">
        <v>65</v>
      </c>
      <c r="L236" s="72">
        <v>236</v>
      </c>
      <c r="M236" s="72"/>
      <c r="N236" s="73"/>
      <c r="O236" s="80" t="s">
        <v>197</v>
      </c>
      <c r="P236" s="82">
        <v>44220.60128472222</v>
      </c>
      <c r="Q236" s="80" t="s">
        <v>389</v>
      </c>
      <c r="R236" s="80"/>
      <c r="S236" s="80"/>
      <c r="T236" s="80" t="s">
        <v>450</v>
      </c>
      <c r="U236" s="84" t="str">
        <f>HYPERLINK("https://pbs.twimg.com/media/EsgPDwCUcAYZq66.jpg")</f>
        <v>https://pbs.twimg.com/media/EsgPDwCUcAYZq66.jpg</v>
      </c>
      <c r="V236" s="84" t="str">
        <f>HYPERLINK("https://pbs.twimg.com/media/EsgPDwCUcAYZq66.jpg")</f>
        <v>https://pbs.twimg.com/media/EsgPDwCUcAYZq66.jpg</v>
      </c>
      <c r="W236" s="82">
        <v>44220.60128472222</v>
      </c>
      <c r="X236" s="86">
        <v>44220</v>
      </c>
      <c r="Y236" s="88" t="s">
        <v>602</v>
      </c>
      <c r="Z236" s="84" t="str">
        <f>HYPERLINK("https://twitter.com/indiadidac/status/1353348293070266369")</f>
        <v>https://twitter.com/indiadidac/status/1353348293070266369</v>
      </c>
      <c r="AA236" s="80"/>
      <c r="AB236" s="80"/>
      <c r="AC236" s="88" t="s">
        <v>753</v>
      </c>
      <c r="AD236" s="80"/>
      <c r="AE236" s="80" t="b">
        <v>0</v>
      </c>
      <c r="AF236" s="80">
        <v>2</v>
      </c>
      <c r="AG236" s="88" t="s">
        <v>763</v>
      </c>
      <c r="AH236" s="80" t="b">
        <v>0</v>
      </c>
      <c r="AI236" s="80" t="s">
        <v>764</v>
      </c>
      <c r="AJ236" s="80"/>
      <c r="AK236" s="88" t="s">
        <v>763</v>
      </c>
      <c r="AL236" s="80" t="b">
        <v>0</v>
      </c>
      <c r="AM236" s="80">
        <v>2</v>
      </c>
      <c r="AN236" s="88" t="s">
        <v>763</v>
      </c>
      <c r="AO236" s="80" t="s">
        <v>765</v>
      </c>
      <c r="AP236" s="80" t="b">
        <v>0</v>
      </c>
      <c r="AQ236" s="88" t="s">
        <v>753</v>
      </c>
      <c r="AR236" s="80" t="s">
        <v>197</v>
      </c>
      <c r="AS236" s="80">
        <v>0</v>
      </c>
      <c r="AT236" s="80">
        <v>0</v>
      </c>
      <c r="AU236" s="80"/>
      <c r="AV236" s="80"/>
      <c r="AW236" s="80"/>
      <c r="AX236" s="80"/>
      <c r="AY236" s="80"/>
      <c r="AZ236" s="80"/>
      <c r="BA236" s="80"/>
      <c r="BB236" s="80"/>
      <c r="BC236">
        <v>20</v>
      </c>
      <c r="BD236" s="79" t="str">
        <f>REPLACE(INDEX(GroupVertices[Group],MATCH(Edges[[#This Row],[Vertex 1]],GroupVertices[Vertex],0)),1,1,"")</f>
        <v>1</v>
      </c>
      <c r="BE236" s="79" t="str">
        <f>REPLACE(INDEX(GroupVertices[Group],MATCH(Edges[[#This Row],[Vertex 2]],GroupVertices[Vertex],0)),1,1,"")</f>
        <v>1</v>
      </c>
      <c r="BF236" s="49">
        <v>2</v>
      </c>
      <c r="BG236" s="50">
        <v>5.555555555555555</v>
      </c>
      <c r="BH236" s="49">
        <v>0</v>
      </c>
      <c r="BI236" s="50">
        <v>0</v>
      </c>
      <c r="BJ236" s="49">
        <v>0</v>
      </c>
      <c r="BK236" s="50">
        <v>0</v>
      </c>
      <c r="BL236" s="49">
        <v>34</v>
      </c>
      <c r="BM236" s="50">
        <v>94.44444444444444</v>
      </c>
      <c r="BN236" s="49">
        <v>36</v>
      </c>
    </row>
    <row r="237" spans="1:66" ht="15">
      <c r="A237" s="65" t="s">
        <v>271</v>
      </c>
      <c r="B237" s="65" t="s">
        <v>271</v>
      </c>
      <c r="C237" s="66" t="s">
        <v>2157</v>
      </c>
      <c r="D237" s="67">
        <v>10</v>
      </c>
      <c r="E237" s="66" t="s">
        <v>136</v>
      </c>
      <c r="F237" s="69">
        <v>6</v>
      </c>
      <c r="G237" s="66"/>
      <c r="H237" s="70"/>
      <c r="I237" s="71"/>
      <c r="J237" s="71"/>
      <c r="K237" s="35" t="s">
        <v>65</v>
      </c>
      <c r="L237" s="72">
        <v>237</v>
      </c>
      <c r="M237" s="72"/>
      <c r="N237" s="73"/>
      <c r="O237" s="80" t="s">
        <v>197</v>
      </c>
      <c r="P237" s="82">
        <v>44221.436377314814</v>
      </c>
      <c r="Q237" s="80" t="s">
        <v>369</v>
      </c>
      <c r="R237" s="80"/>
      <c r="S237" s="80"/>
      <c r="T237" s="80" t="s">
        <v>454</v>
      </c>
      <c r="U237" s="84" t="str">
        <f>HYPERLINK("https://pbs.twimg.com/media/EskiR9xVEAYLaX3.jpg")</f>
        <v>https://pbs.twimg.com/media/EskiR9xVEAYLaX3.jpg</v>
      </c>
      <c r="V237" s="84" t="str">
        <f>HYPERLINK("https://pbs.twimg.com/media/EskiR9xVEAYLaX3.jpg")</f>
        <v>https://pbs.twimg.com/media/EskiR9xVEAYLaX3.jpg</v>
      </c>
      <c r="W237" s="82">
        <v>44221.436377314814</v>
      </c>
      <c r="X237" s="86">
        <v>44221</v>
      </c>
      <c r="Y237" s="88" t="s">
        <v>603</v>
      </c>
      <c r="Z237" s="84" t="str">
        <f>HYPERLINK("https://twitter.com/indiadidac/status/1353650920182013953")</f>
        <v>https://twitter.com/indiadidac/status/1353650920182013953</v>
      </c>
      <c r="AA237" s="80"/>
      <c r="AB237" s="80"/>
      <c r="AC237" s="88" t="s">
        <v>754</v>
      </c>
      <c r="AD237" s="80"/>
      <c r="AE237" s="80" t="b">
        <v>0</v>
      </c>
      <c r="AF237" s="80">
        <v>3</v>
      </c>
      <c r="AG237" s="88" t="s">
        <v>763</v>
      </c>
      <c r="AH237" s="80" t="b">
        <v>0</v>
      </c>
      <c r="AI237" s="80" t="s">
        <v>764</v>
      </c>
      <c r="AJ237" s="80"/>
      <c r="AK237" s="88" t="s">
        <v>763</v>
      </c>
      <c r="AL237" s="80" t="b">
        <v>0</v>
      </c>
      <c r="AM237" s="80">
        <v>2</v>
      </c>
      <c r="AN237" s="88" t="s">
        <v>763</v>
      </c>
      <c r="AO237" s="80" t="s">
        <v>768</v>
      </c>
      <c r="AP237" s="80" t="b">
        <v>0</v>
      </c>
      <c r="AQ237" s="88" t="s">
        <v>754</v>
      </c>
      <c r="AR237" s="80" t="s">
        <v>197</v>
      </c>
      <c r="AS237" s="80">
        <v>0</v>
      </c>
      <c r="AT237" s="80">
        <v>0</v>
      </c>
      <c r="AU237" s="80"/>
      <c r="AV237" s="80"/>
      <c r="AW237" s="80"/>
      <c r="AX237" s="80"/>
      <c r="AY237" s="80"/>
      <c r="AZ237" s="80"/>
      <c r="BA237" s="80"/>
      <c r="BB237" s="80"/>
      <c r="BC237">
        <v>20</v>
      </c>
      <c r="BD237" s="79" t="str">
        <f>REPLACE(INDEX(GroupVertices[Group],MATCH(Edges[[#This Row],[Vertex 1]],GroupVertices[Vertex],0)),1,1,"")</f>
        <v>1</v>
      </c>
      <c r="BE237" s="79" t="str">
        <f>REPLACE(INDEX(GroupVertices[Group],MATCH(Edges[[#This Row],[Vertex 2]],GroupVertices[Vertex],0)),1,1,"")</f>
        <v>1</v>
      </c>
      <c r="BF237" s="49">
        <v>2</v>
      </c>
      <c r="BG237" s="50">
        <v>5.555555555555555</v>
      </c>
      <c r="BH237" s="49">
        <v>0</v>
      </c>
      <c r="BI237" s="50">
        <v>0</v>
      </c>
      <c r="BJ237" s="49">
        <v>0</v>
      </c>
      <c r="BK237" s="50">
        <v>0</v>
      </c>
      <c r="BL237" s="49">
        <v>34</v>
      </c>
      <c r="BM237" s="50">
        <v>94.44444444444444</v>
      </c>
      <c r="BN237" s="49">
        <v>36</v>
      </c>
    </row>
    <row r="238" spans="1:66" ht="15">
      <c r="A238" s="65" t="s">
        <v>271</v>
      </c>
      <c r="B238" s="65" t="s">
        <v>271</v>
      </c>
      <c r="C238" s="66" t="s">
        <v>2157</v>
      </c>
      <c r="D238" s="67">
        <v>10</v>
      </c>
      <c r="E238" s="66" t="s">
        <v>136</v>
      </c>
      <c r="F238" s="69">
        <v>6</v>
      </c>
      <c r="G238" s="66"/>
      <c r="H238" s="70"/>
      <c r="I238" s="71"/>
      <c r="J238" s="71"/>
      <c r="K238" s="35" t="s">
        <v>65</v>
      </c>
      <c r="L238" s="72">
        <v>238</v>
      </c>
      <c r="M238" s="72"/>
      <c r="N238" s="73"/>
      <c r="O238" s="80" t="s">
        <v>197</v>
      </c>
      <c r="P238" s="82">
        <v>44221.43736111111</v>
      </c>
      <c r="Q238" s="80" t="s">
        <v>435</v>
      </c>
      <c r="R238" s="84" t="str">
        <f>HYPERLINK("https://www.tiess.online/registration?utm_source=Mahdi&amp;utm_medium=Dubai&amp;utm_campaign=TIESS&amp;utm_term=042")</f>
        <v>https://www.tiess.online/registration?utm_source=Mahdi&amp;utm_medium=Dubai&amp;utm_campaign=TIESS&amp;utm_term=042</v>
      </c>
      <c r="S238" s="80" t="s">
        <v>444</v>
      </c>
      <c r="T238" s="80" t="s">
        <v>449</v>
      </c>
      <c r="U238" s="84" t="str">
        <f>HYPERLINK("https://pbs.twimg.com/media/Eskio__UwAA967X.jpg")</f>
        <v>https://pbs.twimg.com/media/Eskio__UwAA967X.jpg</v>
      </c>
      <c r="V238" s="84" t="str">
        <f>HYPERLINK("https://pbs.twimg.com/media/Eskio__UwAA967X.jpg")</f>
        <v>https://pbs.twimg.com/media/Eskio__UwAA967X.jpg</v>
      </c>
      <c r="W238" s="82">
        <v>44221.43736111111</v>
      </c>
      <c r="X238" s="86">
        <v>44221</v>
      </c>
      <c r="Y238" s="88" t="s">
        <v>604</v>
      </c>
      <c r="Z238" s="84" t="str">
        <f>HYPERLINK("https://twitter.com/indiadidac/status/1353651277788454914")</f>
        <v>https://twitter.com/indiadidac/status/1353651277788454914</v>
      </c>
      <c r="AA238" s="80"/>
      <c r="AB238" s="80"/>
      <c r="AC238" s="88" t="s">
        <v>755</v>
      </c>
      <c r="AD238" s="80"/>
      <c r="AE238" s="80" t="b">
        <v>0</v>
      </c>
      <c r="AF238" s="80">
        <v>1</v>
      </c>
      <c r="AG238" s="88" t="s">
        <v>763</v>
      </c>
      <c r="AH238" s="80" t="b">
        <v>0</v>
      </c>
      <c r="AI238" s="80" t="s">
        <v>764</v>
      </c>
      <c r="AJ238" s="80"/>
      <c r="AK238" s="88" t="s">
        <v>763</v>
      </c>
      <c r="AL238" s="80" t="b">
        <v>0</v>
      </c>
      <c r="AM238" s="80">
        <v>0</v>
      </c>
      <c r="AN238" s="88" t="s">
        <v>763</v>
      </c>
      <c r="AO238" s="80" t="s">
        <v>765</v>
      </c>
      <c r="AP238" s="80" t="b">
        <v>0</v>
      </c>
      <c r="AQ238" s="88" t="s">
        <v>755</v>
      </c>
      <c r="AR238" s="80" t="s">
        <v>197</v>
      </c>
      <c r="AS238" s="80">
        <v>0</v>
      </c>
      <c r="AT238" s="80">
        <v>0</v>
      </c>
      <c r="AU238" s="80"/>
      <c r="AV238" s="80"/>
      <c r="AW238" s="80"/>
      <c r="AX238" s="80"/>
      <c r="AY238" s="80"/>
      <c r="AZ238" s="80"/>
      <c r="BA238" s="80"/>
      <c r="BB238" s="80"/>
      <c r="BC238">
        <v>20</v>
      </c>
      <c r="BD238" s="79" t="str">
        <f>REPLACE(INDEX(GroupVertices[Group],MATCH(Edges[[#This Row],[Vertex 1]],GroupVertices[Vertex],0)),1,1,"")</f>
        <v>1</v>
      </c>
      <c r="BE238" s="79" t="str">
        <f>REPLACE(INDEX(GroupVertices[Group],MATCH(Edges[[#This Row],[Vertex 2]],GroupVertices[Vertex],0)),1,1,"")</f>
        <v>1</v>
      </c>
      <c r="BF238" s="49">
        <v>1</v>
      </c>
      <c r="BG238" s="50">
        <v>2.7777777777777777</v>
      </c>
      <c r="BH238" s="49">
        <v>0</v>
      </c>
      <c r="BI238" s="50">
        <v>0</v>
      </c>
      <c r="BJ238" s="49">
        <v>0</v>
      </c>
      <c r="BK238" s="50">
        <v>0</v>
      </c>
      <c r="BL238" s="49">
        <v>35</v>
      </c>
      <c r="BM238" s="50">
        <v>97.22222222222223</v>
      </c>
      <c r="BN238" s="49">
        <v>36</v>
      </c>
    </row>
    <row r="239" spans="1:66" ht="15">
      <c r="A239" s="65" t="s">
        <v>271</v>
      </c>
      <c r="B239" s="65" t="s">
        <v>271</v>
      </c>
      <c r="C239" s="66" t="s">
        <v>2157</v>
      </c>
      <c r="D239" s="67">
        <v>10</v>
      </c>
      <c r="E239" s="66" t="s">
        <v>136</v>
      </c>
      <c r="F239" s="69">
        <v>6</v>
      </c>
      <c r="G239" s="66"/>
      <c r="H239" s="70"/>
      <c r="I239" s="71"/>
      <c r="J239" s="71"/>
      <c r="K239" s="35" t="s">
        <v>65</v>
      </c>
      <c r="L239" s="72">
        <v>239</v>
      </c>
      <c r="M239" s="72"/>
      <c r="N239" s="73"/>
      <c r="O239" s="80" t="s">
        <v>197</v>
      </c>
      <c r="P239" s="82">
        <v>44222.29608796296</v>
      </c>
      <c r="Q239" s="80" t="s">
        <v>436</v>
      </c>
      <c r="R239" s="84" t="str">
        <f>HYPERLINK("https://www.tiess.online/registration?utm_source=Felicity&amp;utm_medium=SM&amp;utm_campaign=TIESS&amp;utm_term=046")</f>
        <v>https://www.tiess.online/registration?utm_source=Felicity&amp;utm_medium=SM&amp;utm_campaign=TIESS&amp;utm_term=046</v>
      </c>
      <c r="S239" s="80" t="s">
        <v>444</v>
      </c>
      <c r="T239" s="80" t="s">
        <v>450</v>
      </c>
      <c r="U239" s="84" t="str">
        <f>HYPERLINK("https://pbs.twimg.com/media/Eso9qQAVEAILIDU.jpg")</f>
        <v>https://pbs.twimg.com/media/Eso9qQAVEAILIDU.jpg</v>
      </c>
      <c r="V239" s="84" t="str">
        <f>HYPERLINK("https://pbs.twimg.com/media/Eso9qQAVEAILIDU.jpg")</f>
        <v>https://pbs.twimg.com/media/Eso9qQAVEAILIDU.jpg</v>
      </c>
      <c r="W239" s="82">
        <v>44222.29608796296</v>
      </c>
      <c r="X239" s="86">
        <v>44222</v>
      </c>
      <c r="Y239" s="88" t="s">
        <v>605</v>
      </c>
      <c r="Z239" s="84" t="str">
        <f>HYPERLINK("https://twitter.com/indiadidac/status/1353962468263878659")</f>
        <v>https://twitter.com/indiadidac/status/1353962468263878659</v>
      </c>
      <c r="AA239" s="80"/>
      <c r="AB239" s="80"/>
      <c r="AC239" s="88" t="s">
        <v>756</v>
      </c>
      <c r="AD239" s="80"/>
      <c r="AE239" s="80" t="b">
        <v>0</v>
      </c>
      <c r="AF239" s="80">
        <v>2</v>
      </c>
      <c r="AG239" s="88" t="s">
        <v>763</v>
      </c>
      <c r="AH239" s="80" t="b">
        <v>0</v>
      </c>
      <c r="AI239" s="80" t="s">
        <v>764</v>
      </c>
      <c r="AJ239" s="80"/>
      <c r="AK239" s="88" t="s">
        <v>763</v>
      </c>
      <c r="AL239" s="80" t="b">
        <v>0</v>
      </c>
      <c r="AM239" s="80">
        <v>0</v>
      </c>
      <c r="AN239" s="88" t="s">
        <v>763</v>
      </c>
      <c r="AO239" s="80" t="s">
        <v>765</v>
      </c>
      <c r="AP239" s="80" t="b">
        <v>0</v>
      </c>
      <c r="AQ239" s="88" t="s">
        <v>756</v>
      </c>
      <c r="AR239" s="80" t="s">
        <v>197</v>
      </c>
      <c r="AS239" s="80">
        <v>0</v>
      </c>
      <c r="AT239" s="80">
        <v>0</v>
      </c>
      <c r="AU239" s="80"/>
      <c r="AV239" s="80"/>
      <c r="AW239" s="80"/>
      <c r="AX239" s="80"/>
      <c r="AY239" s="80"/>
      <c r="AZ239" s="80"/>
      <c r="BA239" s="80"/>
      <c r="BB239" s="80"/>
      <c r="BC239">
        <v>20</v>
      </c>
      <c r="BD239" s="79" t="str">
        <f>REPLACE(INDEX(GroupVertices[Group],MATCH(Edges[[#This Row],[Vertex 1]],GroupVertices[Vertex],0)),1,1,"")</f>
        <v>1</v>
      </c>
      <c r="BE239" s="79" t="str">
        <f>REPLACE(INDEX(GroupVertices[Group],MATCH(Edges[[#This Row],[Vertex 2]],GroupVertices[Vertex],0)),1,1,"")</f>
        <v>1</v>
      </c>
      <c r="BF239" s="49">
        <v>3</v>
      </c>
      <c r="BG239" s="50">
        <v>12</v>
      </c>
      <c r="BH239" s="49">
        <v>0</v>
      </c>
      <c r="BI239" s="50">
        <v>0</v>
      </c>
      <c r="BJ239" s="49">
        <v>0</v>
      </c>
      <c r="BK239" s="50">
        <v>0</v>
      </c>
      <c r="BL239" s="49">
        <v>22</v>
      </c>
      <c r="BM239" s="50">
        <v>88</v>
      </c>
      <c r="BN239" s="49">
        <v>25</v>
      </c>
    </row>
    <row r="240" spans="1:66" ht="15">
      <c r="A240" s="65" t="s">
        <v>271</v>
      </c>
      <c r="B240" s="65" t="s">
        <v>271</v>
      </c>
      <c r="C240" s="66" t="s">
        <v>2157</v>
      </c>
      <c r="D240" s="67">
        <v>10</v>
      </c>
      <c r="E240" s="66" t="s">
        <v>136</v>
      </c>
      <c r="F240" s="69">
        <v>6</v>
      </c>
      <c r="G240" s="66"/>
      <c r="H240" s="70"/>
      <c r="I240" s="71"/>
      <c r="J240" s="71"/>
      <c r="K240" s="35" t="s">
        <v>65</v>
      </c>
      <c r="L240" s="72">
        <v>240</v>
      </c>
      <c r="M240" s="72"/>
      <c r="N240" s="73"/>
      <c r="O240" s="80" t="s">
        <v>197</v>
      </c>
      <c r="P240" s="82">
        <v>44222.357256944444</v>
      </c>
      <c r="Q240" s="80" t="s">
        <v>437</v>
      </c>
      <c r="R240" s="80"/>
      <c r="S240" s="80"/>
      <c r="T240" s="80" t="s">
        <v>450</v>
      </c>
      <c r="U240" s="84" t="str">
        <f>HYPERLINK("https://pbs.twimg.com/media/EspR1JnVEAMMk3C.jpg")</f>
        <v>https://pbs.twimg.com/media/EspR1JnVEAMMk3C.jpg</v>
      </c>
      <c r="V240" s="84" t="str">
        <f>HYPERLINK("https://pbs.twimg.com/media/EspR1JnVEAMMk3C.jpg")</f>
        <v>https://pbs.twimg.com/media/EspR1JnVEAMMk3C.jpg</v>
      </c>
      <c r="W240" s="82">
        <v>44222.357256944444</v>
      </c>
      <c r="X240" s="86">
        <v>44222</v>
      </c>
      <c r="Y240" s="88" t="s">
        <v>606</v>
      </c>
      <c r="Z240" s="84" t="str">
        <f>HYPERLINK("https://twitter.com/indiadidac/status/1353984633231208448")</f>
        <v>https://twitter.com/indiadidac/status/1353984633231208448</v>
      </c>
      <c r="AA240" s="80"/>
      <c r="AB240" s="80"/>
      <c r="AC240" s="88" t="s">
        <v>757</v>
      </c>
      <c r="AD240" s="80"/>
      <c r="AE240" s="80" t="b">
        <v>0</v>
      </c>
      <c r="AF240" s="80">
        <v>1</v>
      </c>
      <c r="AG240" s="88" t="s">
        <v>763</v>
      </c>
      <c r="AH240" s="80" t="b">
        <v>0</v>
      </c>
      <c r="AI240" s="80" t="s">
        <v>764</v>
      </c>
      <c r="AJ240" s="80"/>
      <c r="AK240" s="88" t="s">
        <v>763</v>
      </c>
      <c r="AL240" s="80" t="b">
        <v>0</v>
      </c>
      <c r="AM240" s="80">
        <v>0</v>
      </c>
      <c r="AN240" s="88" t="s">
        <v>763</v>
      </c>
      <c r="AO240" s="80" t="s">
        <v>768</v>
      </c>
      <c r="AP240" s="80" t="b">
        <v>0</v>
      </c>
      <c r="AQ240" s="88" t="s">
        <v>757</v>
      </c>
      <c r="AR240" s="80" t="s">
        <v>197</v>
      </c>
      <c r="AS240" s="80">
        <v>0</v>
      </c>
      <c r="AT240" s="80">
        <v>0</v>
      </c>
      <c r="AU240" s="80"/>
      <c r="AV240" s="80"/>
      <c r="AW240" s="80"/>
      <c r="AX240" s="80"/>
      <c r="AY240" s="80"/>
      <c r="AZ240" s="80"/>
      <c r="BA240" s="80"/>
      <c r="BB240" s="80"/>
      <c r="BC240">
        <v>20</v>
      </c>
      <c r="BD240" s="79" t="str">
        <f>REPLACE(INDEX(GroupVertices[Group],MATCH(Edges[[#This Row],[Vertex 1]],GroupVertices[Vertex],0)),1,1,"")</f>
        <v>1</v>
      </c>
      <c r="BE240" s="79" t="str">
        <f>REPLACE(INDEX(GroupVertices[Group],MATCH(Edges[[#This Row],[Vertex 2]],GroupVertices[Vertex],0)),1,1,"")</f>
        <v>1</v>
      </c>
      <c r="BF240" s="49">
        <v>2</v>
      </c>
      <c r="BG240" s="50">
        <v>5</v>
      </c>
      <c r="BH240" s="49">
        <v>0</v>
      </c>
      <c r="BI240" s="50">
        <v>0</v>
      </c>
      <c r="BJ240" s="49">
        <v>0</v>
      </c>
      <c r="BK240" s="50">
        <v>0</v>
      </c>
      <c r="BL240" s="49">
        <v>38</v>
      </c>
      <c r="BM240" s="50">
        <v>95</v>
      </c>
      <c r="BN240" s="49">
        <v>40</v>
      </c>
    </row>
    <row r="241" spans="1:66" ht="15">
      <c r="A241" s="65" t="s">
        <v>292</v>
      </c>
      <c r="B241" s="65" t="s">
        <v>271</v>
      </c>
      <c r="C241" s="66" t="s">
        <v>2153</v>
      </c>
      <c r="D241" s="67">
        <v>3</v>
      </c>
      <c r="E241" s="66" t="s">
        <v>132</v>
      </c>
      <c r="F241" s="69">
        <v>32</v>
      </c>
      <c r="G241" s="66"/>
      <c r="H241" s="70"/>
      <c r="I241" s="71"/>
      <c r="J241" s="71"/>
      <c r="K241" s="35" t="s">
        <v>66</v>
      </c>
      <c r="L241" s="72">
        <v>241</v>
      </c>
      <c r="M241" s="72"/>
      <c r="N241" s="73"/>
      <c r="O241" s="80" t="s">
        <v>351</v>
      </c>
      <c r="P241" s="82">
        <v>44222.38034722222</v>
      </c>
      <c r="Q241" s="80" t="s">
        <v>412</v>
      </c>
      <c r="R241" s="84" t="str">
        <f>HYPERLINK("https://www.tiess.online/registration?utm_source=Partners&amp;utm_medium=All&amp;utm_campaign=TIESS&amp;utm_term=039")</f>
        <v>https://www.tiess.online/registration?utm_source=Partners&amp;utm_medium=All&amp;utm_campaign=TIESS&amp;utm_term=039</v>
      </c>
      <c r="S241" s="80" t="s">
        <v>444</v>
      </c>
      <c r="T241" s="80" t="s">
        <v>449</v>
      </c>
      <c r="U241" s="84" t="str">
        <f>HYPERLINK("https://pbs.twimg.com/media/EsjncMMVkAEjEeJ.jpg")</f>
        <v>https://pbs.twimg.com/media/EsjncMMVkAEjEeJ.jpg</v>
      </c>
      <c r="V241" s="84" t="str">
        <f>HYPERLINK("https://pbs.twimg.com/media/EsjncMMVkAEjEeJ.jpg")</f>
        <v>https://pbs.twimg.com/media/EsjncMMVkAEjEeJ.jpg</v>
      </c>
      <c r="W241" s="82">
        <v>44222.38034722222</v>
      </c>
      <c r="X241" s="86">
        <v>44222</v>
      </c>
      <c r="Y241" s="88" t="s">
        <v>568</v>
      </c>
      <c r="Z241" s="84" t="str">
        <f>HYPERLINK("https://twitter.com/shaireshef/status/1353993003128545281")</f>
        <v>https://twitter.com/shaireshef/status/1353993003128545281</v>
      </c>
      <c r="AA241" s="80"/>
      <c r="AB241" s="80"/>
      <c r="AC241" s="88" t="s">
        <v>719</v>
      </c>
      <c r="AD241" s="80"/>
      <c r="AE241" s="80" t="b">
        <v>0</v>
      </c>
      <c r="AF241" s="80">
        <v>0</v>
      </c>
      <c r="AG241" s="88" t="s">
        <v>763</v>
      </c>
      <c r="AH241" s="80" t="b">
        <v>0</v>
      </c>
      <c r="AI241" s="80" t="s">
        <v>764</v>
      </c>
      <c r="AJ241" s="80"/>
      <c r="AK241" s="88" t="s">
        <v>763</v>
      </c>
      <c r="AL241" s="80" t="b">
        <v>0</v>
      </c>
      <c r="AM241" s="80">
        <v>1</v>
      </c>
      <c r="AN241" s="88" t="s">
        <v>718</v>
      </c>
      <c r="AO241" s="80" t="s">
        <v>765</v>
      </c>
      <c r="AP241" s="80" t="b">
        <v>0</v>
      </c>
      <c r="AQ241" s="88" t="s">
        <v>718</v>
      </c>
      <c r="AR241" s="80" t="s">
        <v>197</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1</v>
      </c>
      <c r="BF241" s="49"/>
      <c r="BG241" s="50"/>
      <c r="BH241" s="49"/>
      <c r="BI241" s="50"/>
      <c r="BJ241" s="49"/>
      <c r="BK241" s="50"/>
      <c r="BL241" s="49"/>
      <c r="BM241" s="50"/>
      <c r="BN241" s="49"/>
    </row>
    <row r="242" spans="1:66" ht="15">
      <c r="A242" s="65" t="s">
        <v>300</v>
      </c>
      <c r="B242" s="65" t="s">
        <v>271</v>
      </c>
      <c r="C242" s="66" t="s">
        <v>2153</v>
      </c>
      <c r="D242" s="67">
        <v>3</v>
      </c>
      <c r="E242" s="66" t="s">
        <v>132</v>
      </c>
      <c r="F242" s="69">
        <v>32</v>
      </c>
      <c r="G242" s="66"/>
      <c r="H242" s="70"/>
      <c r="I242" s="71"/>
      <c r="J242" s="71"/>
      <c r="K242" s="35" t="s">
        <v>66</v>
      </c>
      <c r="L242" s="72">
        <v>242</v>
      </c>
      <c r="M242" s="72"/>
      <c r="N242" s="73"/>
      <c r="O242" s="80" t="s">
        <v>353</v>
      </c>
      <c r="P242" s="82">
        <v>44222.96543981481</v>
      </c>
      <c r="Q242" s="80" t="s">
        <v>438</v>
      </c>
      <c r="R242" s="84" t="str">
        <f>HYPERLINK("https://www.tiess.online/registration?utm_source=SM&amp;utm_medium=Swaroop&amp;utm_campaign=TIESS&amp;utm_term=015")</f>
        <v>https://www.tiess.online/registration?utm_source=SM&amp;utm_medium=Swaroop&amp;utm_campaign=TIESS&amp;utm_term=015</v>
      </c>
      <c r="S242" s="80" t="s">
        <v>444</v>
      </c>
      <c r="T242" s="80" t="s">
        <v>450</v>
      </c>
      <c r="U242" s="84" t="str">
        <f>HYPERLINK("https://pbs.twimg.com/media/EssY91zU0AAwEQb.jpg")</f>
        <v>https://pbs.twimg.com/media/EssY91zU0AAwEQb.jpg</v>
      </c>
      <c r="V242" s="84" t="str">
        <f>HYPERLINK("https://pbs.twimg.com/media/EssY91zU0AAwEQb.jpg")</f>
        <v>https://pbs.twimg.com/media/EssY91zU0AAwEQb.jpg</v>
      </c>
      <c r="W242" s="82">
        <v>44222.96543981481</v>
      </c>
      <c r="X242" s="86">
        <v>44222</v>
      </c>
      <c r="Y242" s="88" t="s">
        <v>607</v>
      </c>
      <c r="Z242" s="84" t="str">
        <f>HYPERLINK("https://twitter.com/gen_global_/status/1354205033919770626")</f>
        <v>https://twitter.com/gen_global_/status/1354205033919770626</v>
      </c>
      <c r="AA242" s="80"/>
      <c r="AB242" s="80"/>
      <c r="AC242" s="88" t="s">
        <v>758</v>
      </c>
      <c r="AD242" s="80"/>
      <c r="AE242" s="80" t="b">
        <v>0</v>
      </c>
      <c r="AF242" s="80">
        <v>0</v>
      </c>
      <c r="AG242" s="88" t="s">
        <v>763</v>
      </c>
      <c r="AH242" s="80" t="b">
        <v>0</v>
      </c>
      <c r="AI242" s="80" t="s">
        <v>764</v>
      </c>
      <c r="AJ242" s="80"/>
      <c r="AK242" s="88" t="s">
        <v>763</v>
      </c>
      <c r="AL242" s="80" t="b">
        <v>0</v>
      </c>
      <c r="AM242" s="80">
        <v>0</v>
      </c>
      <c r="AN242" s="88" t="s">
        <v>763</v>
      </c>
      <c r="AO242" s="80" t="s">
        <v>765</v>
      </c>
      <c r="AP242" s="80" t="b">
        <v>0</v>
      </c>
      <c r="AQ242" s="88" t="s">
        <v>758</v>
      </c>
      <c r="AR242" s="80" t="s">
        <v>197</v>
      </c>
      <c r="AS242" s="80">
        <v>0</v>
      </c>
      <c r="AT242" s="80">
        <v>0</v>
      </c>
      <c r="AU242" s="80"/>
      <c r="AV242" s="80"/>
      <c r="AW242" s="80"/>
      <c r="AX242" s="80"/>
      <c r="AY242" s="80"/>
      <c r="AZ242" s="80"/>
      <c r="BA242" s="80"/>
      <c r="BB242" s="80"/>
      <c r="BC242">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300</v>
      </c>
      <c r="B243" s="65" t="s">
        <v>350</v>
      </c>
      <c r="C243" s="66" t="s">
        <v>2153</v>
      </c>
      <c r="D243" s="67">
        <v>3</v>
      </c>
      <c r="E243" s="66" t="s">
        <v>132</v>
      </c>
      <c r="F243" s="69">
        <v>32</v>
      </c>
      <c r="G243" s="66"/>
      <c r="H243" s="70"/>
      <c r="I243" s="71"/>
      <c r="J243" s="71"/>
      <c r="K243" s="35" t="s">
        <v>65</v>
      </c>
      <c r="L243" s="72">
        <v>243</v>
      </c>
      <c r="M243" s="72"/>
      <c r="N243" s="73"/>
      <c r="O243" s="80" t="s">
        <v>353</v>
      </c>
      <c r="P243" s="82">
        <v>44222.96543981481</v>
      </c>
      <c r="Q243" s="80" t="s">
        <v>438</v>
      </c>
      <c r="R243" s="84" t="str">
        <f>HYPERLINK("https://www.tiess.online/registration?utm_source=SM&amp;utm_medium=Swaroop&amp;utm_campaign=TIESS&amp;utm_term=015")</f>
        <v>https://www.tiess.online/registration?utm_source=SM&amp;utm_medium=Swaroop&amp;utm_campaign=TIESS&amp;utm_term=015</v>
      </c>
      <c r="S243" s="80" t="s">
        <v>444</v>
      </c>
      <c r="T243" s="80" t="s">
        <v>450</v>
      </c>
      <c r="U243" s="84" t="str">
        <f>HYPERLINK("https://pbs.twimg.com/media/EssY91zU0AAwEQb.jpg")</f>
        <v>https://pbs.twimg.com/media/EssY91zU0AAwEQb.jpg</v>
      </c>
      <c r="V243" s="84" t="str">
        <f>HYPERLINK("https://pbs.twimg.com/media/EssY91zU0AAwEQb.jpg")</f>
        <v>https://pbs.twimg.com/media/EssY91zU0AAwEQb.jpg</v>
      </c>
      <c r="W243" s="82">
        <v>44222.96543981481</v>
      </c>
      <c r="X243" s="86">
        <v>44222</v>
      </c>
      <c r="Y243" s="88" t="s">
        <v>607</v>
      </c>
      <c r="Z243" s="84" t="str">
        <f>HYPERLINK("https://twitter.com/gen_global_/status/1354205033919770626")</f>
        <v>https://twitter.com/gen_global_/status/1354205033919770626</v>
      </c>
      <c r="AA243" s="80"/>
      <c r="AB243" s="80"/>
      <c r="AC243" s="88" t="s">
        <v>758</v>
      </c>
      <c r="AD243" s="80"/>
      <c r="AE243" s="80" t="b">
        <v>0</v>
      </c>
      <c r="AF243" s="80">
        <v>0</v>
      </c>
      <c r="AG243" s="88" t="s">
        <v>763</v>
      </c>
      <c r="AH243" s="80" t="b">
        <v>0</v>
      </c>
      <c r="AI243" s="80" t="s">
        <v>764</v>
      </c>
      <c r="AJ243" s="80"/>
      <c r="AK243" s="88" t="s">
        <v>763</v>
      </c>
      <c r="AL243" s="80" t="b">
        <v>0</v>
      </c>
      <c r="AM243" s="80">
        <v>0</v>
      </c>
      <c r="AN243" s="88" t="s">
        <v>763</v>
      </c>
      <c r="AO243" s="80" t="s">
        <v>765</v>
      </c>
      <c r="AP243" s="80" t="b">
        <v>0</v>
      </c>
      <c r="AQ243" s="88" t="s">
        <v>758</v>
      </c>
      <c r="AR243" s="80" t="s">
        <v>197</v>
      </c>
      <c r="AS243" s="80">
        <v>0</v>
      </c>
      <c r="AT243" s="80">
        <v>0</v>
      </c>
      <c r="AU243" s="80"/>
      <c r="AV243" s="80"/>
      <c r="AW243" s="80"/>
      <c r="AX243" s="80"/>
      <c r="AY243" s="80"/>
      <c r="AZ243" s="80"/>
      <c r="BA243" s="80"/>
      <c r="BB243" s="80"/>
      <c r="BC243">
        <v>1</v>
      </c>
      <c r="BD243" s="79" t="str">
        <f>REPLACE(INDEX(GroupVertices[Group],MATCH(Edges[[#This Row],[Vertex 1]],GroupVertices[Vertex],0)),1,1,"")</f>
        <v>1</v>
      </c>
      <c r="BE243" s="79" t="str">
        <f>REPLACE(INDEX(GroupVertices[Group],MATCH(Edges[[#This Row],[Vertex 2]],GroupVertices[Vertex],0)),1,1,"")</f>
        <v>1</v>
      </c>
      <c r="BF243" s="49">
        <v>1</v>
      </c>
      <c r="BG243" s="50">
        <v>3.125</v>
      </c>
      <c r="BH243" s="49">
        <v>0</v>
      </c>
      <c r="BI243" s="50">
        <v>0</v>
      </c>
      <c r="BJ243" s="49">
        <v>0</v>
      </c>
      <c r="BK243" s="50">
        <v>0</v>
      </c>
      <c r="BL243" s="49">
        <v>31</v>
      </c>
      <c r="BM243" s="50">
        <v>96.875</v>
      </c>
      <c r="BN243" s="49">
        <v>32</v>
      </c>
    </row>
    <row r="244" spans="1:66" ht="15">
      <c r="A244" s="65" t="s">
        <v>292</v>
      </c>
      <c r="B244" s="65" t="s">
        <v>292</v>
      </c>
      <c r="C244" s="66" t="s">
        <v>2153</v>
      </c>
      <c r="D244" s="67">
        <v>3</v>
      </c>
      <c r="E244" s="66" t="s">
        <v>132</v>
      </c>
      <c r="F244" s="69">
        <v>32</v>
      </c>
      <c r="G244" s="66"/>
      <c r="H244" s="70"/>
      <c r="I244" s="71"/>
      <c r="J244" s="71"/>
      <c r="K244" s="35" t="s">
        <v>65</v>
      </c>
      <c r="L244" s="72">
        <v>244</v>
      </c>
      <c r="M244" s="72"/>
      <c r="N244" s="73"/>
      <c r="O244" s="80" t="s">
        <v>197</v>
      </c>
      <c r="P244" s="82">
        <v>44222.654502314814</v>
      </c>
      <c r="Q244" s="80" t="s">
        <v>439</v>
      </c>
      <c r="R244" s="84" t="str">
        <f>HYPERLINK("https://www.tiess.online/registration?utm_source=SM&amp;utm_medium=Rashef&amp;utm_campaign=TIESS&amp;utm_term=020")</f>
        <v>https://www.tiess.online/registration?utm_source=SM&amp;utm_medium=Rashef&amp;utm_campaign=TIESS&amp;utm_term=020</v>
      </c>
      <c r="S244" s="80" t="s">
        <v>444</v>
      </c>
      <c r="T244" s="80" t="s">
        <v>460</v>
      </c>
      <c r="U244" s="84" t="str">
        <f>HYPERLINK("https://pbs.twimg.com/media/EsqzzLLWMAAQ7w-.jpg")</f>
        <v>https://pbs.twimg.com/media/EsqzzLLWMAAQ7w-.jpg</v>
      </c>
      <c r="V244" s="84" t="str">
        <f>HYPERLINK("https://pbs.twimg.com/media/EsqzzLLWMAAQ7w-.jpg")</f>
        <v>https://pbs.twimg.com/media/EsqzzLLWMAAQ7w-.jpg</v>
      </c>
      <c r="W244" s="82">
        <v>44222.654502314814</v>
      </c>
      <c r="X244" s="86">
        <v>44222</v>
      </c>
      <c r="Y244" s="88" t="s">
        <v>608</v>
      </c>
      <c r="Z244" s="84" t="str">
        <f>HYPERLINK("https://twitter.com/shaireshef/status/1354092352420327424")</f>
        <v>https://twitter.com/shaireshef/status/1354092352420327424</v>
      </c>
      <c r="AA244" s="80"/>
      <c r="AB244" s="80"/>
      <c r="AC244" s="88" t="s">
        <v>759</v>
      </c>
      <c r="AD244" s="80"/>
      <c r="AE244" s="80" t="b">
        <v>0</v>
      </c>
      <c r="AF244" s="80">
        <v>5</v>
      </c>
      <c r="AG244" s="88" t="s">
        <v>763</v>
      </c>
      <c r="AH244" s="80" t="b">
        <v>0</v>
      </c>
      <c r="AI244" s="80" t="s">
        <v>764</v>
      </c>
      <c r="AJ244" s="80"/>
      <c r="AK244" s="88" t="s">
        <v>763</v>
      </c>
      <c r="AL244" s="80" t="b">
        <v>0</v>
      </c>
      <c r="AM244" s="80">
        <v>2</v>
      </c>
      <c r="AN244" s="88" t="s">
        <v>763</v>
      </c>
      <c r="AO244" s="80" t="s">
        <v>765</v>
      </c>
      <c r="AP244" s="80" t="b">
        <v>0</v>
      </c>
      <c r="AQ244" s="88" t="s">
        <v>759</v>
      </c>
      <c r="AR244" s="80" t="s">
        <v>197</v>
      </c>
      <c r="AS244" s="80">
        <v>0</v>
      </c>
      <c r="AT244" s="80">
        <v>0</v>
      </c>
      <c r="AU244" s="80"/>
      <c r="AV244" s="80"/>
      <c r="AW244" s="80"/>
      <c r="AX244" s="80"/>
      <c r="AY244" s="80"/>
      <c r="AZ244" s="80"/>
      <c r="BA244" s="80"/>
      <c r="BB244" s="80"/>
      <c r="BC244">
        <v>1</v>
      </c>
      <c r="BD244" s="79" t="str">
        <f>REPLACE(INDEX(GroupVertices[Group],MATCH(Edges[[#This Row],[Vertex 1]],GroupVertices[Vertex],0)),1,1,"")</f>
        <v>2</v>
      </c>
      <c r="BE244" s="79" t="str">
        <f>REPLACE(INDEX(GroupVertices[Group],MATCH(Edges[[#This Row],[Vertex 2]],GroupVertices[Vertex],0)),1,1,"")</f>
        <v>2</v>
      </c>
      <c r="BF244" s="49">
        <v>0</v>
      </c>
      <c r="BG244" s="50">
        <v>0</v>
      </c>
      <c r="BH244" s="49">
        <v>0</v>
      </c>
      <c r="BI244" s="50">
        <v>0</v>
      </c>
      <c r="BJ244" s="49">
        <v>0</v>
      </c>
      <c r="BK244" s="50">
        <v>0</v>
      </c>
      <c r="BL244" s="49">
        <v>13</v>
      </c>
      <c r="BM244" s="50">
        <v>100</v>
      </c>
      <c r="BN244" s="49">
        <v>13</v>
      </c>
    </row>
    <row r="245" spans="1:66" ht="15">
      <c r="A245" s="65" t="s">
        <v>301</v>
      </c>
      <c r="B245" s="65" t="s">
        <v>292</v>
      </c>
      <c r="C245" s="66" t="s">
        <v>2153</v>
      </c>
      <c r="D245" s="67">
        <v>3</v>
      </c>
      <c r="E245" s="66" t="s">
        <v>132</v>
      </c>
      <c r="F245" s="69">
        <v>32</v>
      </c>
      <c r="G245" s="66"/>
      <c r="H245" s="70"/>
      <c r="I245" s="71"/>
      <c r="J245" s="71"/>
      <c r="K245" s="35" t="s">
        <v>65</v>
      </c>
      <c r="L245" s="72">
        <v>245</v>
      </c>
      <c r="M245" s="72"/>
      <c r="N245" s="73"/>
      <c r="O245" s="80" t="s">
        <v>351</v>
      </c>
      <c r="P245" s="82">
        <v>44223.05483796296</v>
      </c>
      <c r="Q245" s="80" t="s">
        <v>439</v>
      </c>
      <c r="R245" s="84" t="str">
        <f>HYPERLINK("https://www.tiess.online/registration?utm_source=SM&amp;utm_medium=Rashef&amp;utm_campaign=TIESS&amp;utm_term=020")</f>
        <v>https://www.tiess.online/registration?utm_source=SM&amp;utm_medium=Rashef&amp;utm_campaign=TIESS&amp;utm_term=020</v>
      </c>
      <c r="S245" s="80" t="s">
        <v>444</v>
      </c>
      <c r="T245" s="80" t="s">
        <v>460</v>
      </c>
      <c r="U245" s="84" t="str">
        <f>HYPERLINK("https://pbs.twimg.com/media/EsqzzLLWMAAQ7w-.jpg")</f>
        <v>https://pbs.twimg.com/media/EsqzzLLWMAAQ7w-.jpg</v>
      </c>
      <c r="V245" s="84" t="str">
        <f>HYPERLINK("https://pbs.twimg.com/media/EsqzzLLWMAAQ7w-.jpg")</f>
        <v>https://pbs.twimg.com/media/EsqzzLLWMAAQ7w-.jpg</v>
      </c>
      <c r="W245" s="82">
        <v>44223.05483796296</v>
      </c>
      <c r="X245" s="86">
        <v>44223</v>
      </c>
      <c r="Y245" s="88" t="s">
        <v>609</v>
      </c>
      <c r="Z245" s="84" t="str">
        <f>HYPERLINK("https://twitter.com/diakonstefanos/status/1354237429079707650")</f>
        <v>https://twitter.com/diakonstefanos/status/1354237429079707650</v>
      </c>
      <c r="AA245" s="80"/>
      <c r="AB245" s="80"/>
      <c r="AC245" s="88" t="s">
        <v>760</v>
      </c>
      <c r="AD245" s="80"/>
      <c r="AE245" s="80" t="b">
        <v>0</v>
      </c>
      <c r="AF245" s="80">
        <v>0</v>
      </c>
      <c r="AG245" s="88" t="s">
        <v>763</v>
      </c>
      <c r="AH245" s="80" t="b">
        <v>0</v>
      </c>
      <c r="AI245" s="80" t="s">
        <v>764</v>
      </c>
      <c r="AJ245" s="80"/>
      <c r="AK245" s="88" t="s">
        <v>763</v>
      </c>
      <c r="AL245" s="80" t="b">
        <v>0</v>
      </c>
      <c r="AM245" s="80">
        <v>2</v>
      </c>
      <c r="AN245" s="88" t="s">
        <v>759</v>
      </c>
      <c r="AO245" s="80" t="s">
        <v>765</v>
      </c>
      <c r="AP245" s="80" t="b">
        <v>0</v>
      </c>
      <c r="AQ245" s="88" t="s">
        <v>759</v>
      </c>
      <c r="AR245" s="80" t="s">
        <v>197</v>
      </c>
      <c r="AS245" s="80">
        <v>0</v>
      </c>
      <c r="AT245" s="80">
        <v>0</v>
      </c>
      <c r="AU245" s="80"/>
      <c r="AV245" s="80"/>
      <c r="AW245" s="80"/>
      <c r="AX245" s="80"/>
      <c r="AY245" s="80"/>
      <c r="AZ245" s="80"/>
      <c r="BA245" s="80"/>
      <c r="BB245" s="80"/>
      <c r="BC245">
        <v>1</v>
      </c>
      <c r="BD245" s="79" t="str">
        <f>REPLACE(INDEX(GroupVertices[Group],MATCH(Edges[[#This Row],[Vertex 1]],GroupVertices[Vertex],0)),1,1,"")</f>
        <v>2</v>
      </c>
      <c r="BE245" s="79" t="str">
        <f>REPLACE(INDEX(GroupVertices[Group],MATCH(Edges[[#This Row],[Vertex 2]],GroupVertices[Vertex],0)),1,1,"")</f>
        <v>2</v>
      </c>
      <c r="BF245" s="49">
        <v>0</v>
      </c>
      <c r="BG245" s="50">
        <v>0</v>
      </c>
      <c r="BH245" s="49">
        <v>0</v>
      </c>
      <c r="BI245" s="50">
        <v>0</v>
      </c>
      <c r="BJ245" s="49">
        <v>0</v>
      </c>
      <c r="BK245" s="50">
        <v>0</v>
      </c>
      <c r="BL245" s="49">
        <v>13</v>
      </c>
      <c r="BM245" s="50">
        <v>100</v>
      </c>
      <c r="BN245" s="49">
        <v>13</v>
      </c>
    </row>
    <row r="246" spans="1:66" ht="15">
      <c r="A246" s="65" t="s">
        <v>302</v>
      </c>
      <c r="B246" s="65" t="s">
        <v>302</v>
      </c>
      <c r="C246" s="66" t="s">
        <v>2153</v>
      </c>
      <c r="D246" s="67">
        <v>3</v>
      </c>
      <c r="E246" s="66" t="s">
        <v>132</v>
      </c>
      <c r="F246" s="69">
        <v>32</v>
      </c>
      <c r="G246" s="66"/>
      <c r="H246" s="70"/>
      <c r="I246" s="71"/>
      <c r="J246" s="71"/>
      <c r="K246" s="35" t="s">
        <v>65</v>
      </c>
      <c r="L246" s="72">
        <v>246</v>
      </c>
      <c r="M246" s="72"/>
      <c r="N246" s="73"/>
      <c r="O246" s="80" t="s">
        <v>197</v>
      </c>
      <c r="P246" s="82">
        <v>44223.07519675926</v>
      </c>
      <c r="Q246" s="80" t="s">
        <v>440</v>
      </c>
      <c r="R246" s="84" t="str">
        <f>HYPERLINK("https://www.tiess.online")</f>
        <v>https://www.tiess.online</v>
      </c>
      <c r="S246" s="80" t="s">
        <v>444</v>
      </c>
      <c r="T246" s="80" t="s">
        <v>451</v>
      </c>
      <c r="U246" s="84" t="str">
        <f>HYPERLINK("https://pbs.twimg.com/media/Ess-ec-W4AAHvDb.jpg")</f>
        <v>https://pbs.twimg.com/media/Ess-ec-W4AAHvDb.jpg</v>
      </c>
      <c r="V246" s="84" t="str">
        <f>HYPERLINK("https://pbs.twimg.com/media/Ess-ec-W4AAHvDb.jpg")</f>
        <v>https://pbs.twimg.com/media/Ess-ec-W4AAHvDb.jpg</v>
      </c>
      <c r="W246" s="82">
        <v>44223.07519675926</v>
      </c>
      <c r="X246" s="86">
        <v>44223</v>
      </c>
      <c r="Y246" s="88" t="s">
        <v>610</v>
      </c>
      <c r="Z246" s="84" t="str">
        <f>HYPERLINK("https://twitter.com/sambeckertweets/status/1354244808706031618")</f>
        <v>https://twitter.com/sambeckertweets/status/1354244808706031618</v>
      </c>
      <c r="AA246" s="80"/>
      <c r="AB246" s="80"/>
      <c r="AC246" s="88" t="s">
        <v>761</v>
      </c>
      <c r="AD246" s="80"/>
      <c r="AE246" s="80" t="b">
        <v>0</v>
      </c>
      <c r="AF246" s="80">
        <v>1</v>
      </c>
      <c r="AG246" s="88" t="s">
        <v>763</v>
      </c>
      <c r="AH246" s="80" t="b">
        <v>0</v>
      </c>
      <c r="AI246" s="80" t="s">
        <v>764</v>
      </c>
      <c r="AJ246" s="80"/>
      <c r="AK246" s="88" t="s">
        <v>763</v>
      </c>
      <c r="AL246" s="80" t="b">
        <v>0</v>
      </c>
      <c r="AM246" s="80">
        <v>0</v>
      </c>
      <c r="AN246" s="88" t="s">
        <v>763</v>
      </c>
      <c r="AO246" s="80" t="s">
        <v>767</v>
      </c>
      <c r="AP246" s="80" t="b">
        <v>0</v>
      </c>
      <c r="AQ246" s="88" t="s">
        <v>761</v>
      </c>
      <c r="AR246" s="80" t="s">
        <v>197</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9">
        <v>0</v>
      </c>
      <c r="BG246" s="50">
        <v>0</v>
      </c>
      <c r="BH246" s="49">
        <v>0</v>
      </c>
      <c r="BI246" s="50">
        <v>0</v>
      </c>
      <c r="BJ246" s="49">
        <v>0</v>
      </c>
      <c r="BK246" s="50">
        <v>0</v>
      </c>
      <c r="BL246" s="49">
        <v>44</v>
      </c>
      <c r="BM246" s="50">
        <v>100</v>
      </c>
      <c r="BN246"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ErrorMessage="1" sqref="N2:N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Color" prompt="To select an optional edge color, right-click and select Select Color on the right-click menu." sqref="C3:C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Opacity" prompt="Enter an optional edge opacity between 0 (transparent) and 100 (opaque)." errorTitle="Invalid Edge Opacity" error="The optional edge opacity must be a whole number between 0 and 10." sqref="F3:F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showErrorMessage="1" promptTitle="Vertex 1 Name" prompt="Enter the name of the edge's first vertex." sqref="A3:A246"/>
    <dataValidation allowBlank="1" showInputMessage="1" showErrorMessage="1" promptTitle="Vertex 2 Name" prompt="Enter the name of the edge's second vertex." sqref="B3:B246"/>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8FB7-66DC-49B0-BC1C-43AE9F4D0649}">
  <dimension ref="A1:L106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2064</v>
      </c>
      <c r="B1" s="13" t="s">
        <v>2065</v>
      </c>
      <c r="C1" s="13" t="s">
        <v>2055</v>
      </c>
      <c r="D1" s="13" t="s">
        <v>2059</v>
      </c>
      <c r="E1" s="13" t="s">
        <v>2066</v>
      </c>
      <c r="F1" s="13" t="s">
        <v>144</v>
      </c>
      <c r="G1" s="13" t="s">
        <v>2067</v>
      </c>
      <c r="H1" s="13" t="s">
        <v>2068</v>
      </c>
      <c r="I1" s="13" t="s">
        <v>2069</v>
      </c>
      <c r="J1" s="13" t="s">
        <v>2070</v>
      </c>
      <c r="K1" s="13" t="s">
        <v>2071</v>
      </c>
      <c r="L1" s="13" t="s">
        <v>2072</v>
      </c>
    </row>
    <row r="2" spans="1:12" ht="15">
      <c r="A2" s="87" t="s">
        <v>1455</v>
      </c>
      <c r="B2" s="87" t="s">
        <v>1457</v>
      </c>
      <c r="C2" s="87">
        <v>113</v>
      </c>
      <c r="D2" s="110">
        <v>0.0041953792186675675</v>
      </c>
      <c r="E2" s="110">
        <v>1.4067412892506552</v>
      </c>
      <c r="F2" s="87" t="s">
        <v>2060</v>
      </c>
      <c r="G2" s="87" t="b">
        <v>0</v>
      </c>
      <c r="H2" s="87" t="b">
        <v>0</v>
      </c>
      <c r="I2" s="87" t="b">
        <v>0</v>
      </c>
      <c r="J2" s="87" t="b">
        <v>0</v>
      </c>
      <c r="K2" s="87" t="b">
        <v>0</v>
      </c>
      <c r="L2" s="87" t="b">
        <v>0</v>
      </c>
    </row>
    <row r="3" spans="1:12" ht="15">
      <c r="A3" s="88" t="s">
        <v>1457</v>
      </c>
      <c r="B3" s="87" t="s">
        <v>1454</v>
      </c>
      <c r="C3" s="87">
        <v>93</v>
      </c>
      <c r="D3" s="110">
        <v>0.005772911201046532</v>
      </c>
      <c r="E3" s="110">
        <v>1.3632178173507614</v>
      </c>
      <c r="F3" s="87" t="s">
        <v>2060</v>
      </c>
      <c r="G3" s="87" t="b">
        <v>0</v>
      </c>
      <c r="H3" s="87" t="b">
        <v>0</v>
      </c>
      <c r="I3" s="87" t="b">
        <v>0</v>
      </c>
      <c r="J3" s="87" t="b">
        <v>0</v>
      </c>
      <c r="K3" s="87" t="b">
        <v>0</v>
      </c>
      <c r="L3" s="87" t="b">
        <v>0</v>
      </c>
    </row>
    <row r="4" spans="1:12" ht="15">
      <c r="A4" s="88" t="s">
        <v>1454</v>
      </c>
      <c r="B4" s="87" t="s">
        <v>1458</v>
      </c>
      <c r="C4" s="87">
        <v>92</v>
      </c>
      <c r="D4" s="110">
        <v>0.006361979744369234</v>
      </c>
      <c r="E4" s="110">
        <v>1.5374171566069135</v>
      </c>
      <c r="F4" s="87" t="s">
        <v>2060</v>
      </c>
      <c r="G4" s="87" t="b">
        <v>0</v>
      </c>
      <c r="H4" s="87" t="b">
        <v>0</v>
      </c>
      <c r="I4" s="87" t="b">
        <v>0</v>
      </c>
      <c r="J4" s="87" t="b">
        <v>0</v>
      </c>
      <c r="K4" s="87" t="b">
        <v>0</v>
      </c>
      <c r="L4" s="87" t="b">
        <v>0</v>
      </c>
    </row>
    <row r="5" spans="1:12" ht="15">
      <c r="A5" s="88" t="s">
        <v>1456</v>
      </c>
      <c r="B5" s="87" t="s">
        <v>1460</v>
      </c>
      <c r="C5" s="87">
        <v>54</v>
      </c>
      <c r="D5" s="110">
        <v>0.007111616668649617</v>
      </c>
      <c r="E5" s="110">
        <v>1.422868735717255</v>
      </c>
      <c r="F5" s="87" t="s">
        <v>2060</v>
      </c>
      <c r="G5" s="87" t="b">
        <v>0</v>
      </c>
      <c r="H5" s="87" t="b">
        <v>0</v>
      </c>
      <c r="I5" s="87" t="b">
        <v>0</v>
      </c>
      <c r="J5" s="87" t="b">
        <v>0</v>
      </c>
      <c r="K5" s="87" t="b">
        <v>0</v>
      </c>
      <c r="L5" s="87" t="b">
        <v>0</v>
      </c>
    </row>
    <row r="6" spans="1:12" ht="15">
      <c r="A6" s="88" t="s">
        <v>1437</v>
      </c>
      <c r="B6" s="87" t="s">
        <v>1446</v>
      </c>
      <c r="C6" s="87">
        <v>52</v>
      </c>
      <c r="D6" s="110">
        <v>0.007360767040333775</v>
      </c>
      <c r="E6" s="110">
        <v>1.1376330072365055</v>
      </c>
      <c r="F6" s="87" t="s">
        <v>2060</v>
      </c>
      <c r="G6" s="87" t="b">
        <v>0</v>
      </c>
      <c r="H6" s="87" t="b">
        <v>0</v>
      </c>
      <c r="I6" s="87" t="b">
        <v>0</v>
      </c>
      <c r="J6" s="87" t="b">
        <v>0</v>
      </c>
      <c r="K6" s="87" t="b">
        <v>0</v>
      </c>
      <c r="L6" s="87" t="b">
        <v>0</v>
      </c>
    </row>
    <row r="7" spans="1:12" ht="15">
      <c r="A7" s="88" t="s">
        <v>1446</v>
      </c>
      <c r="B7" s="87" t="s">
        <v>1819</v>
      </c>
      <c r="C7" s="87">
        <v>45</v>
      </c>
      <c r="D7" s="110">
        <v>0.006977115750015381</v>
      </c>
      <c r="E7" s="110">
        <v>1.7208076544040942</v>
      </c>
      <c r="F7" s="87" t="s">
        <v>2060</v>
      </c>
      <c r="G7" s="87" t="b">
        <v>0</v>
      </c>
      <c r="H7" s="87" t="b">
        <v>0</v>
      </c>
      <c r="I7" s="87" t="b">
        <v>0</v>
      </c>
      <c r="J7" s="87" t="b">
        <v>0</v>
      </c>
      <c r="K7" s="87" t="b">
        <v>0</v>
      </c>
      <c r="L7" s="87" t="b">
        <v>0</v>
      </c>
    </row>
    <row r="8" spans="1:12" ht="15">
      <c r="A8" s="88" t="s">
        <v>1459</v>
      </c>
      <c r="B8" s="87" t="s">
        <v>1437</v>
      </c>
      <c r="C8" s="87">
        <v>43</v>
      </c>
      <c r="D8" s="110">
        <v>0.006917388718278994</v>
      </c>
      <c r="E8" s="110">
        <v>1.04062029581267</v>
      </c>
      <c r="F8" s="87" t="s">
        <v>2060</v>
      </c>
      <c r="G8" s="87" t="b">
        <v>0</v>
      </c>
      <c r="H8" s="87" t="b">
        <v>0</v>
      </c>
      <c r="I8" s="87" t="b">
        <v>0</v>
      </c>
      <c r="J8" s="87" t="b">
        <v>0</v>
      </c>
      <c r="K8" s="87" t="b">
        <v>0</v>
      </c>
      <c r="L8" s="87" t="b">
        <v>0</v>
      </c>
    </row>
    <row r="9" spans="1:12" ht="15">
      <c r="A9" s="88" t="s">
        <v>1513</v>
      </c>
      <c r="B9" s="87" t="s">
        <v>1822</v>
      </c>
      <c r="C9" s="87">
        <v>38</v>
      </c>
      <c r="D9" s="110">
        <v>0.006714640909968049</v>
      </c>
      <c r="E9" s="110">
        <v>1.8647608933839512</v>
      </c>
      <c r="F9" s="87" t="s">
        <v>2060</v>
      </c>
      <c r="G9" s="87" t="b">
        <v>0</v>
      </c>
      <c r="H9" s="87" t="b">
        <v>0</v>
      </c>
      <c r="I9" s="87" t="b">
        <v>0</v>
      </c>
      <c r="J9" s="87" t="b">
        <v>0</v>
      </c>
      <c r="K9" s="87" t="b">
        <v>0</v>
      </c>
      <c r="L9" s="87" t="b">
        <v>0</v>
      </c>
    </row>
    <row r="10" spans="1:12" ht="15">
      <c r="A10" s="88" t="s">
        <v>1820</v>
      </c>
      <c r="B10" s="87" t="s">
        <v>1459</v>
      </c>
      <c r="C10" s="87">
        <v>34</v>
      </c>
      <c r="D10" s="110">
        <v>0.006492165446337684</v>
      </c>
      <c r="E10" s="110">
        <v>1.5939362605565262</v>
      </c>
      <c r="F10" s="87" t="s">
        <v>2060</v>
      </c>
      <c r="G10" s="87" t="b">
        <v>0</v>
      </c>
      <c r="H10" s="87" t="b">
        <v>0</v>
      </c>
      <c r="I10" s="87" t="b">
        <v>0</v>
      </c>
      <c r="J10" s="87" t="b">
        <v>0</v>
      </c>
      <c r="K10" s="87" t="b">
        <v>0</v>
      </c>
      <c r="L10" s="87" t="b">
        <v>0</v>
      </c>
    </row>
    <row r="11" spans="1:12" ht="15">
      <c r="A11" s="88" t="s">
        <v>1821</v>
      </c>
      <c r="B11" s="87" t="s">
        <v>1437</v>
      </c>
      <c r="C11" s="87">
        <v>31</v>
      </c>
      <c r="D11" s="110">
        <v>0.006286072797766381</v>
      </c>
      <c r="E11" s="110">
        <v>1.040390692591936</v>
      </c>
      <c r="F11" s="87" t="s">
        <v>2060</v>
      </c>
      <c r="G11" s="87" t="b">
        <v>0</v>
      </c>
      <c r="H11" s="87" t="b">
        <v>0</v>
      </c>
      <c r="I11" s="87" t="b">
        <v>0</v>
      </c>
      <c r="J11" s="87" t="b">
        <v>0</v>
      </c>
      <c r="K11" s="87" t="b">
        <v>0</v>
      </c>
      <c r="L11" s="87" t="b">
        <v>0</v>
      </c>
    </row>
    <row r="12" spans="1:12" ht="15">
      <c r="A12" s="88" t="s">
        <v>1453</v>
      </c>
      <c r="B12" s="87" t="s">
        <v>1456</v>
      </c>
      <c r="C12" s="87">
        <v>24</v>
      </c>
      <c r="D12" s="110">
        <v>0.0056533108032903335</v>
      </c>
      <c r="E12" s="110">
        <v>0.7898689970646248</v>
      </c>
      <c r="F12" s="87" t="s">
        <v>2060</v>
      </c>
      <c r="G12" s="87" t="b">
        <v>0</v>
      </c>
      <c r="H12" s="87" t="b">
        <v>0</v>
      </c>
      <c r="I12" s="87" t="b">
        <v>0</v>
      </c>
      <c r="J12" s="87" t="b">
        <v>0</v>
      </c>
      <c r="K12" s="87" t="b">
        <v>0</v>
      </c>
      <c r="L12" s="87" t="b">
        <v>0</v>
      </c>
    </row>
    <row r="13" spans="1:12" ht="15">
      <c r="A13" s="88" t="s">
        <v>1822</v>
      </c>
      <c r="B13" s="87" t="s">
        <v>1823</v>
      </c>
      <c r="C13" s="87">
        <v>24</v>
      </c>
      <c r="D13" s="110">
        <v>0.0056533108032903335</v>
      </c>
      <c r="E13" s="110">
        <v>1.8155743972995266</v>
      </c>
      <c r="F13" s="87" t="s">
        <v>2060</v>
      </c>
      <c r="G13" s="87" t="b">
        <v>0</v>
      </c>
      <c r="H13" s="87" t="b">
        <v>0</v>
      </c>
      <c r="I13" s="87" t="b">
        <v>0</v>
      </c>
      <c r="J13" s="87" t="b">
        <v>0</v>
      </c>
      <c r="K13" s="87" t="b">
        <v>0</v>
      </c>
      <c r="L13" s="87" t="b">
        <v>0</v>
      </c>
    </row>
    <row r="14" spans="1:12" ht="15">
      <c r="A14" s="88" t="s">
        <v>1464</v>
      </c>
      <c r="B14" s="87" t="s">
        <v>1437</v>
      </c>
      <c r="C14" s="87">
        <v>23</v>
      </c>
      <c r="D14" s="110">
        <v>0.005543122842624082</v>
      </c>
      <c r="E14" s="110">
        <v>1.1070514799192241</v>
      </c>
      <c r="F14" s="87" t="s">
        <v>2060</v>
      </c>
      <c r="G14" s="87" t="b">
        <v>0</v>
      </c>
      <c r="H14" s="87" t="b">
        <v>0</v>
      </c>
      <c r="I14" s="87" t="b">
        <v>0</v>
      </c>
      <c r="J14" s="87" t="b">
        <v>0</v>
      </c>
      <c r="K14" s="87" t="b">
        <v>0</v>
      </c>
      <c r="L14" s="87" t="b">
        <v>0</v>
      </c>
    </row>
    <row r="15" spans="1:12" ht="15">
      <c r="A15" s="88" t="s">
        <v>1460</v>
      </c>
      <c r="B15" s="87" t="s">
        <v>1490</v>
      </c>
      <c r="C15" s="87">
        <v>22</v>
      </c>
      <c r="D15" s="110">
        <v>0.005427364748558299</v>
      </c>
      <c r="E15" s="110">
        <v>1.400874442011087</v>
      </c>
      <c r="F15" s="87" t="s">
        <v>2060</v>
      </c>
      <c r="G15" s="87" t="b">
        <v>0</v>
      </c>
      <c r="H15" s="87" t="b">
        <v>0</v>
      </c>
      <c r="I15" s="87" t="b">
        <v>0</v>
      </c>
      <c r="J15" s="87" t="b">
        <v>0</v>
      </c>
      <c r="K15" s="87" t="b">
        <v>0</v>
      </c>
      <c r="L15" s="87" t="b">
        <v>0</v>
      </c>
    </row>
    <row r="16" spans="1:12" ht="15">
      <c r="A16" s="88" t="s">
        <v>1437</v>
      </c>
      <c r="B16" s="87" t="s">
        <v>1469</v>
      </c>
      <c r="C16" s="87">
        <v>22</v>
      </c>
      <c r="D16" s="110">
        <v>0.005427364748558299</v>
      </c>
      <c r="E16" s="110">
        <v>0.9221204993463212</v>
      </c>
      <c r="F16" s="87" t="s">
        <v>2060</v>
      </c>
      <c r="G16" s="87" t="b">
        <v>0</v>
      </c>
      <c r="H16" s="87" t="b">
        <v>0</v>
      </c>
      <c r="I16" s="87" t="b">
        <v>0</v>
      </c>
      <c r="J16" s="87" t="b">
        <v>0</v>
      </c>
      <c r="K16" s="87" t="b">
        <v>0</v>
      </c>
      <c r="L16" s="87" t="b">
        <v>0</v>
      </c>
    </row>
    <row r="17" spans="1:12" ht="15">
      <c r="A17" s="88" t="s">
        <v>1456</v>
      </c>
      <c r="B17" s="87" t="s">
        <v>1826</v>
      </c>
      <c r="C17" s="87">
        <v>22</v>
      </c>
      <c r="D17" s="110">
        <v>0.005427364748558299</v>
      </c>
      <c r="E17" s="110">
        <v>1.4613269875364305</v>
      </c>
      <c r="F17" s="87" t="s">
        <v>2060</v>
      </c>
      <c r="G17" s="87" t="b">
        <v>0</v>
      </c>
      <c r="H17" s="87" t="b">
        <v>0</v>
      </c>
      <c r="I17" s="87" t="b">
        <v>0</v>
      </c>
      <c r="J17" s="87" t="b">
        <v>0</v>
      </c>
      <c r="K17" s="87" t="b">
        <v>0</v>
      </c>
      <c r="L17" s="87" t="b">
        <v>0</v>
      </c>
    </row>
    <row r="18" spans="1:12" ht="15">
      <c r="A18" s="88" t="s">
        <v>1456</v>
      </c>
      <c r="B18" s="87" t="s">
        <v>1827</v>
      </c>
      <c r="C18" s="87">
        <v>21</v>
      </c>
      <c r="D18" s="110">
        <v>0.0053057831624135215</v>
      </c>
      <c r="E18" s="110">
        <v>1.4613269875364305</v>
      </c>
      <c r="F18" s="87" t="s">
        <v>2060</v>
      </c>
      <c r="G18" s="87" t="b">
        <v>0</v>
      </c>
      <c r="H18" s="87" t="b">
        <v>0</v>
      </c>
      <c r="I18" s="87" t="b">
        <v>0</v>
      </c>
      <c r="J18" s="87" t="b">
        <v>0</v>
      </c>
      <c r="K18" s="87" t="b">
        <v>0</v>
      </c>
      <c r="L18" s="87" t="b">
        <v>0</v>
      </c>
    </row>
    <row r="19" spans="1:12" ht="15">
      <c r="A19" s="88" t="s">
        <v>1453</v>
      </c>
      <c r="B19" s="87" t="s">
        <v>1513</v>
      </c>
      <c r="C19" s="87">
        <v>20</v>
      </c>
      <c r="D19" s="110">
        <v>0.005178100569915589</v>
      </c>
      <c r="E19" s="110">
        <v>1.037423146915883</v>
      </c>
      <c r="F19" s="87" t="s">
        <v>2060</v>
      </c>
      <c r="G19" s="87" t="b">
        <v>0</v>
      </c>
      <c r="H19" s="87" t="b">
        <v>0</v>
      </c>
      <c r="I19" s="87" t="b">
        <v>0</v>
      </c>
      <c r="J19" s="87" t="b">
        <v>0</v>
      </c>
      <c r="K19" s="87" t="b">
        <v>0</v>
      </c>
      <c r="L19" s="87" t="b">
        <v>0</v>
      </c>
    </row>
    <row r="20" spans="1:12" ht="15">
      <c r="A20" s="88" t="s">
        <v>1516</v>
      </c>
      <c r="B20" s="87" t="s">
        <v>1456</v>
      </c>
      <c r="C20" s="87">
        <v>20</v>
      </c>
      <c r="D20" s="110">
        <v>0.005178100569915589</v>
      </c>
      <c r="E20" s="110">
        <v>1.4096577553530187</v>
      </c>
      <c r="F20" s="87" t="s">
        <v>2060</v>
      </c>
      <c r="G20" s="87" t="b">
        <v>0</v>
      </c>
      <c r="H20" s="87" t="b">
        <v>0</v>
      </c>
      <c r="I20" s="87" t="b">
        <v>0</v>
      </c>
      <c r="J20" s="87" t="b">
        <v>0</v>
      </c>
      <c r="K20" s="87" t="b">
        <v>0</v>
      </c>
      <c r="L20" s="87" t="b">
        <v>0</v>
      </c>
    </row>
    <row r="21" spans="1:12" ht="15">
      <c r="A21" s="88" t="s">
        <v>1462</v>
      </c>
      <c r="B21" s="87" t="s">
        <v>1437</v>
      </c>
      <c r="C21" s="87">
        <v>19</v>
      </c>
      <c r="D21" s="110">
        <v>0.005044011672210696</v>
      </c>
      <c r="E21" s="110">
        <v>0.7308725867024357</v>
      </c>
      <c r="F21" s="87" t="s">
        <v>2060</v>
      </c>
      <c r="G21" s="87" t="b">
        <v>0</v>
      </c>
      <c r="H21" s="87" t="b">
        <v>0</v>
      </c>
      <c r="I21" s="87" t="b">
        <v>0</v>
      </c>
      <c r="J21" s="87" t="b">
        <v>0</v>
      </c>
      <c r="K21" s="87" t="b">
        <v>0</v>
      </c>
      <c r="L21" s="87" t="b">
        <v>0</v>
      </c>
    </row>
    <row r="22" spans="1:12" ht="15">
      <c r="A22" s="88" t="s">
        <v>1823</v>
      </c>
      <c r="B22" s="87" t="s">
        <v>1820</v>
      </c>
      <c r="C22" s="87">
        <v>18</v>
      </c>
      <c r="D22" s="110">
        <v>0.004903178991276184</v>
      </c>
      <c r="E22" s="110">
        <v>1.640661685729388</v>
      </c>
      <c r="F22" s="87" t="s">
        <v>2060</v>
      </c>
      <c r="G22" s="87" t="b">
        <v>0</v>
      </c>
      <c r="H22" s="87" t="b">
        <v>0</v>
      </c>
      <c r="I22" s="87" t="b">
        <v>0</v>
      </c>
      <c r="J22" s="87" t="b">
        <v>0</v>
      </c>
      <c r="K22" s="87" t="b">
        <v>0</v>
      </c>
      <c r="L22" s="87" t="b">
        <v>0</v>
      </c>
    </row>
    <row r="23" spans="1:12" ht="15">
      <c r="A23" s="88" t="s">
        <v>1829</v>
      </c>
      <c r="B23" s="87" t="s">
        <v>1820</v>
      </c>
      <c r="C23" s="87">
        <v>17</v>
      </c>
      <c r="D23" s="110">
        <v>0.004755227496476916</v>
      </c>
      <c r="E23" s="110">
        <v>1.822963594800006</v>
      </c>
      <c r="F23" s="87" t="s">
        <v>2060</v>
      </c>
      <c r="G23" s="87" t="b">
        <v>1</v>
      </c>
      <c r="H23" s="87" t="b">
        <v>0</v>
      </c>
      <c r="I23" s="87" t="b">
        <v>0</v>
      </c>
      <c r="J23" s="87" t="b">
        <v>0</v>
      </c>
      <c r="K23" s="87" t="b">
        <v>0</v>
      </c>
      <c r="L23" s="87" t="b">
        <v>0</v>
      </c>
    </row>
    <row r="24" spans="1:12" ht="15">
      <c r="A24" s="88" t="s">
        <v>341</v>
      </c>
      <c r="B24" s="87" t="s">
        <v>1453</v>
      </c>
      <c r="C24" s="87">
        <v>17</v>
      </c>
      <c r="D24" s="110">
        <v>0.004755227496476916</v>
      </c>
      <c r="E24" s="110">
        <v>1.392299741319345</v>
      </c>
      <c r="F24" s="87" t="s">
        <v>2060</v>
      </c>
      <c r="G24" s="87" t="b">
        <v>0</v>
      </c>
      <c r="H24" s="87" t="b">
        <v>0</v>
      </c>
      <c r="I24" s="87" t="b">
        <v>0</v>
      </c>
      <c r="J24" s="87" t="b">
        <v>0</v>
      </c>
      <c r="K24" s="87" t="b">
        <v>0</v>
      </c>
      <c r="L24" s="87" t="b">
        <v>0</v>
      </c>
    </row>
    <row r="25" spans="1:12" ht="15">
      <c r="A25" s="88" t="s">
        <v>1460</v>
      </c>
      <c r="B25" s="87" t="s">
        <v>1472</v>
      </c>
      <c r="C25" s="87">
        <v>16</v>
      </c>
      <c r="D25" s="110">
        <v>0.004599737963490391</v>
      </c>
      <c r="E25" s="110">
        <v>1.5288396332495748</v>
      </c>
      <c r="F25" s="87" t="s">
        <v>2060</v>
      </c>
      <c r="G25" s="87" t="b">
        <v>0</v>
      </c>
      <c r="H25" s="87" t="b">
        <v>0</v>
      </c>
      <c r="I25" s="87" t="b">
        <v>0</v>
      </c>
      <c r="J25" s="87" t="b">
        <v>0</v>
      </c>
      <c r="K25" s="87" t="b">
        <v>0</v>
      </c>
      <c r="L25" s="87" t="b">
        <v>0</v>
      </c>
    </row>
    <row r="26" spans="1:12" ht="15">
      <c r="A26" s="88" t="s">
        <v>1819</v>
      </c>
      <c r="B26" s="87" t="s">
        <v>1455</v>
      </c>
      <c r="C26" s="87">
        <v>15</v>
      </c>
      <c r="D26" s="110">
        <v>0.004436238668110388</v>
      </c>
      <c r="E26" s="110">
        <v>0.910734690370619</v>
      </c>
      <c r="F26" s="87" t="s">
        <v>2060</v>
      </c>
      <c r="G26" s="87" t="b">
        <v>0</v>
      </c>
      <c r="H26" s="87" t="b">
        <v>0</v>
      </c>
      <c r="I26" s="87" t="b">
        <v>0</v>
      </c>
      <c r="J26" s="87" t="b">
        <v>0</v>
      </c>
      <c r="K26" s="87" t="b">
        <v>0</v>
      </c>
      <c r="L26" s="87" t="b">
        <v>0</v>
      </c>
    </row>
    <row r="27" spans="1:12" ht="15">
      <c r="A27" s="88" t="s">
        <v>1822</v>
      </c>
      <c r="B27" s="87" t="s">
        <v>1829</v>
      </c>
      <c r="C27" s="87">
        <v>14</v>
      </c>
      <c r="D27" s="110">
        <v>0.004264194857743746</v>
      </c>
      <c r="E27" s="110">
        <v>1.7886166840618085</v>
      </c>
      <c r="F27" s="87" t="s">
        <v>2060</v>
      </c>
      <c r="G27" s="87" t="b">
        <v>0</v>
      </c>
      <c r="H27" s="87" t="b">
        <v>0</v>
      </c>
      <c r="I27" s="87" t="b">
        <v>0</v>
      </c>
      <c r="J27" s="87" t="b">
        <v>1</v>
      </c>
      <c r="K27" s="87" t="b">
        <v>0</v>
      </c>
      <c r="L27" s="87" t="b">
        <v>0</v>
      </c>
    </row>
    <row r="28" spans="1:12" ht="15">
      <c r="A28" s="88" t="s">
        <v>1455</v>
      </c>
      <c r="B28" s="87" t="s">
        <v>1454</v>
      </c>
      <c r="C28" s="87">
        <v>14</v>
      </c>
      <c r="D28" s="110">
        <v>0.004264194857743746</v>
      </c>
      <c r="E28" s="110">
        <v>0.4456593552810249</v>
      </c>
      <c r="F28" s="87" t="s">
        <v>2060</v>
      </c>
      <c r="G28" s="87" t="b">
        <v>0</v>
      </c>
      <c r="H28" s="87" t="b">
        <v>0</v>
      </c>
      <c r="I28" s="87" t="b">
        <v>0</v>
      </c>
      <c r="J28" s="87" t="b">
        <v>0</v>
      </c>
      <c r="K28" s="87" t="b">
        <v>0</v>
      </c>
      <c r="L28" s="87" t="b">
        <v>0</v>
      </c>
    </row>
    <row r="29" spans="1:12" ht="15">
      <c r="A29" s="88" t="s">
        <v>1437</v>
      </c>
      <c r="B29" s="87" t="s">
        <v>1832</v>
      </c>
      <c r="C29" s="87">
        <v>13</v>
      </c>
      <c r="D29" s="110">
        <v>0.004082995203427403</v>
      </c>
      <c r="E29" s="110">
        <v>1.1924816752438505</v>
      </c>
      <c r="F29" s="87" t="s">
        <v>2060</v>
      </c>
      <c r="G29" s="87" t="b">
        <v>0</v>
      </c>
      <c r="H29" s="87" t="b">
        <v>0</v>
      </c>
      <c r="I29" s="87" t="b">
        <v>0</v>
      </c>
      <c r="J29" s="87" t="b">
        <v>1</v>
      </c>
      <c r="K29" s="87" t="b">
        <v>0</v>
      </c>
      <c r="L29" s="87" t="b">
        <v>0</v>
      </c>
    </row>
    <row r="30" spans="1:12" ht="15">
      <c r="A30" s="88" t="s">
        <v>1469</v>
      </c>
      <c r="B30" s="87" t="s">
        <v>1437</v>
      </c>
      <c r="C30" s="87">
        <v>13</v>
      </c>
      <c r="D30" s="110">
        <v>0.004082995203427403</v>
      </c>
      <c r="E30" s="110">
        <v>0.6936411708309518</v>
      </c>
      <c r="F30" s="87" t="s">
        <v>2060</v>
      </c>
      <c r="G30" s="87" t="b">
        <v>0</v>
      </c>
      <c r="H30" s="87" t="b">
        <v>0</v>
      </c>
      <c r="I30" s="87" t="b">
        <v>0</v>
      </c>
      <c r="J30" s="87" t="b">
        <v>0</v>
      </c>
      <c r="K30" s="87" t="b">
        <v>0</v>
      </c>
      <c r="L30" s="87" t="b">
        <v>0</v>
      </c>
    </row>
    <row r="31" spans="1:12" ht="15">
      <c r="A31" s="88" t="s">
        <v>1437</v>
      </c>
      <c r="B31" s="87" t="s">
        <v>1455</v>
      </c>
      <c r="C31" s="87">
        <v>12</v>
      </c>
      <c r="D31" s="110">
        <v>0.0038919340651567486</v>
      </c>
      <c r="E31" s="110">
        <v>0.16785920033551854</v>
      </c>
      <c r="F31" s="87" t="s">
        <v>2060</v>
      </c>
      <c r="G31" s="87" t="b">
        <v>0</v>
      </c>
      <c r="H31" s="87" t="b">
        <v>0</v>
      </c>
      <c r="I31" s="87" t="b">
        <v>0</v>
      </c>
      <c r="J31" s="87" t="b">
        <v>0</v>
      </c>
      <c r="K31" s="87" t="b">
        <v>0</v>
      </c>
      <c r="L31" s="87" t="b">
        <v>0</v>
      </c>
    </row>
    <row r="32" spans="1:12" ht="15">
      <c r="A32" s="88" t="s">
        <v>1832</v>
      </c>
      <c r="B32" s="87" t="s">
        <v>1459</v>
      </c>
      <c r="C32" s="87">
        <v>12</v>
      </c>
      <c r="D32" s="110">
        <v>0.0038919340651567486</v>
      </c>
      <c r="E32" s="110">
        <v>1.690453068936633</v>
      </c>
      <c r="F32" s="87" t="s">
        <v>2060</v>
      </c>
      <c r="G32" s="87" t="b">
        <v>1</v>
      </c>
      <c r="H32" s="87" t="b">
        <v>0</v>
      </c>
      <c r="I32" s="87" t="b">
        <v>0</v>
      </c>
      <c r="J32" s="87" t="b">
        <v>0</v>
      </c>
      <c r="K32" s="87" t="b">
        <v>0</v>
      </c>
      <c r="L32" s="87" t="b">
        <v>0</v>
      </c>
    </row>
    <row r="33" spans="1:12" ht="15">
      <c r="A33" s="88" t="s">
        <v>1830</v>
      </c>
      <c r="B33" s="87" t="s">
        <v>1437</v>
      </c>
      <c r="C33" s="87">
        <v>12</v>
      </c>
      <c r="D33" s="110">
        <v>0.0038919340651567486</v>
      </c>
      <c r="E33" s="110">
        <v>1.1255348856132374</v>
      </c>
      <c r="F33" s="87" t="s">
        <v>2060</v>
      </c>
      <c r="G33" s="87" t="b">
        <v>0</v>
      </c>
      <c r="H33" s="87" t="b">
        <v>0</v>
      </c>
      <c r="I33" s="87" t="b">
        <v>0</v>
      </c>
      <c r="J33" s="87" t="b">
        <v>0</v>
      </c>
      <c r="K33" s="87" t="b">
        <v>0</v>
      </c>
      <c r="L33" s="87" t="b">
        <v>0</v>
      </c>
    </row>
    <row r="34" spans="1:12" ht="15">
      <c r="A34" s="88" t="s">
        <v>1820</v>
      </c>
      <c r="B34" s="87" t="s">
        <v>1830</v>
      </c>
      <c r="C34" s="87">
        <v>11</v>
      </c>
      <c r="D34" s="110">
        <v>0.0036901878158314325</v>
      </c>
      <c r="E34" s="110">
        <v>1.7430518280050251</v>
      </c>
      <c r="F34" s="87" t="s">
        <v>2060</v>
      </c>
      <c r="G34" s="87" t="b">
        <v>0</v>
      </c>
      <c r="H34" s="87" t="b">
        <v>0</v>
      </c>
      <c r="I34" s="87" t="b">
        <v>0</v>
      </c>
      <c r="J34" s="87" t="b">
        <v>0</v>
      </c>
      <c r="K34" s="87" t="b">
        <v>0</v>
      </c>
      <c r="L34" s="87" t="b">
        <v>0</v>
      </c>
    </row>
    <row r="35" spans="1:12" ht="15">
      <c r="A35" s="88" t="s">
        <v>1833</v>
      </c>
      <c r="B35" s="87" t="s">
        <v>1821</v>
      </c>
      <c r="C35" s="87">
        <v>11</v>
      </c>
      <c r="D35" s="110">
        <v>0.0036901878158314325</v>
      </c>
      <c r="E35" s="110">
        <v>1.8293037728310249</v>
      </c>
      <c r="F35" s="87" t="s">
        <v>2060</v>
      </c>
      <c r="G35" s="87" t="b">
        <v>1</v>
      </c>
      <c r="H35" s="87" t="b">
        <v>0</v>
      </c>
      <c r="I35" s="87" t="b">
        <v>0</v>
      </c>
      <c r="J35" s="87" t="b">
        <v>0</v>
      </c>
      <c r="K35" s="87" t="b">
        <v>0</v>
      </c>
      <c r="L35" s="87" t="b">
        <v>0</v>
      </c>
    </row>
    <row r="36" spans="1:12" ht="15">
      <c r="A36" s="88" t="s">
        <v>1469</v>
      </c>
      <c r="B36" s="87" t="s">
        <v>1456</v>
      </c>
      <c r="C36" s="87">
        <v>11</v>
      </c>
      <c r="D36" s="110">
        <v>0.0036901878158314325</v>
      </c>
      <c r="E36" s="110">
        <v>0.9996345860264831</v>
      </c>
      <c r="F36" s="87" t="s">
        <v>2060</v>
      </c>
      <c r="G36" s="87" t="b">
        <v>0</v>
      </c>
      <c r="H36" s="87" t="b">
        <v>0</v>
      </c>
      <c r="I36" s="87" t="b">
        <v>0</v>
      </c>
      <c r="J36" s="87" t="b">
        <v>0</v>
      </c>
      <c r="K36" s="87" t="b">
        <v>0</v>
      </c>
      <c r="L36" s="87" t="b">
        <v>0</v>
      </c>
    </row>
    <row r="37" spans="1:12" ht="15">
      <c r="A37" s="88" t="s">
        <v>1837</v>
      </c>
      <c r="B37" s="87" t="s">
        <v>1516</v>
      </c>
      <c r="C37" s="87">
        <v>11</v>
      </c>
      <c r="D37" s="110">
        <v>0.0036901878158314325</v>
      </c>
      <c r="E37" s="110">
        <v>2.048147012307656</v>
      </c>
      <c r="F37" s="87" t="s">
        <v>2060</v>
      </c>
      <c r="G37" s="87" t="b">
        <v>1</v>
      </c>
      <c r="H37" s="87" t="b">
        <v>0</v>
      </c>
      <c r="I37" s="87" t="b">
        <v>0</v>
      </c>
      <c r="J37" s="87" t="b">
        <v>0</v>
      </c>
      <c r="K37" s="87" t="b">
        <v>0</v>
      </c>
      <c r="L37" s="87" t="b">
        <v>0</v>
      </c>
    </row>
    <row r="38" spans="1:12" ht="15">
      <c r="A38" s="88" t="s">
        <v>1522</v>
      </c>
      <c r="B38" s="87" t="s">
        <v>1523</v>
      </c>
      <c r="C38" s="87">
        <v>11</v>
      </c>
      <c r="D38" s="110">
        <v>0.0036901878158314325</v>
      </c>
      <c r="E38" s="110">
        <v>2.4313637641589874</v>
      </c>
      <c r="F38" s="87" t="s">
        <v>2060</v>
      </c>
      <c r="G38" s="87" t="b">
        <v>1</v>
      </c>
      <c r="H38" s="87" t="b">
        <v>0</v>
      </c>
      <c r="I38" s="87" t="b">
        <v>0</v>
      </c>
      <c r="J38" s="87" t="b">
        <v>0</v>
      </c>
      <c r="K38" s="87" t="b">
        <v>0</v>
      </c>
      <c r="L38" s="87" t="b">
        <v>0</v>
      </c>
    </row>
    <row r="39" spans="1:12" ht="15">
      <c r="A39" s="88" t="s">
        <v>1523</v>
      </c>
      <c r="B39" s="87" t="s">
        <v>1453</v>
      </c>
      <c r="C39" s="87">
        <v>10</v>
      </c>
      <c r="D39" s="110">
        <v>0.00347678250455078</v>
      </c>
      <c r="E39" s="110">
        <v>1.6389720746607332</v>
      </c>
      <c r="F39" s="87" t="s">
        <v>2060</v>
      </c>
      <c r="G39" s="87" t="b">
        <v>0</v>
      </c>
      <c r="H39" s="87" t="b">
        <v>0</v>
      </c>
      <c r="I39" s="87" t="b">
        <v>0</v>
      </c>
      <c r="J39" s="87" t="b">
        <v>0</v>
      </c>
      <c r="K39" s="87" t="b">
        <v>0</v>
      </c>
      <c r="L39" s="87" t="b">
        <v>0</v>
      </c>
    </row>
    <row r="40" spans="1:12" ht="15">
      <c r="A40" s="88" t="s">
        <v>1824</v>
      </c>
      <c r="B40" s="87" t="s">
        <v>1455</v>
      </c>
      <c r="C40" s="87">
        <v>10</v>
      </c>
      <c r="D40" s="110">
        <v>0.00347678250455078</v>
      </c>
      <c r="E40" s="110">
        <v>0.975377525091668</v>
      </c>
      <c r="F40" s="87" t="s">
        <v>2060</v>
      </c>
      <c r="G40" s="87" t="b">
        <v>0</v>
      </c>
      <c r="H40" s="87" t="b">
        <v>0</v>
      </c>
      <c r="I40" s="87" t="b">
        <v>0</v>
      </c>
      <c r="J40" s="87" t="b">
        <v>0</v>
      </c>
      <c r="K40" s="87" t="b">
        <v>0</v>
      </c>
      <c r="L40" s="87" t="b">
        <v>0</v>
      </c>
    </row>
    <row r="41" spans="1:12" ht="15">
      <c r="A41" s="88" t="s">
        <v>1437</v>
      </c>
      <c r="B41" s="87" t="s">
        <v>1456</v>
      </c>
      <c r="C41" s="87">
        <v>10</v>
      </c>
      <c r="D41" s="110">
        <v>0.00347678250455078</v>
      </c>
      <c r="E41" s="110">
        <v>0.25296242262523205</v>
      </c>
      <c r="F41" s="87" t="s">
        <v>2060</v>
      </c>
      <c r="G41" s="87" t="b">
        <v>0</v>
      </c>
      <c r="H41" s="87" t="b">
        <v>0</v>
      </c>
      <c r="I41" s="87" t="b">
        <v>0</v>
      </c>
      <c r="J41" s="87" t="b">
        <v>0</v>
      </c>
      <c r="K41" s="87" t="b">
        <v>0</v>
      </c>
      <c r="L41" s="87" t="b">
        <v>0</v>
      </c>
    </row>
    <row r="42" spans="1:12" ht="15">
      <c r="A42" s="88" t="s">
        <v>1462</v>
      </c>
      <c r="B42" s="87" t="s">
        <v>1469</v>
      </c>
      <c r="C42" s="87">
        <v>10</v>
      </c>
      <c r="D42" s="110">
        <v>0.00347678250455078</v>
      </c>
      <c r="E42" s="110">
        <v>1.1573984639926327</v>
      </c>
      <c r="F42" s="87" t="s">
        <v>2060</v>
      </c>
      <c r="G42" s="87" t="b">
        <v>0</v>
      </c>
      <c r="H42" s="87" t="b">
        <v>0</v>
      </c>
      <c r="I42" s="87" t="b">
        <v>0</v>
      </c>
      <c r="J42" s="87" t="b">
        <v>0</v>
      </c>
      <c r="K42" s="87" t="b">
        <v>0</v>
      </c>
      <c r="L42" s="87" t="b">
        <v>0</v>
      </c>
    </row>
    <row r="43" spans="1:12" ht="15">
      <c r="A43" s="88" t="s">
        <v>1453</v>
      </c>
      <c r="B43" s="87" t="s">
        <v>1837</v>
      </c>
      <c r="C43" s="87">
        <v>10</v>
      </c>
      <c r="D43" s="110">
        <v>0.00347678250455078</v>
      </c>
      <c r="E43" s="110">
        <v>1.3491770079716374</v>
      </c>
      <c r="F43" s="87" t="s">
        <v>2060</v>
      </c>
      <c r="G43" s="87" t="b">
        <v>0</v>
      </c>
      <c r="H43" s="87" t="b">
        <v>0</v>
      </c>
      <c r="I43" s="87" t="b">
        <v>0</v>
      </c>
      <c r="J43" s="87" t="b">
        <v>1</v>
      </c>
      <c r="K43" s="87" t="b">
        <v>0</v>
      </c>
      <c r="L43" s="87" t="b">
        <v>0</v>
      </c>
    </row>
    <row r="44" spans="1:12" ht="15">
      <c r="A44" s="88" t="s">
        <v>1459</v>
      </c>
      <c r="B44" s="87" t="s">
        <v>1456</v>
      </c>
      <c r="C44" s="87">
        <v>9</v>
      </c>
      <c r="D44" s="110">
        <v>0.0032505484932717783</v>
      </c>
      <c r="E44" s="110">
        <v>0.7399384320165514</v>
      </c>
      <c r="F44" s="87" t="s">
        <v>2060</v>
      </c>
      <c r="G44" s="87" t="b">
        <v>0</v>
      </c>
      <c r="H44" s="87" t="b">
        <v>0</v>
      </c>
      <c r="I44" s="87" t="b">
        <v>0</v>
      </c>
      <c r="J44" s="87" t="b">
        <v>0</v>
      </c>
      <c r="K44" s="87" t="b">
        <v>0</v>
      </c>
      <c r="L44" s="87" t="b">
        <v>0</v>
      </c>
    </row>
    <row r="45" spans="1:12" ht="15">
      <c r="A45" s="88" t="s">
        <v>1516</v>
      </c>
      <c r="B45" s="87" t="s">
        <v>1825</v>
      </c>
      <c r="C45" s="87">
        <v>9</v>
      </c>
      <c r="D45" s="110">
        <v>0.0032505484932717783</v>
      </c>
      <c r="E45" s="110">
        <v>1.622178280035375</v>
      </c>
      <c r="F45" s="87" t="s">
        <v>2060</v>
      </c>
      <c r="G45" s="87" t="b">
        <v>0</v>
      </c>
      <c r="H45" s="87" t="b">
        <v>0</v>
      </c>
      <c r="I45" s="87" t="b">
        <v>0</v>
      </c>
      <c r="J45" s="87" t="b">
        <v>0</v>
      </c>
      <c r="K45" s="87" t="b">
        <v>0</v>
      </c>
      <c r="L45" s="87" t="b">
        <v>0</v>
      </c>
    </row>
    <row r="46" spans="1:12" ht="15">
      <c r="A46" s="88" t="s">
        <v>1521</v>
      </c>
      <c r="B46" s="87" t="s">
        <v>1522</v>
      </c>
      <c r="C46" s="87">
        <v>9</v>
      </c>
      <c r="D46" s="110">
        <v>0.0032505484932717783</v>
      </c>
      <c r="E46" s="110">
        <v>2.469152325048387</v>
      </c>
      <c r="F46" s="87" t="s">
        <v>2060</v>
      </c>
      <c r="G46" s="87" t="b">
        <v>0</v>
      </c>
      <c r="H46" s="87" t="b">
        <v>0</v>
      </c>
      <c r="I46" s="87" t="b">
        <v>0</v>
      </c>
      <c r="J46" s="87" t="b">
        <v>1</v>
      </c>
      <c r="K46" s="87" t="b">
        <v>0</v>
      </c>
      <c r="L46" s="87" t="b">
        <v>0</v>
      </c>
    </row>
    <row r="47" spans="1:12" ht="15">
      <c r="A47" s="88" t="s">
        <v>1842</v>
      </c>
      <c r="B47" s="87" t="s">
        <v>1843</v>
      </c>
      <c r="C47" s="87">
        <v>9</v>
      </c>
      <c r="D47" s="110">
        <v>0.0032505484932717783</v>
      </c>
      <c r="E47" s="110">
        <v>2.5563025007672873</v>
      </c>
      <c r="F47" s="87" t="s">
        <v>2060</v>
      </c>
      <c r="G47" s="87" t="b">
        <v>1</v>
      </c>
      <c r="H47" s="87" t="b">
        <v>0</v>
      </c>
      <c r="I47" s="87" t="b">
        <v>0</v>
      </c>
      <c r="J47" s="87" t="b">
        <v>0</v>
      </c>
      <c r="K47" s="87" t="b">
        <v>0</v>
      </c>
      <c r="L47" s="87" t="b">
        <v>0</v>
      </c>
    </row>
    <row r="48" spans="1:12" ht="15">
      <c r="A48" s="88" t="s">
        <v>1453</v>
      </c>
      <c r="B48" s="87" t="s">
        <v>1462</v>
      </c>
      <c r="C48" s="87">
        <v>9</v>
      </c>
      <c r="D48" s="110">
        <v>0.0032505484932717783</v>
      </c>
      <c r="E48" s="110">
        <v>0.5630568279167183</v>
      </c>
      <c r="F48" s="87" t="s">
        <v>2060</v>
      </c>
      <c r="G48" s="87" t="b">
        <v>0</v>
      </c>
      <c r="H48" s="87" t="b">
        <v>0</v>
      </c>
      <c r="I48" s="87" t="b">
        <v>0</v>
      </c>
      <c r="J48" s="87" t="b">
        <v>0</v>
      </c>
      <c r="K48" s="87" t="b">
        <v>0</v>
      </c>
      <c r="L48" s="87" t="b">
        <v>0</v>
      </c>
    </row>
    <row r="49" spans="1:12" ht="15">
      <c r="A49" s="88" t="s">
        <v>1844</v>
      </c>
      <c r="B49" s="87" t="s">
        <v>1834</v>
      </c>
      <c r="C49" s="87">
        <v>9</v>
      </c>
      <c r="D49" s="110">
        <v>0.0032505484932717783</v>
      </c>
      <c r="E49" s="110">
        <v>2.510545010206612</v>
      </c>
      <c r="F49" s="87" t="s">
        <v>2060</v>
      </c>
      <c r="G49" s="87" t="b">
        <v>1</v>
      </c>
      <c r="H49" s="87" t="b">
        <v>0</v>
      </c>
      <c r="I49" s="87" t="b">
        <v>0</v>
      </c>
      <c r="J49" s="87" t="b">
        <v>0</v>
      </c>
      <c r="K49" s="87" t="b">
        <v>0</v>
      </c>
      <c r="L49" s="87" t="b">
        <v>0</v>
      </c>
    </row>
    <row r="50" spans="1:12" ht="15">
      <c r="A50" s="88" t="s">
        <v>1834</v>
      </c>
      <c r="B50" s="87" t="s">
        <v>1845</v>
      </c>
      <c r="C50" s="87">
        <v>9</v>
      </c>
      <c r="D50" s="110">
        <v>0.0032505484932717783</v>
      </c>
      <c r="E50" s="110">
        <v>2.4313637641589874</v>
      </c>
      <c r="F50" s="87" t="s">
        <v>2060</v>
      </c>
      <c r="G50" s="87" t="b">
        <v>0</v>
      </c>
      <c r="H50" s="87" t="b">
        <v>0</v>
      </c>
      <c r="I50" s="87" t="b">
        <v>0</v>
      </c>
      <c r="J50" s="87" t="b">
        <v>1</v>
      </c>
      <c r="K50" s="87" t="b">
        <v>0</v>
      </c>
      <c r="L50" s="87" t="b">
        <v>0</v>
      </c>
    </row>
    <row r="51" spans="1:12" ht="15">
      <c r="A51" s="88" t="s">
        <v>1845</v>
      </c>
      <c r="B51" s="87" t="s">
        <v>1462</v>
      </c>
      <c r="C51" s="87">
        <v>9</v>
      </c>
      <c r="D51" s="110">
        <v>0.0032505484932717783</v>
      </c>
      <c r="E51" s="110">
        <v>1.7701823207123684</v>
      </c>
      <c r="F51" s="87" t="s">
        <v>2060</v>
      </c>
      <c r="G51" s="87" t="b">
        <v>1</v>
      </c>
      <c r="H51" s="87" t="b">
        <v>0</v>
      </c>
      <c r="I51" s="87" t="b">
        <v>0</v>
      </c>
      <c r="J51" s="87" t="b">
        <v>0</v>
      </c>
      <c r="K51" s="87" t="b">
        <v>0</v>
      </c>
      <c r="L51" s="87" t="b">
        <v>0</v>
      </c>
    </row>
    <row r="52" spans="1:12" ht="15">
      <c r="A52" s="88" t="s">
        <v>1437</v>
      </c>
      <c r="B52" s="87" t="s">
        <v>1846</v>
      </c>
      <c r="C52" s="87">
        <v>9</v>
      </c>
      <c r="D52" s="110">
        <v>0.0032505484932717783</v>
      </c>
      <c r="E52" s="110">
        <v>1.1924816752438505</v>
      </c>
      <c r="F52" s="87" t="s">
        <v>2060</v>
      </c>
      <c r="G52" s="87" t="b">
        <v>0</v>
      </c>
      <c r="H52" s="87" t="b">
        <v>0</v>
      </c>
      <c r="I52" s="87" t="b">
        <v>0</v>
      </c>
      <c r="J52" s="87" t="b">
        <v>0</v>
      </c>
      <c r="K52" s="87" t="b">
        <v>0</v>
      </c>
      <c r="L52" s="87" t="b">
        <v>0</v>
      </c>
    </row>
    <row r="53" spans="1:12" ht="15">
      <c r="A53" s="88" t="s">
        <v>1846</v>
      </c>
      <c r="B53" s="87" t="s">
        <v>1847</v>
      </c>
      <c r="C53" s="87">
        <v>9</v>
      </c>
      <c r="D53" s="110">
        <v>0.0032505484932717783</v>
      </c>
      <c r="E53" s="110">
        <v>2.5563025007672873</v>
      </c>
      <c r="F53" s="87" t="s">
        <v>2060</v>
      </c>
      <c r="G53" s="87" t="b">
        <v>0</v>
      </c>
      <c r="H53" s="87" t="b">
        <v>0</v>
      </c>
      <c r="I53" s="87" t="b">
        <v>0</v>
      </c>
      <c r="J53" s="87" t="b">
        <v>0</v>
      </c>
      <c r="K53" s="87" t="b">
        <v>0</v>
      </c>
      <c r="L53" s="87" t="b">
        <v>0</v>
      </c>
    </row>
    <row r="54" spans="1:12" ht="15">
      <c r="A54" s="88" t="s">
        <v>1847</v>
      </c>
      <c r="B54" s="87" t="s">
        <v>1848</v>
      </c>
      <c r="C54" s="87">
        <v>9</v>
      </c>
      <c r="D54" s="110">
        <v>0.0032505484932717783</v>
      </c>
      <c r="E54" s="110">
        <v>2.5563025007672873</v>
      </c>
      <c r="F54" s="87" t="s">
        <v>2060</v>
      </c>
      <c r="G54" s="87" t="b">
        <v>0</v>
      </c>
      <c r="H54" s="87" t="b">
        <v>0</v>
      </c>
      <c r="I54" s="87" t="b">
        <v>0</v>
      </c>
      <c r="J54" s="87" t="b">
        <v>0</v>
      </c>
      <c r="K54" s="87" t="b">
        <v>0</v>
      </c>
      <c r="L54" s="87" t="b">
        <v>0</v>
      </c>
    </row>
    <row r="55" spans="1:12" ht="15">
      <c r="A55" s="88" t="s">
        <v>1848</v>
      </c>
      <c r="B55" s="87" t="s">
        <v>1849</v>
      </c>
      <c r="C55" s="87">
        <v>9</v>
      </c>
      <c r="D55" s="110">
        <v>0.0032505484932717783</v>
      </c>
      <c r="E55" s="110">
        <v>2.5563025007672873</v>
      </c>
      <c r="F55" s="87" t="s">
        <v>2060</v>
      </c>
      <c r="G55" s="87" t="b">
        <v>0</v>
      </c>
      <c r="H55" s="87" t="b">
        <v>0</v>
      </c>
      <c r="I55" s="87" t="b">
        <v>0</v>
      </c>
      <c r="J55" s="87" t="b">
        <v>0</v>
      </c>
      <c r="K55" s="87" t="b">
        <v>0</v>
      </c>
      <c r="L55" s="87" t="b">
        <v>0</v>
      </c>
    </row>
    <row r="56" spans="1:12" ht="15">
      <c r="A56" s="88" t="s">
        <v>1849</v>
      </c>
      <c r="B56" s="87" t="s">
        <v>1850</v>
      </c>
      <c r="C56" s="87">
        <v>9</v>
      </c>
      <c r="D56" s="110">
        <v>0.0032505484932717783</v>
      </c>
      <c r="E56" s="110">
        <v>2.5563025007672873</v>
      </c>
      <c r="F56" s="87" t="s">
        <v>2060</v>
      </c>
      <c r="G56" s="87" t="b">
        <v>0</v>
      </c>
      <c r="H56" s="87" t="b">
        <v>0</v>
      </c>
      <c r="I56" s="87" t="b">
        <v>0</v>
      </c>
      <c r="J56" s="87" t="b">
        <v>0</v>
      </c>
      <c r="K56" s="87" t="b">
        <v>0</v>
      </c>
      <c r="L56" s="87" t="b">
        <v>0</v>
      </c>
    </row>
    <row r="57" spans="1:12" ht="15">
      <c r="A57" s="88" t="s">
        <v>1850</v>
      </c>
      <c r="B57" s="87" t="s">
        <v>1851</v>
      </c>
      <c r="C57" s="87">
        <v>9</v>
      </c>
      <c r="D57" s="110">
        <v>0.0032505484932717783</v>
      </c>
      <c r="E57" s="110">
        <v>2.5563025007672873</v>
      </c>
      <c r="F57" s="87" t="s">
        <v>2060</v>
      </c>
      <c r="G57" s="87" t="b">
        <v>0</v>
      </c>
      <c r="H57" s="87" t="b">
        <v>0</v>
      </c>
      <c r="I57" s="87" t="b">
        <v>0</v>
      </c>
      <c r="J57" s="87" t="b">
        <v>0</v>
      </c>
      <c r="K57" s="87" t="b">
        <v>0</v>
      </c>
      <c r="L57" s="87" t="b">
        <v>0</v>
      </c>
    </row>
    <row r="58" spans="1:12" ht="15">
      <c r="A58" s="88" t="s">
        <v>1851</v>
      </c>
      <c r="B58" s="87" t="s">
        <v>1852</v>
      </c>
      <c r="C58" s="87">
        <v>9</v>
      </c>
      <c r="D58" s="110">
        <v>0.0032505484932717783</v>
      </c>
      <c r="E58" s="110">
        <v>2.5563025007672873</v>
      </c>
      <c r="F58" s="87" t="s">
        <v>2060</v>
      </c>
      <c r="G58" s="87" t="b">
        <v>0</v>
      </c>
      <c r="H58" s="87" t="b">
        <v>0</v>
      </c>
      <c r="I58" s="87" t="b">
        <v>0</v>
      </c>
      <c r="J58" s="87" t="b">
        <v>0</v>
      </c>
      <c r="K58" s="87" t="b">
        <v>0</v>
      </c>
      <c r="L58" s="87" t="b">
        <v>0</v>
      </c>
    </row>
    <row r="59" spans="1:12" ht="15">
      <c r="A59" s="88" t="s">
        <v>1823</v>
      </c>
      <c r="B59" s="87" t="s">
        <v>1462</v>
      </c>
      <c r="C59" s="87">
        <v>9</v>
      </c>
      <c r="D59" s="110">
        <v>0.0032505484932717783</v>
      </c>
      <c r="E59" s="110">
        <v>1.262026832252737</v>
      </c>
      <c r="F59" s="87" t="s">
        <v>2060</v>
      </c>
      <c r="G59" s="87" t="b">
        <v>0</v>
      </c>
      <c r="H59" s="87" t="b">
        <v>0</v>
      </c>
      <c r="I59" s="87" t="b">
        <v>0</v>
      </c>
      <c r="J59" s="87" t="b">
        <v>0</v>
      </c>
      <c r="K59" s="87" t="b">
        <v>0</v>
      </c>
      <c r="L59" s="87" t="b">
        <v>0</v>
      </c>
    </row>
    <row r="60" spans="1:12" ht="15">
      <c r="A60" s="88" t="s">
        <v>1462</v>
      </c>
      <c r="B60" s="87" t="s">
        <v>1459</v>
      </c>
      <c r="C60" s="87">
        <v>9</v>
      </c>
      <c r="D60" s="110">
        <v>0.0032505484932717783</v>
      </c>
      <c r="E60" s="110">
        <v>0.9390949951409262</v>
      </c>
      <c r="F60" s="87" t="s">
        <v>2060</v>
      </c>
      <c r="G60" s="87" t="b">
        <v>0</v>
      </c>
      <c r="H60" s="87" t="b">
        <v>0</v>
      </c>
      <c r="I60" s="87" t="b">
        <v>0</v>
      </c>
      <c r="J60" s="87" t="b">
        <v>0</v>
      </c>
      <c r="K60" s="87" t="b">
        <v>0</v>
      </c>
      <c r="L60" s="87" t="b">
        <v>0</v>
      </c>
    </row>
    <row r="61" spans="1:12" ht="15">
      <c r="A61" s="88" t="s">
        <v>451</v>
      </c>
      <c r="B61" s="87" t="s">
        <v>1513</v>
      </c>
      <c r="C61" s="87">
        <v>9</v>
      </c>
      <c r="D61" s="110">
        <v>0.0032505484932717783</v>
      </c>
      <c r="E61" s="110">
        <v>1.8977611534868766</v>
      </c>
      <c r="F61" s="87" t="s">
        <v>2060</v>
      </c>
      <c r="G61" s="87" t="b">
        <v>0</v>
      </c>
      <c r="H61" s="87" t="b">
        <v>0</v>
      </c>
      <c r="I61" s="87" t="b">
        <v>0</v>
      </c>
      <c r="J61" s="87" t="b">
        <v>0</v>
      </c>
      <c r="K61" s="87" t="b">
        <v>0</v>
      </c>
      <c r="L61" s="87" t="b">
        <v>0</v>
      </c>
    </row>
    <row r="62" spans="1:12" ht="15">
      <c r="A62" s="88" t="s">
        <v>1493</v>
      </c>
      <c r="B62" s="87" t="s">
        <v>1437</v>
      </c>
      <c r="C62" s="87">
        <v>8</v>
      </c>
      <c r="D62" s="110">
        <v>0.0030100547574195835</v>
      </c>
      <c r="E62" s="110">
        <v>0.5515036178855185</v>
      </c>
      <c r="F62" s="87" t="s">
        <v>2060</v>
      </c>
      <c r="G62" s="87" t="b">
        <v>0</v>
      </c>
      <c r="H62" s="87" t="b">
        <v>0</v>
      </c>
      <c r="I62" s="87" t="b">
        <v>0</v>
      </c>
      <c r="J62" s="87" t="b">
        <v>0</v>
      </c>
      <c r="K62" s="87" t="b">
        <v>0</v>
      </c>
      <c r="L62" s="87" t="b">
        <v>0</v>
      </c>
    </row>
    <row r="63" spans="1:12" ht="15">
      <c r="A63" s="88" t="s">
        <v>1472</v>
      </c>
      <c r="B63" s="87" t="s">
        <v>1473</v>
      </c>
      <c r="C63" s="87">
        <v>8</v>
      </c>
      <c r="D63" s="110">
        <v>0.0030100547574195835</v>
      </c>
      <c r="E63" s="110">
        <v>2.0955716622357943</v>
      </c>
      <c r="F63" s="87" t="s">
        <v>2060</v>
      </c>
      <c r="G63" s="87" t="b">
        <v>0</v>
      </c>
      <c r="H63" s="87" t="b">
        <v>0</v>
      </c>
      <c r="I63" s="87" t="b">
        <v>0</v>
      </c>
      <c r="J63" s="87" t="b">
        <v>0</v>
      </c>
      <c r="K63" s="87" t="b">
        <v>0</v>
      </c>
      <c r="L63" s="87" t="b">
        <v>0</v>
      </c>
    </row>
    <row r="64" spans="1:12" ht="15">
      <c r="A64" s="88" t="s">
        <v>1473</v>
      </c>
      <c r="B64" s="87" t="s">
        <v>1474</v>
      </c>
      <c r="C64" s="87">
        <v>8</v>
      </c>
      <c r="D64" s="110">
        <v>0.0030100547574195835</v>
      </c>
      <c r="E64" s="110">
        <v>2.5563025007672873</v>
      </c>
      <c r="F64" s="87" t="s">
        <v>2060</v>
      </c>
      <c r="G64" s="87" t="b">
        <v>0</v>
      </c>
      <c r="H64" s="87" t="b">
        <v>0</v>
      </c>
      <c r="I64" s="87" t="b">
        <v>0</v>
      </c>
      <c r="J64" s="87" t="b">
        <v>0</v>
      </c>
      <c r="K64" s="87" t="b">
        <v>0</v>
      </c>
      <c r="L64" s="87" t="b">
        <v>0</v>
      </c>
    </row>
    <row r="65" spans="1:12" ht="15">
      <c r="A65" s="88" t="s">
        <v>1474</v>
      </c>
      <c r="B65" s="87" t="s">
        <v>1475</v>
      </c>
      <c r="C65" s="87">
        <v>8</v>
      </c>
      <c r="D65" s="110">
        <v>0.0030100547574195835</v>
      </c>
      <c r="E65" s="110">
        <v>2.2041199826559246</v>
      </c>
      <c r="F65" s="87" t="s">
        <v>2060</v>
      </c>
      <c r="G65" s="87" t="b">
        <v>0</v>
      </c>
      <c r="H65" s="87" t="b">
        <v>0</v>
      </c>
      <c r="I65" s="87" t="b">
        <v>0</v>
      </c>
      <c r="J65" s="87" t="b">
        <v>0</v>
      </c>
      <c r="K65" s="87" t="b">
        <v>0</v>
      </c>
      <c r="L65" s="87" t="b">
        <v>0</v>
      </c>
    </row>
    <row r="66" spans="1:12" ht="15">
      <c r="A66" s="88" t="s">
        <v>1475</v>
      </c>
      <c r="B66" s="87" t="s">
        <v>1471</v>
      </c>
      <c r="C66" s="87">
        <v>8</v>
      </c>
      <c r="D66" s="110">
        <v>0.0030100547574195835</v>
      </c>
      <c r="E66" s="110">
        <v>1.954242509439325</v>
      </c>
      <c r="F66" s="87" t="s">
        <v>2060</v>
      </c>
      <c r="G66" s="87" t="b">
        <v>0</v>
      </c>
      <c r="H66" s="87" t="b">
        <v>0</v>
      </c>
      <c r="I66" s="87" t="b">
        <v>0</v>
      </c>
      <c r="J66" s="87" t="b">
        <v>1</v>
      </c>
      <c r="K66" s="87" t="b">
        <v>0</v>
      </c>
      <c r="L66" s="87" t="b">
        <v>0</v>
      </c>
    </row>
    <row r="67" spans="1:12" ht="15">
      <c r="A67" s="88" t="s">
        <v>1471</v>
      </c>
      <c r="B67" s="87" t="s">
        <v>1437</v>
      </c>
      <c r="C67" s="87">
        <v>8</v>
      </c>
      <c r="D67" s="110">
        <v>0.0030100547574195835</v>
      </c>
      <c r="E67" s="110">
        <v>0.8914516795798694</v>
      </c>
      <c r="F67" s="87" t="s">
        <v>2060</v>
      </c>
      <c r="G67" s="87" t="b">
        <v>1</v>
      </c>
      <c r="H67" s="87" t="b">
        <v>0</v>
      </c>
      <c r="I67" s="87" t="b">
        <v>0</v>
      </c>
      <c r="J67" s="87" t="b">
        <v>0</v>
      </c>
      <c r="K67" s="87" t="b">
        <v>0</v>
      </c>
      <c r="L67" s="87" t="b">
        <v>0</v>
      </c>
    </row>
    <row r="68" spans="1:12" ht="15">
      <c r="A68" s="88" t="s">
        <v>1437</v>
      </c>
      <c r="B68" s="87" t="s">
        <v>1476</v>
      </c>
      <c r="C68" s="87">
        <v>8</v>
      </c>
      <c r="D68" s="110">
        <v>0.0030100547574195835</v>
      </c>
      <c r="E68" s="110">
        <v>1.1924816752438505</v>
      </c>
      <c r="F68" s="87" t="s">
        <v>2060</v>
      </c>
      <c r="G68" s="87" t="b">
        <v>0</v>
      </c>
      <c r="H68" s="87" t="b">
        <v>0</v>
      </c>
      <c r="I68" s="87" t="b">
        <v>0</v>
      </c>
      <c r="J68" s="87" t="b">
        <v>0</v>
      </c>
      <c r="K68" s="87" t="b">
        <v>0</v>
      </c>
      <c r="L68" s="87" t="b">
        <v>0</v>
      </c>
    </row>
    <row r="69" spans="1:12" ht="15">
      <c r="A69" s="88" t="s">
        <v>1476</v>
      </c>
      <c r="B69" s="87" t="s">
        <v>1477</v>
      </c>
      <c r="C69" s="87">
        <v>8</v>
      </c>
      <c r="D69" s="110">
        <v>0.0030100547574195835</v>
      </c>
      <c r="E69" s="110">
        <v>2.6074550232146687</v>
      </c>
      <c r="F69" s="87" t="s">
        <v>2060</v>
      </c>
      <c r="G69" s="87" t="b">
        <v>0</v>
      </c>
      <c r="H69" s="87" t="b">
        <v>0</v>
      </c>
      <c r="I69" s="87" t="b">
        <v>0</v>
      </c>
      <c r="J69" s="87" t="b">
        <v>0</v>
      </c>
      <c r="K69" s="87" t="b">
        <v>0</v>
      </c>
      <c r="L69" s="87" t="b">
        <v>0</v>
      </c>
    </row>
    <row r="70" spans="1:12" ht="15">
      <c r="A70" s="88" t="s">
        <v>1477</v>
      </c>
      <c r="B70" s="87" t="s">
        <v>1471</v>
      </c>
      <c r="C70" s="87">
        <v>8</v>
      </c>
      <c r="D70" s="110">
        <v>0.0030100547574195835</v>
      </c>
      <c r="E70" s="110">
        <v>2.3064250275506875</v>
      </c>
      <c r="F70" s="87" t="s">
        <v>2060</v>
      </c>
      <c r="G70" s="87" t="b">
        <v>0</v>
      </c>
      <c r="H70" s="87" t="b">
        <v>0</v>
      </c>
      <c r="I70" s="87" t="b">
        <v>0</v>
      </c>
      <c r="J70" s="87" t="b">
        <v>1</v>
      </c>
      <c r="K70" s="87" t="b">
        <v>0</v>
      </c>
      <c r="L70" s="87" t="b">
        <v>0</v>
      </c>
    </row>
    <row r="71" spans="1:12" ht="15">
      <c r="A71" s="88" t="s">
        <v>1471</v>
      </c>
      <c r="B71" s="87" t="s">
        <v>1854</v>
      </c>
      <c r="C71" s="87">
        <v>8</v>
      </c>
      <c r="D71" s="110">
        <v>0.0030100547574195835</v>
      </c>
      <c r="E71" s="110">
        <v>2.3064250275506875</v>
      </c>
      <c r="F71" s="87" t="s">
        <v>2060</v>
      </c>
      <c r="G71" s="87" t="b">
        <v>1</v>
      </c>
      <c r="H71" s="87" t="b">
        <v>0</v>
      </c>
      <c r="I71" s="87" t="b">
        <v>0</v>
      </c>
      <c r="J71" s="87" t="b">
        <v>0</v>
      </c>
      <c r="K71" s="87" t="b">
        <v>0</v>
      </c>
      <c r="L71" s="87" t="b">
        <v>0</v>
      </c>
    </row>
    <row r="72" spans="1:12" ht="15">
      <c r="A72" s="88" t="s">
        <v>1854</v>
      </c>
      <c r="B72" s="87" t="s">
        <v>341</v>
      </c>
      <c r="C72" s="87">
        <v>8</v>
      </c>
      <c r="D72" s="110">
        <v>0.0030100547574195835</v>
      </c>
      <c r="E72" s="110">
        <v>1.954242509439325</v>
      </c>
      <c r="F72" s="87" t="s">
        <v>2060</v>
      </c>
      <c r="G72" s="87" t="b">
        <v>0</v>
      </c>
      <c r="H72" s="87" t="b">
        <v>0</v>
      </c>
      <c r="I72" s="87" t="b">
        <v>0</v>
      </c>
      <c r="J72" s="87" t="b">
        <v>0</v>
      </c>
      <c r="K72" s="87" t="b">
        <v>0</v>
      </c>
      <c r="L72" s="87" t="b">
        <v>0</v>
      </c>
    </row>
    <row r="73" spans="1:12" ht="15">
      <c r="A73" s="88" t="s">
        <v>1819</v>
      </c>
      <c r="B73" s="87" t="s">
        <v>307</v>
      </c>
      <c r="C73" s="87">
        <v>8</v>
      </c>
      <c r="D73" s="110">
        <v>0.0030100547574195835</v>
      </c>
      <c r="E73" s="110">
        <v>1.8384471522708947</v>
      </c>
      <c r="F73" s="87" t="s">
        <v>2060</v>
      </c>
      <c r="G73" s="87" t="b">
        <v>0</v>
      </c>
      <c r="H73" s="87" t="b">
        <v>0</v>
      </c>
      <c r="I73" s="87" t="b">
        <v>0</v>
      </c>
      <c r="J73" s="87" t="b">
        <v>0</v>
      </c>
      <c r="K73" s="87" t="b">
        <v>0</v>
      </c>
      <c r="L73" s="87" t="b">
        <v>0</v>
      </c>
    </row>
    <row r="74" spans="1:12" ht="15">
      <c r="A74" s="88" t="s">
        <v>307</v>
      </c>
      <c r="B74" s="87" t="s">
        <v>1455</v>
      </c>
      <c r="C74" s="87">
        <v>8</v>
      </c>
      <c r="D74" s="110">
        <v>0.0030100547574195835</v>
      </c>
      <c r="E74" s="110">
        <v>1.4067412892506552</v>
      </c>
      <c r="F74" s="87" t="s">
        <v>2060</v>
      </c>
      <c r="G74" s="87" t="b">
        <v>0</v>
      </c>
      <c r="H74" s="87" t="b">
        <v>0</v>
      </c>
      <c r="I74" s="87" t="b">
        <v>0</v>
      </c>
      <c r="J74" s="87" t="b">
        <v>0</v>
      </c>
      <c r="K74" s="87" t="b">
        <v>0</v>
      </c>
      <c r="L74" s="87" t="b">
        <v>0</v>
      </c>
    </row>
    <row r="75" spans="1:12" ht="15">
      <c r="A75" s="88" t="s">
        <v>1453</v>
      </c>
      <c r="B75" s="87" t="s">
        <v>1821</v>
      </c>
      <c r="C75" s="87">
        <v>7</v>
      </c>
      <c r="D75" s="110">
        <v>0.002753509982586962</v>
      </c>
      <c r="E75" s="110">
        <v>0.5508223714997067</v>
      </c>
      <c r="F75" s="87" t="s">
        <v>2060</v>
      </c>
      <c r="G75" s="87" t="b">
        <v>0</v>
      </c>
      <c r="H75" s="87" t="b">
        <v>0</v>
      </c>
      <c r="I75" s="87" t="b">
        <v>0</v>
      </c>
      <c r="J75" s="87" t="b">
        <v>0</v>
      </c>
      <c r="K75" s="87" t="b">
        <v>0</v>
      </c>
      <c r="L75" s="87" t="b">
        <v>0</v>
      </c>
    </row>
    <row r="76" spans="1:12" ht="15">
      <c r="A76" s="88" t="s">
        <v>1826</v>
      </c>
      <c r="B76" s="87" t="s">
        <v>1490</v>
      </c>
      <c r="C76" s="87">
        <v>7</v>
      </c>
      <c r="D76" s="110">
        <v>0.002753509982586962</v>
      </c>
      <c r="E76" s="110">
        <v>1.3319791320230754</v>
      </c>
      <c r="F76" s="87" t="s">
        <v>2060</v>
      </c>
      <c r="G76" s="87" t="b">
        <v>0</v>
      </c>
      <c r="H76" s="87" t="b">
        <v>0</v>
      </c>
      <c r="I76" s="87" t="b">
        <v>0</v>
      </c>
      <c r="J76" s="87" t="b">
        <v>0</v>
      </c>
      <c r="K76" s="87" t="b">
        <v>0</v>
      </c>
      <c r="L76" s="87" t="b">
        <v>0</v>
      </c>
    </row>
    <row r="77" spans="1:12" ht="15">
      <c r="A77" s="88" t="s">
        <v>1453</v>
      </c>
      <c r="B77" s="87" t="s">
        <v>1825</v>
      </c>
      <c r="C77" s="87">
        <v>7</v>
      </c>
      <c r="D77" s="110">
        <v>0.002753509982586962</v>
      </c>
      <c r="E77" s="110">
        <v>0.814063806274288</v>
      </c>
      <c r="F77" s="87" t="s">
        <v>2060</v>
      </c>
      <c r="G77" s="87" t="b">
        <v>0</v>
      </c>
      <c r="H77" s="87" t="b">
        <v>0</v>
      </c>
      <c r="I77" s="87" t="b">
        <v>0</v>
      </c>
      <c r="J77" s="87" t="b">
        <v>0</v>
      </c>
      <c r="K77" s="87" t="b">
        <v>0</v>
      </c>
      <c r="L77" s="87" t="b">
        <v>0</v>
      </c>
    </row>
    <row r="78" spans="1:12" ht="15">
      <c r="A78" s="88" t="s">
        <v>1519</v>
      </c>
      <c r="B78" s="87" t="s">
        <v>1493</v>
      </c>
      <c r="C78" s="87">
        <v>6</v>
      </c>
      <c r="D78" s="110">
        <v>0.0024786063643341652</v>
      </c>
      <c r="E78" s="110">
        <v>1.7446282162399802</v>
      </c>
      <c r="F78" s="87" t="s">
        <v>2060</v>
      </c>
      <c r="G78" s="87" t="b">
        <v>0</v>
      </c>
      <c r="H78" s="87" t="b">
        <v>0</v>
      </c>
      <c r="I78" s="87" t="b">
        <v>0</v>
      </c>
      <c r="J78" s="87" t="b">
        <v>0</v>
      </c>
      <c r="K78" s="87" t="b">
        <v>0</v>
      </c>
      <c r="L78" s="87" t="b">
        <v>0</v>
      </c>
    </row>
    <row r="79" spans="1:12" ht="15">
      <c r="A79" s="88" t="s">
        <v>1855</v>
      </c>
      <c r="B79" s="87" t="s">
        <v>1437</v>
      </c>
      <c r="C79" s="87">
        <v>6</v>
      </c>
      <c r="D79" s="110">
        <v>0.0024786063643341652</v>
      </c>
      <c r="E79" s="110">
        <v>1.1255348856132374</v>
      </c>
      <c r="F79" s="87" t="s">
        <v>2060</v>
      </c>
      <c r="G79" s="87" t="b">
        <v>0</v>
      </c>
      <c r="H79" s="87" t="b">
        <v>0</v>
      </c>
      <c r="I79" s="87" t="b">
        <v>0</v>
      </c>
      <c r="J79" s="87" t="b">
        <v>0</v>
      </c>
      <c r="K79" s="87" t="b">
        <v>0</v>
      </c>
      <c r="L79" s="87" t="b">
        <v>0</v>
      </c>
    </row>
    <row r="80" spans="1:12" ht="15">
      <c r="A80" s="88" t="s">
        <v>1825</v>
      </c>
      <c r="B80" s="87" t="s">
        <v>1833</v>
      </c>
      <c r="C80" s="87">
        <v>6</v>
      </c>
      <c r="D80" s="110">
        <v>0.0024786063643341652</v>
      </c>
      <c r="E80" s="110">
        <v>1.794541666571813</v>
      </c>
      <c r="F80" s="87" t="s">
        <v>2060</v>
      </c>
      <c r="G80" s="87" t="b">
        <v>0</v>
      </c>
      <c r="H80" s="87" t="b">
        <v>0</v>
      </c>
      <c r="I80" s="87" t="b">
        <v>0</v>
      </c>
      <c r="J80" s="87" t="b">
        <v>1</v>
      </c>
      <c r="K80" s="87" t="b">
        <v>0</v>
      </c>
      <c r="L80" s="87" t="b">
        <v>0</v>
      </c>
    </row>
    <row r="81" spans="1:12" ht="15">
      <c r="A81" s="88" t="s">
        <v>1437</v>
      </c>
      <c r="B81" s="87" t="s">
        <v>1835</v>
      </c>
      <c r="C81" s="87">
        <v>6</v>
      </c>
      <c r="D81" s="110">
        <v>0.0024786063643341652</v>
      </c>
      <c r="E81" s="110">
        <v>0.8914516795798694</v>
      </c>
      <c r="F81" s="87" t="s">
        <v>2060</v>
      </c>
      <c r="G81" s="87" t="b">
        <v>0</v>
      </c>
      <c r="H81" s="87" t="b">
        <v>0</v>
      </c>
      <c r="I81" s="87" t="b">
        <v>0</v>
      </c>
      <c r="J81" s="87" t="b">
        <v>0</v>
      </c>
      <c r="K81" s="87" t="b">
        <v>0</v>
      </c>
      <c r="L81" s="87" t="b">
        <v>0</v>
      </c>
    </row>
    <row r="82" spans="1:12" ht="15">
      <c r="A82" s="88" t="s">
        <v>1841</v>
      </c>
      <c r="B82" s="87" t="s">
        <v>1437</v>
      </c>
      <c r="C82" s="87">
        <v>6</v>
      </c>
      <c r="D82" s="110">
        <v>0.0024786063643341652</v>
      </c>
      <c r="E82" s="110">
        <v>1.0163904161881694</v>
      </c>
      <c r="F82" s="87" t="s">
        <v>2060</v>
      </c>
      <c r="G82" s="87" t="b">
        <v>0</v>
      </c>
      <c r="H82" s="87" t="b">
        <v>0</v>
      </c>
      <c r="I82" s="87" t="b">
        <v>0</v>
      </c>
      <c r="J82" s="87" t="b">
        <v>0</v>
      </c>
      <c r="K82" s="87" t="b">
        <v>0</v>
      </c>
      <c r="L82" s="87" t="b">
        <v>0</v>
      </c>
    </row>
    <row r="83" spans="1:12" ht="15">
      <c r="A83" s="88" t="s">
        <v>1483</v>
      </c>
      <c r="B83" s="87" t="s">
        <v>1484</v>
      </c>
      <c r="C83" s="87">
        <v>6</v>
      </c>
      <c r="D83" s="110">
        <v>0.0024786063643341652</v>
      </c>
      <c r="E83" s="110">
        <v>2.510545010206612</v>
      </c>
      <c r="F83" s="87" t="s">
        <v>2060</v>
      </c>
      <c r="G83" s="87" t="b">
        <v>0</v>
      </c>
      <c r="H83" s="87" t="b">
        <v>0</v>
      </c>
      <c r="I83" s="87" t="b">
        <v>0</v>
      </c>
      <c r="J83" s="87" t="b">
        <v>0</v>
      </c>
      <c r="K83" s="87" t="b">
        <v>0</v>
      </c>
      <c r="L83" s="87" t="b">
        <v>0</v>
      </c>
    </row>
    <row r="84" spans="1:12" ht="15">
      <c r="A84" s="88" t="s">
        <v>1469</v>
      </c>
      <c r="B84" s="87" t="s">
        <v>1462</v>
      </c>
      <c r="C84" s="87">
        <v>6</v>
      </c>
      <c r="D84" s="110">
        <v>0.0024786063643341652</v>
      </c>
      <c r="E84" s="110">
        <v>0.9355497143762764</v>
      </c>
      <c r="F84" s="87" t="s">
        <v>2060</v>
      </c>
      <c r="G84" s="87" t="b">
        <v>0</v>
      </c>
      <c r="H84" s="87" t="b">
        <v>0</v>
      </c>
      <c r="I84" s="87" t="b">
        <v>0</v>
      </c>
      <c r="J84" s="87" t="b">
        <v>0</v>
      </c>
      <c r="K84" s="87" t="b">
        <v>0</v>
      </c>
      <c r="L84" s="87" t="b">
        <v>0</v>
      </c>
    </row>
    <row r="85" spans="1:12" ht="15">
      <c r="A85" s="88" t="s">
        <v>1437</v>
      </c>
      <c r="B85" s="87" t="s">
        <v>1863</v>
      </c>
      <c r="C85" s="87">
        <v>6</v>
      </c>
      <c r="D85" s="110">
        <v>0.0024786063643341652</v>
      </c>
      <c r="E85" s="110">
        <v>1.1924816752438505</v>
      </c>
      <c r="F85" s="87" t="s">
        <v>2060</v>
      </c>
      <c r="G85" s="87" t="b">
        <v>0</v>
      </c>
      <c r="H85" s="87" t="b">
        <v>0</v>
      </c>
      <c r="I85" s="87" t="b">
        <v>0</v>
      </c>
      <c r="J85" s="87" t="b">
        <v>0</v>
      </c>
      <c r="K85" s="87" t="b">
        <v>0</v>
      </c>
      <c r="L85" s="87" t="b">
        <v>0</v>
      </c>
    </row>
    <row r="86" spans="1:12" ht="15">
      <c r="A86" s="88" t="s">
        <v>1836</v>
      </c>
      <c r="B86" s="87" t="s">
        <v>341</v>
      </c>
      <c r="C86" s="87">
        <v>6</v>
      </c>
      <c r="D86" s="110">
        <v>0.0024786063643341652</v>
      </c>
      <c r="E86" s="110">
        <v>1.6532125137753437</v>
      </c>
      <c r="F86" s="87" t="s">
        <v>2060</v>
      </c>
      <c r="G86" s="87" t="b">
        <v>0</v>
      </c>
      <c r="H86" s="87" t="b">
        <v>0</v>
      </c>
      <c r="I86" s="87" t="b">
        <v>0</v>
      </c>
      <c r="J86" s="87" t="b">
        <v>0</v>
      </c>
      <c r="K86" s="87" t="b">
        <v>0</v>
      </c>
      <c r="L86" s="87" t="b">
        <v>0</v>
      </c>
    </row>
    <row r="87" spans="1:12" ht="15">
      <c r="A87" s="88" t="s">
        <v>1437</v>
      </c>
      <c r="B87" s="87" t="s">
        <v>1825</v>
      </c>
      <c r="C87" s="87">
        <v>6</v>
      </c>
      <c r="D87" s="110">
        <v>0.0024786063643341652</v>
      </c>
      <c r="E87" s="110">
        <v>0.5904216839158881</v>
      </c>
      <c r="F87" s="87" t="s">
        <v>2060</v>
      </c>
      <c r="G87" s="87" t="b">
        <v>0</v>
      </c>
      <c r="H87" s="87" t="b">
        <v>0</v>
      </c>
      <c r="I87" s="87" t="b">
        <v>0</v>
      </c>
      <c r="J87" s="87" t="b">
        <v>0</v>
      </c>
      <c r="K87" s="87" t="b">
        <v>0</v>
      </c>
      <c r="L87" s="87" t="b">
        <v>0</v>
      </c>
    </row>
    <row r="88" spans="1:12" ht="15">
      <c r="A88" s="88" t="s">
        <v>1825</v>
      </c>
      <c r="B88" s="87" t="s">
        <v>1838</v>
      </c>
      <c r="C88" s="87">
        <v>6</v>
      </c>
      <c r="D88" s="110">
        <v>0.0024786063643341652</v>
      </c>
      <c r="E88" s="110">
        <v>1.8323302274612128</v>
      </c>
      <c r="F88" s="87" t="s">
        <v>2060</v>
      </c>
      <c r="G88" s="87" t="b">
        <v>0</v>
      </c>
      <c r="H88" s="87" t="b">
        <v>0</v>
      </c>
      <c r="I88" s="87" t="b">
        <v>0</v>
      </c>
      <c r="J88" s="87" t="b">
        <v>0</v>
      </c>
      <c r="K88" s="87" t="b">
        <v>0</v>
      </c>
      <c r="L88" s="87" t="b">
        <v>0</v>
      </c>
    </row>
    <row r="89" spans="1:12" ht="15">
      <c r="A89" s="88" t="s">
        <v>1838</v>
      </c>
      <c r="B89" s="87" t="s">
        <v>1864</v>
      </c>
      <c r="C89" s="87">
        <v>6</v>
      </c>
      <c r="D89" s="110">
        <v>0.0024786063643341652</v>
      </c>
      <c r="E89" s="110">
        <v>2.469152325048387</v>
      </c>
      <c r="F89" s="87" t="s">
        <v>2060</v>
      </c>
      <c r="G89" s="87" t="b">
        <v>0</v>
      </c>
      <c r="H89" s="87" t="b">
        <v>0</v>
      </c>
      <c r="I89" s="87" t="b">
        <v>0</v>
      </c>
      <c r="J89" s="87" t="b">
        <v>0</v>
      </c>
      <c r="K89" s="87" t="b">
        <v>0</v>
      </c>
      <c r="L89" s="87" t="b">
        <v>0</v>
      </c>
    </row>
    <row r="90" spans="1:12" ht="15">
      <c r="A90" s="88" t="s">
        <v>1864</v>
      </c>
      <c r="B90" s="87" t="s">
        <v>1464</v>
      </c>
      <c r="C90" s="87">
        <v>6</v>
      </c>
      <c r="D90" s="110">
        <v>0.0024786063643341652</v>
      </c>
      <c r="E90" s="110">
        <v>2.063386978864393</v>
      </c>
      <c r="F90" s="87" t="s">
        <v>2060</v>
      </c>
      <c r="G90" s="87" t="b">
        <v>0</v>
      </c>
      <c r="H90" s="87" t="b">
        <v>0</v>
      </c>
      <c r="I90" s="87" t="b">
        <v>0</v>
      </c>
      <c r="J90" s="87" t="b">
        <v>0</v>
      </c>
      <c r="K90" s="87" t="b">
        <v>0</v>
      </c>
      <c r="L90" s="87" t="b">
        <v>0</v>
      </c>
    </row>
    <row r="91" spans="1:12" ht="15">
      <c r="A91" s="88" t="s">
        <v>1865</v>
      </c>
      <c r="B91" s="87" t="s">
        <v>1454</v>
      </c>
      <c r="C91" s="87">
        <v>6</v>
      </c>
      <c r="D91" s="110">
        <v>0.0024786063643341652</v>
      </c>
      <c r="E91" s="110">
        <v>1.4033350405587437</v>
      </c>
      <c r="F91" s="87" t="s">
        <v>2060</v>
      </c>
      <c r="G91" s="87" t="b">
        <v>0</v>
      </c>
      <c r="H91" s="87" t="b">
        <v>0</v>
      </c>
      <c r="I91" s="87" t="b">
        <v>0</v>
      </c>
      <c r="J91" s="87" t="b">
        <v>0</v>
      </c>
      <c r="K91" s="87" t="b">
        <v>0</v>
      </c>
      <c r="L91" s="87" t="b">
        <v>0</v>
      </c>
    </row>
    <row r="92" spans="1:12" ht="15">
      <c r="A92" s="88" t="s">
        <v>1472</v>
      </c>
      <c r="B92" s="87" t="s">
        <v>279</v>
      </c>
      <c r="C92" s="87">
        <v>6</v>
      </c>
      <c r="D92" s="110">
        <v>0.0024786063643341652</v>
      </c>
      <c r="E92" s="110">
        <v>2.0955716622357943</v>
      </c>
      <c r="F92" s="87" t="s">
        <v>2060</v>
      </c>
      <c r="G92" s="87" t="b">
        <v>0</v>
      </c>
      <c r="H92" s="87" t="b">
        <v>0</v>
      </c>
      <c r="I92" s="87" t="b">
        <v>0</v>
      </c>
      <c r="J92" s="87" t="b">
        <v>0</v>
      </c>
      <c r="K92" s="87" t="b">
        <v>0</v>
      </c>
      <c r="L92" s="87" t="b">
        <v>0</v>
      </c>
    </row>
    <row r="93" spans="1:12" ht="15">
      <c r="A93" s="88" t="s">
        <v>279</v>
      </c>
      <c r="B93" s="87" t="s">
        <v>1867</v>
      </c>
      <c r="C93" s="87">
        <v>6</v>
      </c>
      <c r="D93" s="110">
        <v>0.0024786063643341652</v>
      </c>
      <c r="E93" s="110">
        <v>2.7323937598229686</v>
      </c>
      <c r="F93" s="87" t="s">
        <v>2060</v>
      </c>
      <c r="G93" s="87" t="b">
        <v>0</v>
      </c>
      <c r="H93" s="87" t="b">
        <v>0</v>
      </c>
      <c r="I93" s="87" t="b">
        <v>0</v>
      </c>
      <c r="J93" s="87" t="b">
        <v>0</v>
      </c>
      <c r="K93" s="87" t="b">
        <v>0</v>
      </c>
      <c r="L93" s="87" t="b">
        <v>0</v>
      </c>
    </row>
    <row r="94" spans="1:12" ht="15">
      <c r="A94" s="88" t="s">
        <v>1867</v>
      </c>
      <c r="B94" s="87" t="s">
        <v>1868</v>
      </c>
      <c r="C94" s="87">
        <v>6</v>
      </c>
      <c r="D94" s="110">
        <v>0.0024786063643341652</v>
      </c>
      <c r="E94" s="110">
        <v>2.7323937598229686</v>
      </c>
      <c r="F94" s="87" t="s">
        <v>2060</v>
      </c>
      <c r="G94" s="87" t="b">
        <v>0</v>
      </c>
      <c r="H94" s="87" t="b">
        <v>0</v>
      </c>
      <c r="I94" s="87" t="b">
        <v>0</v>
      </c>
      <c r="J94" s="87" t="b">
        <v>0</v>
      </c>
      <c r="K94" s="87" t="b">
        <v>0</v>
      </c>
      <c r="L94" s="87" t="b">
        <v>0</v>
      </c>
    </row>
    <row r="95" spans="1:12" ht="15">
      <c r="A95" s="88" t="s">
        <v>1868</v>
      </c>
      <c r="B95" s="87" t="s">
        <v>1858</v>
      </c>
      <c r="C95" s="87">
        <v>6</v>
      </c>
      <c r="D95" s="110">
        <v>0.0024786063643341652</v>
      </c>
      <c r="E95" s="110">
        <v>2.6654469701923555</v>
      </c>
      <c r="F95" s="87" t="s">
        <v>2060</v>
      </c>
      <c r="G95" s="87" t="b">
        <v>0</v>
      </c>
      <c r="H95" s="87" t="b">
        <v>0</v>
      </c>
      <c r="I95" s="87" t="b">
        <v>0</v>
      </c>
      <c r="J95" s="87" t="b">
        <v>0</v>
      </c>
      <c r="K95" s="87" t="b">
        <v>0</v>
      </c>
      <c r="L95" s="87" t="b">
        <v>0</v>
      </c>
    </row>
    <row r="96" spans="1:12" ht="15">
      <c r="A96" s="88" t="s">
        <v>1858</v>
      </c>
      <c r="B96" s="87" t="s">
        <v>1446</v>
      </c>
      <c r="C96" s="87">
        <v>6</v>
      </c>
      <c r="D96" s="110">
        <v>0.0024786063643341652</v>
      </c>
      <c r="E96" s="110">
        <v>1.6727462089338547</v>
      </c>
      <c r="F96" s="87" t="s">
        <v>2060</v>
      </c>
      <c r="G96" s="87" t="b">
        <v>0</v>
      </c>
      <c r="H96" s="87" t="b">
        <v>0</v>
      </c>
      <c r="I96" s="87" t="b">
        <v>0</v>
      </c>
      <c r="J96" s="87" t="b">
        <v>0</v>
      </c>
      <c r="K96" s="87" t="b">
        <v>0</v>
      </c>
      <c r="L96" s="87" t="b">
        <v>0</v>
      </c>
    </row>
    <row r="97" spans="1:12" ht="15">
      <c r="A97" s="88" t="s">
        <v>1446</v>
      </c>
      <c r="B97" s="87" t="s">
        <v>341</v>
      </c>
      <c r="C97" s="87">
        <v>6</v>
      </c>
      <c r="D97" s="110">
        <v>0.0024786063643341652</v>
      </c>
      <c r="E97" s="110">
        <v>0.9615417481808244</v>
      </c>
      <c r="F97" s="87" t="s">
        <v>2060</v>
      </c>
      <c r="G97" s="87" t="b">
        <v>0</v>
      </c>
      <c r="H97" s="87" t="b">
        <v>0</v>
      </c>
      <c r="I97" s="87" t="b">
        <v>0</v>
      </c>
      <c r="J97" s="87" t="b">
        <v>0</v>
      </c>
      <c r="K97" s="87" t="b">
        <v>0</v>
      </c>
      <c r="L97" s="87" t="b">
        <v>0</v>
      </c>
    </row>
    <row r="98" spans="1:12" ht="15">
      <c r="A98" s="88" t="s">
        <v>341</v>
      </c>
      <c r="B98" s="87" t="s">
        <v>451</v>
      </c>
      <c r="C98" s="87">
        <v>6</v>
      </c>
      <c r="D98" s="110">
        <v>0.0024786063643341652</v>
      </c>
      <c r="E98" s="110">
        <v>1.7781512503836436</v>
      </c>
      <c r="F98" s="87" t="s">
        <v>2060</v>
      </c>
      <c r="G98" s="87" t="b">
        <v>0</v>
      </c>
      <c r="H98" s="87" t="b">
        <v>0</v>
      </c>
      <c r="I98" s="87" t="b">
        <v>0</v>
      </c>
      <c r="J98" s="87" t="b">
        <v>0</v>
      </c>
      <c r="K98" s="87" t="b">
        <v>0</v>
      </c>
      <c r="L98" s="87" t="b">
        <v>0</v>
      </c>
    </row>
    <row r="99" spans="1:12" ht="15">
      <c r="A99" s="88" t="s">
        <v>1871</v>
      </c>
      <c r="B99" s="87" t="s">
        <v>1872</v>
      </c>
      <c r="C99" s="87">
        <v>5</v>
      </c>
      <c r="D99" s="110">
        <v>0.0021822573620718824</v>
      </c>
      <c r="E99" s="110">
        <v>2.8115750058705933</v>
      </c>
      <c r="F99" s="87" t="s">
        <v>2060</v>
      </c>
      <c r="G99" s="87" t="b">
        <v>0</v>
      </c>
      <c r="H99" s="87" t="b">
        <v>0</v>
      </c>
      <c r="I99" s="87" t="b">
        <v>0</v>
      </c>
      <c r="J99" s="87" t="b">
        <v>0</v>
      </c>
      <c r="K99" s="87" t="b">
        <v>0</v>
      </c>
      <c r="L99" s="87" t="b">
        <v>0</v>
      </c>
    </row>
    <row r="100" spans="1:12" ht="15">
      <c r="A100" s="88" t="s">
        <v>1831</v>
      </c>
      <c r="B100" s="87" t="s">
        <v>1455</v>
      </c>
      <c r="C100" s="87">
        <v>5</v>
      </c>
      <c r="D100" s="110">
        <v>0.0021822573620718824</v>
      </c>
      <c r="E100" s="110">
        <v>0.9917679412798373</v>
      </c>
      <c r="F100" s="87" t="s">
        <v>2060</v>
      </c>
      <c r="G100" s="87" t="b">
        <v>0</v>
      </c>
      <c r="H100" s="87" t="b">
        <v>0</v>
      </c>
      <c r="I100" s="87" t="b">
        <v>0</v>
      </c>
      <c r="J100" s="87" t="b">
        <v>0</v>
      </c>
      <c r="K100" s="87" t="b">
        <v>0</v>
      </c>
      <c r="L100" s="87" t="b">
        <v>0</v>
      </c>
    </row>
    <row r="101" spans="1:12" ht="15">
      <c r="A101" s="88" t="s">
        <v>1437</v>
      </c>
      <c r="B101" s="87" t="s">
        <v>1833</v>
      </c>
      <c r="C101" s="87">
        <v>5</v>
      </c>
      <c r="D101" s="110">
        <v>0.0021822573620718824</v>
      </c>
      <c r="E101" s="110">
        <v>0.8122704335322445</v>
      </c>
      <c r="F101" s="87" t="s">
        <v>2060</v>
      </c>
      <c r="G101" s="87" t="b">
        <v>0</v>
      </c>
      <c r="H101" s="87" t="b">
        <v>0</v>
      </c>
      <c r="I101" s="87" t="b">
        <v>0</v>
      </c>
      <c r="J101" s="87" t="b">
        <v>1</v>
      </c>
      <c r="K101" s="87" t="b">
        <v>0</v>
      </c>
      <c r="L101" s="87" t="b">
        <v>0</v>
      </c>
    </row>
    <row r="102" spans="1:12" ht="15">
      <c r="A102" s="88" t="s">
        <v>1453</v>
      </c>
      <c r="B102" s="87" t="s">
        <v>1876</v>
      </c>
      <c r="C102" s="87">
        <v>5</v>
      </c>
      <c r="D102" s="110">
        <v>0.0021822573620718824</v>
      </c>
      <c r="E102" s="110">
        <v>1.3491770079716374</v>
      </c>
      <c r="F102" s="87" t="s">
        <v>2060</v>
      </c>
      <c r="G102" s="87" t="b">
        <v>0</v>
      </c>
      <c r="H102" s="87" t="b">
        <v>0</v>
      </c>
      <c r="I102" s="87" t="b">
        <v>0</v>
      </c>
      <c r="J102" s="87" t="b">
        <v>0</v>
      </c>
      <c r="K102" s="87" t="b">
        <v>0</v>
      </c>
      <c r="L102" s="87" t="b">
        <v>0</v>
      </c>
    </row>
    <row r="103" spans="1:12" ht="15">
      <c r="A103" s="88" t="s">
        <v>1876</v>
      </c>
      <c r="B103" s="87" t="s">
        <v>1823</v>
      </c>
      <c r="C103" s="87">
        <v>5</v>
      </c>
      <c r="D103" s="110">
        <v>0.0021822573620718824</v>
      </c>
      <c r="E103" s="110">
        <v>2.048147012307656</v>
      </c>
      <c r="F103" s="87" t="s">
        <v>2060</v>
      </c>
      <c r="G103" s="87" t="b">
        <v>0</v>
      </c>
      <c r="H103" s="87" t="b">
        <v>0</v>
      </c>
      <c r="I103" s="87" t="b">
        <v>0</v>
      </c>
      <c r="J103" s="87" t="b">
        <v>0</v>
      </c>
      <c r="K103" s="87" t="b">
        <v>0</v>
      </c>
      <c r="L103" s="87" t="b">
        <v>0</v>
      </c>
    </row>
    <row r="104" spans="1:12" ht="15">
      <c r="A104" s="88" t="s">
        <v>1819</v>
      </c>
      <c r="B104" s="87" t="s">
        <v>1877</v>
      </c>
      <c r="C104" s="87">
        <v>5</v>
      </c>
      <c r="D104" s="110">
        <v>0.0021822573620718824</v>
      </c>
      <c r="E104" s="110">
        <v>1.8384471522708947</v>
      </c>
      <c r="F104" s="87" t="s">
        <v>2060</v>
      </c>
      <c r="G104" s="87" t="b">
        <v>0</v>
      </c>
      <c r="H104" s="87" t="b">
        <v>0</v>
      </c>
      <c r="I104" s="87" t="b">
        <v>0</v>
      </c>
      <c r="J104" s="87" t="b">
        <v>0</v>
      </c>
      <c r="K104" s="87" t="b">
        <v>0</v>
      </c>
      <c r="L104" s="87" t="b">
        <v>0</v>
      </c>
    </row>
    <row r="105" spans="1:12" ht="15">
      <c r="A105" s="88" t="s">
        <v>1877</v>
      </c>
      <c r="B105" s="87" t="s">
        <v>1878</v>
      </c>
      <c r="C105" s="87">
        <v>5</v>
      </c>
      <c r="D105" s="110">
        <v>0.0021822573620718824</v>
      </c>
      <c r="E105" s="110">
        <v>2.8115750058705933</v>
      </c>
      <c r="F105" s="87" t="s">
        <v>2060</v>
      </c>
      <c r="G105" s="87" t="b">
        <v>0</v>
      </c>
      <c r="H105" s="87" t="b">
        <v>0</v>
      </c>
      <c r="I105" s="87" t="b">
        <v>0</v>
      </c>
      <c r="J105" s="87" t="b">
        <v>0</v>
      </c>
      <c r="K105" s="87" t="b">
        <v>0</v>
      </c>
      <c r="L105" s="87" t="b">
        <v>0</v>
      </c>
    </row>
    <row r="106" spans="1:12" ht="15">
      <c r="A106" s="88" t="s">
        <v>1878</v>
      </c>
      <c r="B106" s="87" t="s">
        <v>1462</v>
      </c>
      <c r="C106" s="87">
        <v>5</v>
      </c>
      <c r="D106" s="110">
        <v>0.0021822573620718824</v>
      </c>
      <c r="E106" s="110">
        <v>1.7701823207123684</v>
      </c>
      <c r="F106" s="87" t="s">
        <v>2060</v>
      </c>
      <c r="G106" s="87" t="b">
        <v>0</v>
      </c>
      <c r="H106" s="87" t="b">
        <v>0</v>
      </c>
      <c r="I106" s="87" t="b">
        <v>0</v>
      </c>
      <c r="J106" s="87" t="b">
        <v>0</v>
      </c>
      <c r="K106" s="87" t="b">
        <v>0</v>
      </c>
      <c r="L106" s="87" t="b">
        <v>0</v>
      </c>
    </row>
    <row r="107" spans="1:12" ht="15">
      <c r="A107" s="88" t="s">
        <v>1469</v>
      </c>
      <c r="B107" s="87" t="s">
        <v>1838</v>
      </c>
      <c r="C107" s="87">
        <v>5</v>
      </c>
      <c r="D107" s="110">
        <v>0.0021822573620718824</v>
      </c>
      <c r="E107" s="110">
        <v>1.5553384726646704</v>
      </c>
      <c r="F107" s="87" t="s">
        <v>2060</v>
      </c>
      <c r="G107" s="87" t="b">
        <v>0</v>
      </c>
      <c r="H107" s="87" t="b">
        <v>0</v>
      </c>
      <c r="I107" s="87" t="b">
        <v>0</v>
      </c>
      <c r="J107" s="87" t="b">
        <v>0</v>
      </c>
      <c r="K107" s="87" t="b">
        <v>0</v>
      </c>
      <c r="L107" s="87" t="b">
        <v>0</v>
      </c>
    </row>
    <row r="108" spans="1:12" ht="15">
      <c r="A108" s="88" t="s">
        <v>1838</v>
      </c>
      <c r="B108" s="87" t="s">
        <v>1842</v>
      </c>
      <c r="C108" s="87">
        <v>5</v>
      </c>
      <c r="D108" s="110">
        <v>0.0021822573620718824</v>
      </c>
      <c r="E108" s="110">
        <v>2.213879819945081</v>
      </c>
      <c r="F108" s="87" t="s">
        <v>2060</v>
      </c>
      <c r="G108" s="87" t="b">
        <v>0</v>
      </c>
      <c r="H108" s="87" t="b">
        <v>0</v>
      </c>
      <c r="I108" s="87" t="b">
        <v>0</v>
      </c>
      <c r="J108" s="87" t="b">
        <v>1</v>
      </c>
      <c r="K108" s="87" t="b">
        <v>0</v>
      </c>
      <c r="L108" s="87" t="b">
        <v>0</v>
      </c>
    </row>
    <row r="109" spans="1:12" ht="15">
      <c r="A109" s="88" t="s">
        <v>1843</v>
      </c>
      <c r="B109" s="87" t="s">
        <v>1879</v>
      </c>
      <c r="C109" s="87">
        <v>5</v>
      </c>
      <c r="D109" s="110">
        <v>0.0021822573620718824</v>
      </c>
      <c r="E109" s="110">
        <v>2.5563025007672873</v>
      </c>
      <c r="F109" s="87" t="s">
        <v>2060</v>
      </c>
      <c r="G109" s="87" t="b">
        <v>0</v>
      </c>
      <c r="H109" s="87" t="b">
        <v>0</v>
      </c>
      <c r="I109" s="87" t="b">
        <v>0</v>
      </c>
      <c r="J109" s="87" t="b">
        <v>0</v>
      </c>
      <c r="K109" s="87" t="b">
        <v>0</v>
      </c>
      <c r="L109" s="87" t="b">
        <v>0</v>
      </c>
    </row>
    <row r="110" spans="1:12" ht="15">
      <c r="A110" s="88" t="s">
        <v>1879</v>
      </c>
      <c r="B110" s="87" t="s">
        <v>1464</v>
      </c>
      <c r="C110" s="87">
        <v>5</v>
      </c>
      <c r="D110" s="110">
        <v>0.0021822573620718824</v>
      </c>
      <c r="E110" s="110">
        <v>2.063386978864393</v>
      </c>
      <c r="F110" s="87" t="s">
        <v>2060</v>
      </c>
      <c r="G110" s="87" t="b">
        <v>0</v>
      </c>
      <c r="H110" s="87" t="b">
        <v>0</v>
      </c>
      <c r="I110" s="87" t="b">
        <v>0</v>
      </c>
      <c r="J110" s="87" t="b">
        <v>0</v>
      </c>
      <c r="K110" s="87" t="b">
        <v>0</v>
      </c>
      <c r="L110" s="87" t="b">
        <v>0</v>
      </c>
    </row>
    <row r="111" spans="1:12" ht="15">
      <c r="A111" s="88" t="s">
        <v>1827</v>
      </c>
      <c r="B111" s="87" t="s">
        <v>1828</v>
      </c>
      <c r="C111" s="87">
        <v>5</v>
      </c>
      <c r="D111" s="110">
        <v>0.0021822573620718824</v>
      </c>
      <c r="E111" s="110">
        <v>1.5862657241447304</v>
      </c>
      <c r="F111" s="87" t="s">
        <v>2060</v>
      </c>
      <c r="G111" s="87" t="b">
        <v>0</v>
      </c>
      <c r="H111" s="87" t="b">
        <v>0</v>
      </c>
      <c r="I111" s="87" t="b">
        <v>0</v>
      </c>
      <c r="J111" s="87" t="b">
        <v>0</v>
      </c>
      <c r="K111" s="87" t="b">
        <v>0</v>
      </c>
      <c r="L111" s="87" t="b">
        <v>0</v>
      </c>
    </row>
    <row r="112" spans="1:12" ht="15">
      <c r="A112" s="88" t="s">
        <v>1880</v>
      </c>
      <c r="B112" s="87" t="s">
        <v>1455</v>
      </c>
      <c r="C112" s="87">
        <v>5</v>
      </c>
      <c r="D112" s="110">
        <v>0.0021822573620718824</v>
      </c>
      <c r="E112" s="110">
        <v>1.4067412892506552</v>
      </c>
      <c r="F112" s="87" t="s">
        <v>2060</v>
      </c>
      <c r="G112" s="87" t="b">
        <v>0</v>
      </c>
      <c r="H112" s="87" t="b">
        <v>0</v>
      </c>
      <c r="I112" s="87" t="b">
        <v>0</v>
      </c>
      <c r="J112" s="87" t="b">
        <v>0</v>
      </c>
      <c r="K112" s="87" t="b">
        <v>0</v>
      </c>
      <c r="L112" s="87" t="b">
        <v>0</v>
      </c>
    </row>
    <row r="113" spans="1:12" ht="15">
      <c r="A113" s="88" t="s">
        <v>1883</v>
      </c>
      <c r="B113" s="87" t="s">
        <v>1884</v>
      </c>
      <c r="C113" s="87">
        <v>5</v>
      </c>
      <c r="D113" s="110">
        <v>0.0021822573620718824</v>
      </c>
      <c r="E113" s="110">
        <v>2.8115750058705933</v>
      </c>
      <c r="F113" s="87" t="s">
        <v>2060</v>
      </c>
      <c r="G113" s="87" t="b">
        <v>0</v>
      </c>
      <c r="H113" s="87" t="b">
        <v>0</v>
      </c>
      <c r="I113" s="87" t="b">
        <v>0</v>
      </c>
      <c r="J113" s="87" t="b">
        <v>0</v>
      </c>
      <c r="K113" s="87" t="b">
        <v>0</v>
      </c>
      <c r="L113" s="87" t="b">
        <v>0</v>
      </c>
    </row>
    <row r="114" spans="1:12" ht="15">
      <c r="A114" s="88" t="s">
        <v>1462</v>
      </c>
      <c r="B114" s="87" t="s">
        <v>1820</v>
      </c>
      <c r="C114" s="87">
        <v>5</v>
      </c>
      <c r="D114" s="110">
        <v>0.0021822573620718824</v>
      </c>
      <c r="E114" s="110">
        <v>0.806394493366813</v>
      </c>
      <c r="F114" s="87" t="s">
        <v>2060</v>
      </c>
      <c r="G114" s="87" t="b">
        <v>0</v>
      </c>
      <c r="H114" s="87" t="b">
        <v>0</v>
      </c>
      <c r="I114" s="87" t="b">
        <v>0</v>
      </c>
      <c r="J114" s="87" t="b">
        <v>0</v>
      </c>
      <c r="K114" s="87" t="b">
        <v>0</v>
      </c>
      <c r="L114" s="87" t="b">
        <v>0</v>
      </c>
    </row>
    <row r="115" spans="1:12" ht="15">
      <c r="A115" s="88" t="s">
        <v>1490</v>
      </c>
      <c r="B115" s="87" t="s">
        <v>1886</v>
      </c>
      <c r="C115" s="87">
        <v>5</v>
      </c>
      <c r="D115" s="110">
        <v>0.0021822573620718824</v>
      </c>
      <c r="E115" s="110">
        <v>1.8293037728310249</v>
      </c>
      <c r="F115" s="87" t="s">
        <v>2060</v>
      </c>
      <c r="G115" s="87" t="b">
        <v>0</v>
      </c>
      <c r="H115" s="87" t="b">
        <v>0</v>
      </c>
      <c r="I115" s="87" t="b">
        <v>0</v>
      </c>
      <c r="J115" s="87" t="b">
        <v>0</v>
      </c>
      <c r="K115" s="87" t="b">
        <v>0</v>
      </c>
      <c r="L115" s="87" t="b">
        <v>0</v>
      </c>
    </row>
    <row r="116" spans="1:12" ht="15">
      <c r="A116" s="88" t="s">
        <v>1886</v>
      </c>
      <c r="B116" s="87" t="s">
        <v>1887</v>
      </c>
      <c r="C116" s="87">
        <v>5</v>
      </c>
      <c r="D116" s="110">
        <v>0.0021822573620718824</v>
      </c>
      <c r="E116" s="110">
        <v>2.8115750058705933</v>
      </c>
      <c r="F116" s="87" t="s">
        <v>2060</v>
      </c>
      <c r="G116" s="87" t="b">
        <v>0</v>
      </c>
      <c r="H116" s="87" t="b">
        <v>0</v>
      </c>
      <c r="I116" s="87" t="b">
        <v>0</v>
      </c>
      <c r="J116" s="87" t="b">
        <v>0</v>
      </c>
      <c r="K116" s="87" t="b">
        <v>0</v>
      </c>
      <c r="L116" s="87" t="b">
        <v>0</v>
      </c>
    </row>
    <row r="117" spans="1:12" ht="15">
      <c r="A117" s="88" t="s">
        <v>1887</v>
      </c>
      <c r="B117" s="87" t="s">
        <v>1467</v>
      </c>
      <c r="C117" s="87">
        <v>5</v>
      </c>
      <c r="D117" s="110">
        <v>0.0021822573620718824</v>
      </c>
      <c r="E117" s="110">
        <v>2.209515014542631</v>
      </c>
      <c r="F117" s="87" t="s">
        <v>2060</v>
      </c>
      <c r="G117" s="87" t="b">
        <v>0</v>
      </c>
      <c r="H117" s="87" t="b">
        <v>0</v>
      </c>
      <c r="I117" s="87" t="b">
        <v>0</v>
      </c>
      <c r="J117" s="87" t="b">
        <v>0</v>
      </c>
      <c r="K117" s="87" t="b">
        <v>0</v>
      </c>
      <c r="L117" s="87" t="b">
        <v>0</v>
      </c>
    </row>
    <row r="118" spans="1:12" ht="15">
      <c r="A118" s="88" t="s">
        <v>1467</v>
      </c>
      <c r="B118" s="87" t="s">
        <v>1888</v>
      </c>
      <c r="C118" s="87">
        <v>5</v>
      </c>
      <c r="D118" s="110">
        <v>0.0021822573620718824</v>
      </c>
      <c r="E118" s="110">
        <v>2.209515014542631</v>
      </c>
      <c r="F118" s="87" t="s">
        <v>2060</v>
      </c>
      <c r="G118" s="87" t="b">
        <v>0</v>
      </c>
      <c r="H118" s="87" t="b">
        <v>0</v>
      </c>
      <c r="I118" s="87" t="b">
        <v>0</v>
      </c>
      <c r="J118" s="87" t="b">
        <v>0</v>
      </c>
      <c r="K118" s="87" t="b">
        <v>0</v>
      </c>
      <c r="L118" s="87" t="b">
        <v>0</v>
      </c>
    </row>
    <row r="119" spans="1:12" ht="15">
      <c r="A119" s="88" t="s">
        <v>1888</v>
      </c>
      <c r="B119" s="87" t="s">
        <v>1889</v>
      </c>
      <c r="C119" s="87">
        <v>5</v>
      </c>
      <c r="D119" s="110">
        <v>0.0021822573620718824</v>
      </c>
      <c r="E119" s="110">
        <v>2.8115750058705933</v>
      </c>
      <c r="F119" s="87" t="s">
        <v>2060</v>
      </c>
      <c r="G119" s="87" t="b">
        <v>0</v>
      </c>
      <c r="H119" s="87" t="b">
        <v>0</v>
      </c>
      <c r="I119" s="87" t="b">
        <v>0</v>
      </c>
      <c r="J119" s="87" t="b">
        <v>0</v>
      </c>
      <c r="K119" s="87" t="b">
        <v>0</v>
      </c>
      <c r="L119" s="87" t="b">
        <v>0</v>
      </c>
    </row>
    <row r="120" spans="1:12" ht="15">
      <c r="A120" s="88" t="s">
        <v>1889</v>
      </c>
      <c r="B120" s="87" t="s">
        <v>1821</v>
      </c>
      <c r="C120" s="87">
        <v>5</v>
      </c>
      <c r="D120" s="110">
        <v>0.0021822573620718824</v>
      </c>
      <c r="E120" s="110">
        <v>1.8670923337204246</v>
      </c>
      <c r="F120" s="87" t="s">
        <v>2060</v>
      </c>
      <c r="G120" s="87" t="b">
        <v>0</v>
      </c>
      <c r="H120" s="87" t="b">
        <v>0</v>
      </c>
      <c r="I120" s="87" t="b">
        <v>0</v>
      </c>
      <c r="J120" s="87" t="b">
        <v>0</v>
      </c>
      <c r="K120" s="87" t="b">
        <v>0</v>
      </c>
      <c r="L120" s="87" t="b">
        <v>0</v>
      </c>
    </row>
    <row r="121" spans="1:12" ht="15">
      <c r="A121" s="88" t="s">
        <v>1821</v>
      </c>
      <c r="B121" s="87" t="s">
        <v>1836</v>
      </c>
      <c r="C121" s="87">
        <v>5</v>
      </c>
      <c r="D121" s="110">
        <v>0.0021822573620718824</v>
      </c>
      <c r="E121" s="110">
        <v>1.4868810920088187</v>
      </c>
      <c r="F121" s="87" t="s">
        <v>2060</v>
      </c>
      <c r="G121" s="87" t="b">
        <v>0</v>
      </c>
      <c r="H121" s="87" t="b">
        <v>0</v>
      </c>
      <c r="I121" s="87" t="b">
        <v>0</v>
      </c>
      <c r="J121" s="87" t="b">
        <v>0</v>
      </c>
      <c r="K121" s="87" t="b">
        <v>0</v>
      </c>
      <c r="L121" s="87" t="b">
        <v>0</v>
      </c>
    </row>
    <row r="122" spans="1:12" ht="15">
      <c r="A122" s="88" t="s">
        <v>1819</v>
      </c>
      <c r="B122" s="87" t="s">
        <v>284</v>
      </c>
      <c r="C122" s="87">
        <v>5</v>
      </c>
      <c r="D122" s="110">
        <v>0.0021822573620718824</v>
      </c>
      <c r="E122" s="110">
        <v>1.8384471522708947</v>
      </c>
      <c r="F122" s="87" t="s">
        <v>2060</v>
      </c>
      <c r="G122" s="87" t="b">
        <v>0</v>
      </c>
      <c r="H122" s="87" t="b">
        <v>0</v>
      </c>
      <c r="I122" s="87" t="b">
        <v>0</v>
      </c>
      <c r="J122" s="87" t="b">
        <v>0</v>
      </c>
      <c r="K122" s="87" t="b">
        <v>0</v>
      </c>
      <c r="L122" s="87" t="b">
        <v>0</v>
      </c>
    </row>
    <row r="123" spans="1:12" ht="15">
      <c r="A123" s="88" t="s">
        <v>284</v>
      </c>
      <c r="B123" s="87" t="s">
        <v>1455</v>
      </c>
      <c r="C123" s="87">
        <v>5</v>
      </c>
      <c r="D123" s="110">
        <v>0.0021822573620718824</v>
      </c>
      <c r="E123" s="110">
        <v>1.4067412892506552</v>
      </c>
      <c r="F123" s="87" t="s">
        <v>2060</v>
      </c>
      <c r="G123" s="87" t="b">
        <v>0</v>
      </c>
      <c r="H123" s="87" t="b">
        <v>0</v>
      </c>
      <c r="I123" s="87" t="b">
        <v>0</v>
      </c>
      <c r="J123" s="87" t="b">
        <v>0</v>
      </c>
      <c r="K123" s="87" t="b">
        <v>0</v>
      </c>
      <c r="L123" s="87" t="b">
        <v>0</v>
      </c>
    </row>
    <row r="124" spans="1:12" ht="15">
      <c r="A124" s="88" t="s">
        <v>1453</v>
      </c>
      <c r="B124" s="87" t="s">
        <v>1483</v>
      </c>
      <c r="C124" s="87">
        <v>5</v>
      </c>
      <c r="D124" s="110">
        <v>0.0021822573620718824</v>
      </c>
      <c r="E124" s="110">
        <v>1.2699957619240123</v>
      </c>
      <c r="F124" s="87" t="s">
        <v>2060</v>
      </c>
      <c r="G124" s="87" t="b">
        <v>0</v>
      </c>
      <c r="H124" s="87" t="b">
        <v>0</v>
      </c>
      <c r="I124" s="87" t="b">
        <v>0</v>
      </c>
      <c r="J124" s="87" t="b">
        <v>0</v>
      </c>
      <c r="K124" s="87" t="b">
        <v>0</v>
      </c>
      <c r="L124" s="87" t="b">
        <v>0</v>
      </c>
    </row>
    <row r="125" spans="1:12" ht="15">
      <c r="A125" s="88" t="s">
        <v>1460</v>
      </c>
      <c r="B125" s="87" t="s">
        <v>1828</v>
      </c>
      <c r="C125" s="87">
        <v>4</v>
      </c>
      <c r="D125" s="110">
        <v>0.0018601202665469855</v>
      </c>
      <c r="E125" s="110">
        <v>1.0407229942284493</v>
      </c>
      <c r="F125" s="87" t="s">
        <v>2060</v>
      </c>
      <c r="G125" s="87" t="b">
        <v>0</v>
      </c>
      <c r="H125" s="87" t="b">
        <v>0</v>
      </c>
      <c r="I125" s="87" t="b">
        <v>0</v>
      </c>
      <c r="J125" s="87" t="b">
        <v>0</v>
      </c>
      <c r="K125" s="87" t="b">
        <v>0</v>
      </c>
      <c r="L125" s="87" t="b">
        <v>0</v>
      </c>
    </row>
    <row r="126" spans="1:12" ht="15">
      <c r="A126" s="88" t="s">
        <v>1498</v>
      </c>
      <c r="B126" s="87" t="s">
        <v>1499</v>
      </c>
      <c r="C126" s="87">
        <v>4</v>
      </c>
      <c r="D126" s="110">
        <v>0.0018601202665469855</v>
      </c>
      <c r="E126" s="110">
        <v>2.90848501887865</v>
      </c>
      <c r="F126" s="87" t="s">
        <v>2060</v>
      </c>
      <c r="G126" s="87" t="b">
        <v>0</v>
      </c>
      <c r="H126" s="87" t="b">
        <v>0</v>
      </c>
      <c r="I126" s="87" t="b">
        <v>0</v>
      </c>
      <c r="J126" s="87" t="b">
        <v>0</v>
      </c>
      <c r="K126" s="87" t="b">
        <v>0</v>
      </c>
      <c r="L126" s="87" t="b">
        <v>0</v>
      </c>
    </row>
    <row r="127" spans="1:12" ht="15">
      <c r="A127" s="88" t="s">
        <v>1499</v>
      </c>
      <c r="B127" s="87" t="s">
        <v>1500</v>
      </c>
      <c r="C127" s="87">
        <v>4</v>
      </c>
      <c r="D127" s="110">
        <v>0.0018601202665469855</v>
      </c>
      <c r="E127" s="110">
        <v>2.8115750058705933</v>
      </c>
      <c r="F127" s="87" t="s">
        <v>2060</v>
      </c>
      <c r="G127" s="87" t="b">
        <v>0</v>
      </c>
      <c r="H127" s="87" t="b">
        <v>0</v>
      </c>
      <c r="I127" s="87" t="b">
        <v>0</v>
      </c>
      <c r="J127" s="87" t="b">
        <v>0</v>
      </c>
      <c r="K127" s="87" t="b">
        <v>0</v>
      </c>
      <c r="L127" s="87" t="b">
        <v>0</v>
      </c>
    </row>
    <row r="128" spans="1:12" ht="15">
      <c r="A128" s="88" t="s">
        <v>1500</v>
      </c>
      <c r="B128" s="87" t="s">
        <v>1501</v>
      </c>
      <c r="C128" s="87">
        <v>4</v>
      </c>
      <c r="D128" s="110">
        <v>0.0018601202665469855</v>
      </c>
      <c r="E128" s="110">
        <v>2.8115750058705933</v>
      </c>
      <c r="F128" s="87" t="s">
        <v>2060</v>
      </c>
      <c r="G128" s="87" t="b">
        <v>0</v>
      </c>
      <c r="H128" s="87" t="b">
        <v>0</v>
      </c>
      <c r="I128" s="87" t="b">
        <v>0</v>
      </c>
      <c r="J128" s="87" t="b">
        <v>1</v>
      </c>
      <c r="K128" s="87" t="b">
        <v>0</v>
      </c>
      <c r="L128" s="87" t="b">
        <v>0</v>
      </c>
    </row>
    <row r="129" spans="1:12" ht="15">
      <c r="A129" s="88" t="s">
        <v>1501</v>
      </c>
      <c r="B129" s="87" t="s">
        <v>1502</v>
      </c>
      <c r="C129" s="87">
        <v>4</v>
      </c>
      <c r="D129" s="110">
        <v>0.0018601202665469855</v>
      </c>
      <c r="E129" s="110">
        <v>2.90848501887865</v>
      </c>
      <c r="F129" s="87" t="s">
        <v>2060</v>
      </c>
      <c r="G129" s="87" t="b">
        <v>1</v>
      </c>
      <c r="H129" s="87" t="b">
        <v>0</v>
      </c>
      <c r="I129" s="87" t="b">
        <v>0</v>
      </c>
      <c r="J129" s="87" t="b">
        <v>0</v>
      </c>
      <c r="K129" s="87" t="b">
        <v>0</v>
      </c>
      <c r="L129" s="87" t="b">
        <v>0</v>
      </c>
    </row>
    <row r="130" spans="1:12" ht="15">
      <c r="A130" s="88" t="s">
        <v>1502</v>
      </c>
      <c r="B130" s="87" t="s">
        <v>1503</v>
      </c>
      <c r="C130" s="87">
        <v>4</v>
      </c>
      <c r="D130" s="110">
        <v>0.0018601202665469855</v>
      </c>
      <c r="E130" s="110">
        <v>2.90848501887865</v>
      </c>
      <c r="F130" s="87" t="s">
        <v>2060</v>
      </c>
      <c r="G130" s="87" t="b">
        <v>0</v>
      </c>
      <c r="H130" s="87" t="b">
        <v>0</v>
      </c>
      <c r="I130" s="87" t="b">
        <v>0</v>
      </c>
      <c r="J130" s="87" t="b">
        <v>0</v>
      </c>
      <c r="K130" s="87" t="b">
        <v>0</v>
      </c>
      <c r="L130" s="87" t="b">
        <v>0</v>
      </c>
    </row>
    <row r="131" spans="1:12" ht="15">
      <c r="A131" s="88" t="s">
        <v>1503</v>
      </c>
      <c r="B131" s="87" t="s">
        <v>1504</v>
      </c>
      <c r="C131" s="87">
        <v>4</v>
      </c>
      <c r="D131" s="110">
        <v>0.0018601202665469855</v>
      </c>
      <c r="E131" s="110">
        <v>2.90848501887865</v>
      </c>
      <c r="F131" s="87" t="s">
        <v>2060</v>
      </c>
      <c r="G131" s="87" t="b">
        <v>0</v>
      </c>
      <c r="H131" s="87" t="b">
        <v>0</v>
      </c>
      <c r="I131" s="87" t="b">
        <v>0</v>
      </c>
      <c r="J131" s="87" t="b">
        <v>0</v>
      </c>
      <c r="K131" s="87" t="b">
        <v>0</v>
      </c>
      <c r="L131" s="87" t="b">
        <v>0</v>
      </c>
    </row>
    <row r="132" spans="1:12" ht="15">
      <c r="A132" s="88" t="s">
        <v>1504</v>
      </c>
      <c r="B132" s="87" t="s">
        <v>1484</v>
      </c>
      <c r="C132" s="87">
        <v>4</v>
      </c>
      <c r="D132" s="110">
        <v>0.0018601202665469855</v>
      </c>
      <c r="E132" s="110">
        <v>2.510545010206612</v>
      </c>
      <c r="F132" s="87" t="s">
        <v>2060</v>
      </c>
      <c r="G132" s="87" t="b">
        <v>0</v>
      </c>
      <c r="H132" s="87" t="b">
        <v>0</v>
      </c>
      <c r="I132" s="87" t="b">
        <v>0</v>
      </c>
      <c r="J132" s="87" t="b">
        <v>0</v>
      </c>
      <c r="K132" s="87" t="b">
        <v>0</v>
      </c>
      <c r="L132" s="87" t="b">
        <v>0</v>
      </c>
    </row>
    <row r="133" spans="1:12" ht="15">
      <c r="A133" s="88" t="s">
        <v>1484</v>
      </c>
      <c r="B133" s="87" t="s">
        <v>1505</v>
      </c>
      <c r="C133" s="87">
        <v>4</v>
      </c>
      <c r="D133" s="110">
        <v>0.0018601202665469855</v>
      </c>
      <c r="E133" s="110">
        <v>2.510545010206612</v>
      </c>
      <c r="F133" s="87" t="s">
        <v>2060</v>
      </c>
      <c r="G133" s="87" t="b">
        <v>0</v>
      </c>
      <c r="H133" s="87" t="b">
        <v>0</v>
      </c>
      <c r="I133" s="87" t="b">
        <v>0</v>
      </c>
      <c r="J133" s="87" t="b">
        <v>0</v>
      </c>
      <c r="K133" s="87" t="b">
        <v>0</v>
      </c>
      <c r="L133" s="87" t="b">
        <v>0</v>
      </c>
    </row>
    <row r="134" spans="1:12" ht="15">
      <c r="A134" s="88" t="s">
        <v>1505</v>
      </c>
      <c r="B134" s="87" t="s">
        <v>1506</v>
      </c>
      <c r="C134" s="87">
        <v>4</v>
      </c>
      <c r="D134" s="110">
        <v>0.0018601202665469855</v>
      </c>
      <c r="E134" s="110">
        <v>2.90848501887865</v>
      </c>
      <c r="F134" s="87" t="s">
        <v>2060</v>
      </c>
      <c r="G134" s="87" t="b">
        <v>0</v>
      </c>
      <c r="H134" s="87" t="b">
        <v>0</v>
      </c>
      <c r="I134" s="87" t="b">
        <v>0</v>
      </c>
      <c r="J134" s="87" t="b">
        <v>1</v>
      </c>
      <c r="K134" s="87" t="b">
        <v>0</v>
      </c>
      <c r="L134" s="87" t="b">
        <v>0</v>
      </c>
    </row>
    <row r="135" spans="1:12" ht="15">
      <c r="A135" s="88" t="s">
        <v>1506</v>
      </c>
      <c r="B135" s="87" t="s">
        <v>1893</v>
      </c>
      <c r="C135" s="87">
        <v>4</v>
      </c>
      <c r="D135" s="110">
        <v>0.0018601202665469855</v>
      </c>
      <c r="E135" s="110">
        <v>2.90848501887865</v>
      </c>
      <c r="F135" s="87" t="s">
        <v>2060</v>
      </c>
      <c r="G135" s="87" t="b">
        <v>1</v>
      </c>
      <c r="H135" s="87" t="b">
        <v>0</v>
      </c>
      <c r="I135" s="87" t="b">
        <v>0</v>
      </c>
      <c r="J135" s="87" t="b">
        <v>0</v>
      </c>
      <c r="K135" s="87" t="b">
        <v>0</v>
      </c>
      <c r="L135" s="87" t="b">
        <v>0</v>
      </c>
    </row>
    <row r="136" spans="1:12" ht="15">
      <c r="A136" s="88" t="s">
        <v>1893</v>
      </c>
      <c r="B136" s="87" t="s">
        <v>1894</v>
      </c>
      <c r="C136" s="87">
        <v>4</v>
      </c>
      <c r="D136" s="110">
        <v>0.0018601202665469855</v>
      </c>
      <c r="E136" s="110">
        <v>2.90848501887865</v>
      </c>
      <c r="F136" s="87" t="s">
        <v>2060</v>
      </c>
      <c r="G136" s="87" t="b">
        <v>0</v>
      </c>
      <c r="H136" s="87" t="b">
        <v>0</v>
      </c>
      <c r="I136" s="87" t="b">
        <v>0</v>
      </c>
      <c r="J136" s="87" t="b">
        <v>0</v>
      </c>
      <c r="K136" s="87" t="b">
        <v>0</v>
      </c>
      <c r="L136" s="87" t="b">
        <v>0</v>
      </c>
    </row>
    <row r="137" spans="1:12" ht="15">
      <c r="A137" s="88" t="s">
        <v>1894</v>
      </c>
      <c r="B137" s="87" t="s">
        <v>1895</v>
      </c>
      <c r="C137" s="87">
        <v>4</v>
      </c>
      <c r="D137" s="110">
        <v>0.0018601202665469855</v>
      </c>
      <c r="E137" s="110">
        <v>2.90848501887865</v>
      </c>
      <c r="F137" s="87" t="s">
        <v>2060</v>
      </c>
      <c r="G137" s="87" t="b">
        <v>0</v>
      </c>
      <c r="H137" s="87" t="b">
        <v>0</v>
      </c>
      <c r="I137" s="87" t="b">
        <v>0</v>
      </c>
      <c r="J137" s="87" t="b">
        <v>0</v>
      </c>
      <c r="K137" s="87" t="b">
        <v>0</v>
      </c>
      <c r="L137" s="87" t="b">
        <v>0</v>
      </c>
    </row>
    <row r="138" spans="1:12" ht="15">
      <c r="A138" s="88" t="s">
        <v>1895</v>
      </c>
      <c r="B138" s="87" t="s">
        <v>1896</v>
      </c>
      <c r="C138" s="87">
        <v>4</v>
      </c>
      <c r="D138" s="110">
        <v>0.0018601202665469855</v>
      </c>
      <c r="E138" s="110">
        <v>2.90848501887865</v>
      </c>
      <c r="F138" s="87" t="s">
        <v>2060</v>
      </c>
      <c r="G138" s="87" t="b">
        <v>0</v>
      </c>
      <c r="H138" s="87" t="b">
        <v>0</v>
      </c>
      <c r="I138" s="87" t="b">
        <v>0</v>
      </c>
      <c r="J138" s="87" t="b">
        <v>0</v>
      </c>
      <c r="K138" s="87" t="b">
        <v>0</v>
      </c>
      <c r="L138" s="87" t="b">
        <v>0</v>
      </c>
    </row>
    <row r="139" spans="1:12" ht="15">
      <c r="A139" s="88" t="s">
        <v>1896</v>
      </c>
      <c r="B139" s="87" t="s">
        <v>1897</v>
      </c>
      <c r="C139" s="87">
        <v>4</v>
      </c>
      <c r="D139" s="110">
        <v>0.0018601202665469855</v>
      </c>
      <c r="E139" s="110">
        <v>2.90848501887865</v>
      </c>
      <c r="F139" s="87" t="s">
        <v>2060</v>
      </c>
      <c r="G139" s="87" t="b">
        <v>0</v>
      </c>
      <c r="H139" s="87" t="b">
        <v>0</v>
      </c>
      <c r="I139" s="87" t="b">
        <v>0</v>
      </c>
      <c r="J139" s="87" t="b">
        <v>0</v>
      </c>
      <c r="K139" s="87" t="b">
        <v>0</v>
      </c>
      <c r="L139" s="87" t="b">
        <v>0</v>
      </c>
    </row>
    <row r="140" spans="1:12" ht="15">
      <c r="A140" s="88" t="s">
        <v>1897</v>
      </c>
      <c r="B140" s="87" t="s">
        <v>1456</v>
      </c>
      <c r="C140" s="87">
        <v>4</v>
      </c>
      <c r="D140" s="110">
        <v>0.0018601202665469855</v>
      </c>
      <c r="E140" s="110">
        <v>1.5710257575879936</v>
      </c>
      <c r="F140" s="87" t="s">
        <v>2060</v>
      </c>
      <c r="G140" s="87" t="b">
        <v>0</v>
      </c>
      <c r="H140" s="87" t="b">
        <v>0</v>
      </c>
      <c r="I140" s="87" t="b">
        <v>0</v>
      </c>
      <c r="J140" s="87" t="b">
        <v>0</v>
      </c>
      <c r="K140" s="87" t="b">
        <v>0</v>
      </c>
      <c r="L140" s="87" t="b">
        <v>0</v>
      </c>
    </row>
    <row r="141" spans="1:12" ht="15">
      <c r="A141" s="88" t="s">
        <v>1456</v>
      </c>
      <c r="B141" s="87" t="s">
        <v>1453</v>
      </c>
      <c r="C141" s="87">
        <v>4</v>
      </c>
      <c r="D141" s="110">
        <v>0.0018601202665469855</v>
      </c>
      <c r="E141" s="110">
        <v>0.2709952893661391</v>
      </c>
      <c r="F141" s="87" t="s">
        <v>2060</v>
      </c>
      <c r="G141" s="87" t="b">
        <v>0</v>
      </c>
      <c r="H141" s="87" t="b">
        <v>0</v>
      </c>
      <c r="I141" s="87" t="b">
        <v>0</v>
      </c>
      <c r="J141" s="87" t="b">
        <v>0</v>
      </c>
      <c r="K141" s="87" t="b">
        <v>0</v>
      </c>
      <c r="L141" s="87" t="b">
        <v>0</v>
      </c>
    </row>
    <row r="142" spans="1:12" ht="15">
      <c r="A142" s="88" t="s">
        <v>1460</v>
      </c>
      <c r="B142" s="87" t="s">
        <v>1464</v>
      </c>
      <c r="C142" s="87">
        <v>4</v>
      </c>
      <c r="D142" s="110">
        <v>0.0018601202665469855</v>
      </c>
      <c r="E142" s="110">
        <v>0.8945949585502111</v>
      </c>
      <c r="F142" s="87" t="s">
        <v>2060</v>
      </c>
      <c r="G142" s="87" t="b">
        <v>0</v>
      </c>
      <c r="H142" s="87" t="b">
        <v>0</v>
      </c>
      <c r="I142" s="87" t="b">
        <v>0</v>
      </c>
      <c r="J142" s="87" t="b">
        <v>0</v>
      </c>
      <c r="K142" s="87" t="b">
        <v>0</v>
      </c>
      <c r="L142" s="87" t="b">
        <v>0</v>
      </c>
    </row>
    <row r="143" spans="1:12" ht="15">
      <c r="A143" s="88" t="s">
        <v>1490</v>
      </c>
      <c r="B143" s="87" t="s">
        <v>1524</v>
      </c>
      <c r="C143" s="87">
        <v>4</v>
      </c>
      <c r="D143" s="110">
        <v>0.0018601202665469855</v>
      </c>
      <c r="E143" s="110">
        <v>1.8293037728310249</v>
      </c>
      <c r="F143" s="87" t="s">
        <v>2060</v>
      </c>
      <c r="G143" s="87" t="b">
        <v>0</v>
      </c>
      <c r="H143" s="87" t="b">
        <v>0</v>
      </c>
      <c r="I143" s="87" t="b">
        <v>0</v>
      </c>
      <c r="J143" s="87" t="b">
        <v>0</v>
      </c>
      <c r="K143" s="87" t="b">
        <v>0</v>
      </c>
      <c r="L143" s="87" t="b">
        <v>0</v>
      </c>
    </row>
    <row r="144" spans="1:12" ht="15">
      <c r="A144" s="88" t="s">
        <v>1524</v>
      </c>
      <c r="B144" s="87" t="s">
        <v>1900</v>
      </c>
      <c r="C144" s="87">
        <v>4</v>
      </c>
      <c r="D144" s="110">
        <v>0.0018601202665469855</v>
      </c>
      <c r="E144" s="110">
        <v>2.90848501887865</v>
      </c>
      <c r="F144" s="87" t="s">
        <v>2060</v>
      </c>
      <c r="G144" s="87" t="b">
        <v>0</v>
      </c>
      <c r="H144" s="87" t="b">
        <v>0</v>
      </c>
      <c r="I144" s="87" t="b">
        <v>0</v>
      </c>
      <c r="J144" s="87" t="b">
        <v>0</v>
      </c>
      <c r="K144" s="87" t="b">
        <v>0</v>
      </c>
      <c r="L144" s="87" t="b">
        <v>0</v>
      </c>
    </row>
    <row r="145" spans="1:12" ht="15">
      <c r="A145" s="88" t="s">
        <v>1900</v>
      </c>
      <c r="B145" s="87" t="s">
        <v>1493</v>
      </c>
      <c r="C145" s="87">
        <v>4</v>
      </c>
      <c r="D145" s="110">
        <v>0.0018601202665469855</v>
      </c>
      <c r="E145" s="110">
        <v>1.9664769658563366</v>
      </c>
      <c r="F145" s="87" t="s">
        <v>2060</v>
      </c>
      <c r="G145" s="87" t="b">
        <v>0</v>
      </c>
      <c r="H145" s="87" t="b">
        <v>0</v>
      </c>
      <c r="I145" s="87" t="b">
        <v>0</v>
      </c>
      <c r="J145" s="87" t="b">
        <v>0</v>
      </c>
      <c r="K145" s="87" t="b">
        <v>0</v>
      </c>
      <c r="L145" s="87" t="b">
        <v>0</v>
      </c>
    </row>
    <row r="146" spans="1:12" ht="15">
      <c r="A146" s="88" t="s">
        <v>1493</v>
      </c>
      <c r="B146" s="87" t="s">
        <v>324</v>
      </c>
      <c r="C146" s="87">
        <v>4</v>
      </c>
      <c r="D146" s="110">
        <v>0.0018601202665469855</v>
      </c>
      <c r="E146" s="110">
        <v>1.6654469701923553</v>
      </c>
      <c r="F146" s="87" t="s">
        <v>2060</v>
      </c>
      <c r="G146" s="87" t="b">
        <v>0</v>
      </c>
      <c r="H146" s="87" t="b">
        <v>0</v>
      </c>
      <c r="I146" s="87" t="b">
        <v>0</v>
      </c>
      <c r="J146" s="87" t="b">
        <v>0</v>
      </c>
      <c r="K146" s="87" t="b">
        <v>0</v>
      </c>
      <c r="L146" s="87" t="b">
        <v>0</v>
      </c>
    </row>
    <row r="147" spans="1:12" ht="15">
      <c r="A147" s="88" t="s">
        <v>324</v>
      </c>
      <c r="B147" s="87" t="s">
        <v>1821</v>
      </c>
      <c r="C147" s="87">
        <v>4</v>
      </c>
      <c r="D147" s="110">
        <v>0.0018601202665469855</v>
      </c>
      <c r="E147" s="110">
        <v>1.5660623380564436</v>
      </c>
      <c r="F147" s="87" t="s">
        <v>2060</v>
      </c>
      <c r="G147" s="87" t="b">
        <v>0</v>
      </c>
      <c r="H147" s="87" t="b">
        <v>0</v>
      </c>
      <c r="I147" s="87" t="b">
        <v>0</v>
      </c>
      <c r="J147" s="87" t="b">
        <v>0</v>
      </c>
      <c r="K147" s="87" t="b">
        <v>0</v>
      </c>
      <c r="L147" s="87" t="b">
        <v>0</v>
      </c>
    </row>
    <row r="148" spans="1:12" ht="15">
      <c r="A148" s="88" t="s">
        <v>1821</v>
      </c>
      <c r="B148" s="87" t="s">
        <v>1874</v>
      </c>
      <c r="C148" s="87">
        <v>4</v>
      </c>
      <c r="D148" s="110">
        <v>0.0018601202665469855</v>
      </c>
      <c r="E148" s="110">
        <v>1.7701823207123684</v>
      </c>
      <c r="F148" s="87" t="s">
        <v>2060</v>
      </c>
      <c r="G148" s="87" t="b">
        <v>0</v>
      </c>
      <c r="H148" s="87" t="b">
        <v>0</v>
      </c>
      <c r="I148" s="87" t="b">
        <v>0</v>
      </c>
      <c r="J148" s="87" t="b">
        <v>0</v>
      </c>
      <c r="K148" s="87" t="b">
        <v>0</v>
      </c>
      <c r="L148" s="87" t="b">
        <v>0</v>
      </c>
    </row>
    <row r="149" spans="1:12" ht="15">
      <c r="A149" s="88" t="s">
        <v>1874</v>
      </c>
      <c r="B149" s="87" t="s">
        <v>1437</v>
      </c>
      <c r="C149" s="87">
        <v>4</v>
      </c>
      <c r="D149" s="110">
        <v>0.0018601202665469855</v>
      </c>
      <c r="E149" s="110">
        <v>1.0955716622357943</v>
      </c>
      <c r="F149" s="87" t="s">
        <v>2060</v>
      </c>
      <c r="G149" s="87" t="b">
        <v>0</v>
      </c>
      <c r="H149" s="87" t="b">
        <v>0</v>
      </c>
      <c r="I149" s="87" t="b">
        <v>0</v>
      </c>
      <c r="J149" s="87" t="b">
        <v>0</v>
      </c>
      <c r="K149" s="87" t="b">
        <v>0</v>
      </c>
      <c r="L149" s="87" t="b">
        <v>0</v>
      </c>
    </row>
    <row r="150" spans="1:12" ht="15">
      <c r="A150" s="88" t="s">
        <v>1437</v>
      </c>
      <c r="B150" s="87" t="s">
        <v>1875</v>
      </c>
      <c r="C150" s="87">
        <v>4</v>
      </c>
      <c r="D150" s="110">
        <v>0.0018601202665469855</v>
      </c>
      <c r="E150" s="110">
        <v>1.0955716622357943</v>
      </c>
      <c r="F150" s="87" t="s">
        <v>2060</v>
      </c>
      <c r="G150" s="87" t="b">
        <v>0</v>
      </c>
      <c r="H150" s="87" t="b">
        <v>0</v>
      </c>
      <c r="I150" s="87" t="b">
        <v>0</v>
      </c>
      <c r="J150" s="87" t="b">
        <v>0</v>
      </c>
      <c r="K150" s="87" t="b">
        <v>0</v>
      </c>
      <c r="L150" s="87" t="b">
        <v>0</v>
      </c>
    </row>
    <row r="151" spans="1:12" ht="15">
      <c r="A151" s="88" t="s">
        <v>1875</v>
      </c>
      <c r="B151" s="87" t="s">
        <v>1455</v>
      </c>
      <c r="C151" s="87">
        <v>4</v>
      </c>
      <c r="D151" s="110">
        <v>0.0018601202665469855</v>
      </c>
      <c r="E151" s="110">
        <v>1.3098312762425988</v>
      </c>
      <c r="F151" s="87" t="s">
        <v>2060</v>
      </c>
      <c r="G151" s="87" t="b">
        <v>0</v>
      </c>
      <c r="H151" s="87" t="b">
        <v>0</v>
      </c>
      <c r="I151" s="87" t="b">
        <v>0</v>
      </c>
      <c r="J151" s="87" t="b">
        <v>0</v>
      </c>
      <c r="K151" s="87" t="b">
        <v>0</v>
      </c>
      <c r="L151" s="87" t="b">
        <v>0</v>
      </c>
    </row>
    <row r="152" spans="1:12" ht="15">
      <c r="A152" s="88" t="s">
        <v>1458</v>
      </c>
      <c r="B152" s="87" t="s">
        <v>289</v>
      </c>
      <c r="C152" s="87">
        <v>4</v>
      </c>
      <c r="D152" s="110">
        <v>0.0018601202665469855</v>
      </c>
      <c r="E152" s="110">
        <v>2.3344537511509307</v>
      </c>
      <c r="F152" s="87" t="s">
        <v>2060</v>
      </c>
      <c r="G152" s="87" t="b">
        <v>0</v>
      </c>
      <c r="H152" s="87" t="b">
        <v>0</v>
      </c>
      <c r="I152" s="87" t="b">
        <v>0</v>
      </c>
      <c r="J152" s="87" t="b">
        <v>0</v>
      </c>
      <c r="K152" s="87" t="b">
        <v>0</v>
      </c>
      <c r="L152" s="87" t="b">
        <v>0</v>
      </c>
    </row>
    <row r="153" spans="1:12" ht="15">
      <c r="A153" s="88" t="s">
        <v>289</v>
      </c>
      <c r="B153" s="87" t="s">
        <v>290</v>
      </c>
      <c r="C153" s="87">
        <v>4</v>
      </c>
      <c r="D153" s="110">
        <v>0.0018601202665469855</v>
      </c>
      <c r="E153" s="110">
        <v>2.90848501887865</v>
      </c>
      <c r="F153" s="87" t="s">
        <v>2060</v>
      </c>
      <c r="G153" s="87" t="b">
        <v>0</v>
      </c>
      <c r="H153" s="87" t="b">
        <v>0</v>
      </c>
      <c r="I153" s="87" t="b">
        <v>0</v>
      </c>
      <c r="J153" s="87" t="b">
        <v>0</v>
      </c>
      <c r="K153" s="87" t="b">
        <v>0</v>
      </c>
      <c r="L153" s="87" t="b">
        <v>0</v>
      </c>
    </row>
    <row r="154" spans="1:12" ht="15">
      <c r="A154" s="88" t="s">
        <v>290</v>
      </c>
      <c r="B154" s="87" t="s">
        <v>1454</v>
      </c>
      <c r="C154" s="87">
        <v>4</v>
      </c>
      <c r="D154" s="110">
        <v>0.0018601202665469855</v>
      </c>
      <c r="E154" s="110">
        <v>1.403335040558744</v>
      </c>
      <c r="F154" s="87" t="s">
        <v>2060</v>
      </c>
      <c r="G154" s="87" t="b">
        <v>0</v>
      </c>
      <c r="H154" s="87" t="b">
        <v>0</v>
      </c>
      <c r="I154" s="87" t="b">
        <v>0</v>
      </c>
      <c r="J154" s="87" t="b">
        <v>0</v>
      </c>
      <c r="K154" s="87" t="b">
        <v>0</v>
      </c>
      <c r="L154" s="87" t="b">
        <v>0</v>
      </c>
    </row>
    <row r="155" spans="1:12" ht="15">
      <c r="A155" s="88" t="s">
        <v>1826</v>
      </c>
      <c r="B155" s="87" t="s">
        <v>1472</v>
      </c>
      <c r="C155" s="87">
        <v>4</v>
      </c>
      <c r="D155" s="110">
        <v>0.0018601202665469855</v>
      </c>
      <c r="E155" s="110">
        <v>1.3552089727415504</v>
      </c>
      <c r="F155" s="87" t="s">
        <v>2060</v>
      </c>
      <c r="G155" s="87" t="b">
        <v>0</v>
      </c>
      <c r="H155" s="87" t="b">
        <v>0</v>
      </c>
      <c r="I155" s="87" t="b">
        <v>0</v>
      </c>
      <c r="J155" s="87" t="b">
        <v>0</v>
      </c>
      <c r="K155" s="87" t="b">
        <v>0</v>
      </c>
      <c r="L155" s="87" t="b">
        <v>0</v>
      </c>
    </row>
    <row r="156" spans="1:12" ht="15">
      <c r="A156" s="88" t="s">
        <v>1825</v>
      </c>
      <c r="B156" s="87" t="s">
        <v>1842</v>
      </c>
      <c r="C156" s="87">
        <v>4</v>
      </c>
      <c r="D156" s="110">
        <v>0.0018601202665469855</v>
      </c>
      <c r="E156" s="110">
        <v>1.7433891441244316</v>
      </c>
      <c r="F156" s="87" t="s">
        <v>2060</v>
      </c>
      <c r="G156" s="87" t="b">
        <v>0</v>
      </c>
      <c r="H156" s="87" t="b">
        <v>0</v>
      </c>
      <c r="I156" s="87" t="b">
        <v>0</v>
      </c>
      <c r="J156" s="87" t="b">
        <v>1</v>
      </c>
      <c r="K156" s="87" t="b">
        <v>0</v>
      </c>
      <c r="L156" s="87" t="b">
        <v>0</v>
      </c>
    </row>
    <row r="157" spans="1:12" ht="15">
      <c r="A157" s="88" t="s">
        <v>1843</v>
      </c>
      <c r="B157" s="87" t="s">
        <v>1464</v>
      </c>
      <c r="C157" s="87">
        <v>4</v>
      </c>
      <c r="D157" s="110">
        <v>0.0018601202665469855</v>
      </c>
      <c r="E157" s="110">
        <v>1.7112044607530303</v>
      </c>
      <c r="F157" s="87" t="s">
        <v>2060</v>
      </c>
      <c r="G157" s="87" t="b">
        <v>0</v>
      </c>
      <c r="H157" s="87" t="b">
        <v>0</v>
      </c>
      <c r="I157" s="87" t="b">
        <v>0</v>
      </c>
      <c r="J157" s="87" t="b">
        <v>0</v>
      </c>
      <c r="K157" s="87" t="b">
        <v>0</v>
      </c>
      <c r="L157" s="87" t="b">
        <v>0</v>
      </c>
    </row>
    <row r="158" spans="1:12" ht="15">
      <c r="A158" s="88" t="s">
        <v>1453</v>
      </c>
      <c r="B158" s="87" t="s">
        <v>1902</v>
      </c>
      <c r="C158" s="87">
        <v>4</v>
      </c>
      <c r="D158" s="110">
        <v>0.0018601202665469855</v>
      </c>
      <c r="E158" s="110">
        <v>1.3491770079716372</v>
      </c>
      <c r="F158" s="87" t="s">
        <v>2060</v>
      </c>
      <c r="G158" s="87" t="b">
        <v>0</v>
      </c>
      <c r="H158" s="87" t="b">
        <v>0</v>
      </c>
      <c r="I158" s="87" t="b">
        <v>0</v>
      </c>
      <c r="J158" s="87" t="b">
        <v>1</v>
      </c>
      <c r="K158" s="87" t="b">
        <v>0</v>
      </c>
      <c r="L158" s="87" t="b">
        <v>0</v>
      </c>
    </row>
    <row r="159" spans="1:12" ht="15">
      <c r="A159" s="88" t="s">
        <v>1902</v>
      </c>
      <c r="B159" s="87" t="s">
        <v>1516</v>
      </c>
      <c r="C159" s="87">
        <v>4</v>
      </c>
      <c r="D159" s="110">
        <v>0.0018601202665469855</v>
      </c>
      <c r="E159" s="110">
        <v>2.048147012307656</v>
      </c>
      <c r="F159" s="87" t="s">
        <v>2060</v>
      </c>
      <c r="G159" s="87" t="b">
        <v>1</v>
      </c>
      <c r="H159" s="87" t="b">
        <v>0</v>
      </c>
      <c r="I159" s="87" t="b">
        <v>0</v>
      </c>
      <c r="J159" s="87" t="b">
        <v>0</v>
      </c>
      <c r="K159" s="87" t="b">
        <v>0</v>
      </c>
      <c r="L159" s="87" t="b">
        <v>0</v>
      </c>
    </row>
    <row r="160" spans="1:12" ht="15">
      <c r="A160" s="88" t="s">
        <v>1453</v>
      </c>
      <c r="B160" s="87" t="s">
        <v>1516</v>
      </c>
      <c r="C160" s="87">
        <v>4</v>
      </c>
      <c r="D160" s="110">
        <v>0.0018601202665469855</v>
      </c>
      <c r="E160" s="110">
        <v>0.48883900140064357</v>
      </c>
      <c r="F160" s="87" t="s">
        <v>2060</v>
      </c>
      <c r="G160" s="87" t="b">
        <v>0</v>
      </c>
      <c r="H160" s="87" t="b">
        <v>0</v>
      </c>
      <c r="I160" s="87" t="b">
        <v>0</v>
      </c>
      <c r="J160" s="87" t="b">
        <v>0</v>
      </c>
      <c r="K160" s="87" t="b">
        <v>0</v>
      </c>
      <c r="L160" s="87" t="b">
        <v>0</v>
      </c>
    </row>
    <row r="161" spans="1:12" ht="15">
      <c r="A161" s="88" t="s">
        <v>1437</v>
      </c>
      <c r="B161" s="87" t="s">
        <v>1828</v>
      </c>
      <c r="C161" s="87">
        <v>4</v>
      </c>
      <c r="D161" s="110">
        <v>0.0018601202665469855</v>
      </c>
      <c r="E161" s="110">
        <v>0.49351167090783177</v>
      </c>
      <c r="F161" s="87" t="s">
        <v>2060</v>
      </c>
      <c r="G161" s="87" t="b">
        <v>0</v>
      </c>
      <c r="H161" s="87" t="b">
        <v>0</v>
      </c>
      <c r="I161" s="87" t="b">
        <v>0</v>
      </c>
      <c r="J161" s="87" t="b">
        <v>0</v>
      </c>
      <c r="K161" s="87" t="b">
        <v>0</v>
      </c>
      <c r="L161" s="87" t="b">
        <v>0</v>
      </c>
    </row>
    <row r="162" spans="1:12" ht="15">
      <c r="A162" s="88" t="s">
        <v>1437</v>
      </c>
      <c r="B162" s="87" t="s">
        <v>1453</v>
      </c>
      <c r="C162" s="87">
        <v>4</v>
      </c>
      <c r="D162" s="110">
        <v>0.0018601202665469855</v>
      </c>
      <c r="E162" s="110">
        <v>0.0021499770735590295</v>
      </c>
      <c r="F162" s="87" t="s">
        <v>2060</v>
      </c>
      <c r="G162" s="87" t="b">
        <v>0</v>
      </c>
      <c r="H162" s="87" t="b">
        <v>0</v>
      </c>
      <c r="I162" s="87" t="b">
        <v>0</v>
      </c>
      <c r="J162" s="87" t="b">
        <v>0</v>
      </c>
      <c r="K162" s="87" t="b">
        <v>0</v>
      </c>
      <c r="L162" s="87" t="b">
        <v>0</v>
      </c>
    </row>
    <row r="163" spans="1:12" ht="15">
      <c r="A163" s="88" t="s">
        <v>1826</v>
      </c>
      <c r="B163" s="87" t="s">
        <v>1828</v>
      </c>
      <c r="C163" s="87">
        <v>4</v>
      </c>
      <c r="D163" s="110">
        <v>0.0018601202665469855</v>
      </c>
      <c r="E163" s="110">
        <v>1.469152325048387</v>
      </c>
      <c r="F163" s="87" t="s">
        <v>2060</v>
      </c>
      <c r="G163" s="87" t="b">
        <v>0</v>
      </c>
      <c r="H163" s="87" t="b">
        <v>0</v>
      </c>
      <c r="I163" s="87" t="b">
        <v>0</v>
      </c>
      <c r="J163" s="87" t="b">
        <v>0</v>
      </c>
      <c r="K163" s="87" t="b">
        <v>0</v>
      </c>
      <c r="L163" s="87" t="b">
        <v>0</v>
      </c>
    </row>
    <row r="164" spans="1:12" ht="15">
      <c r="A164" s="88" t="s">
        <v>1453</v>
      </c>
      <c r="B164" s="87" t="s">
        <v>1844</v>
      </c>
      <c r="C164" s="87">
        <v>4</v>
      </c>
      <c r="D164" s="110">
        <v>0.0018601202665469855</v>
      </c>
      <c r="E164" s="110">
        <v>0.9969944898602747</v>
      </c>
      <c r="F164" s="87" t="s">
        <v>2060</v>
      </c>
      <c r="G164" s="87" t="b">
        <v>0</v>
      </c>
      <c r="H164" s="87" t="b">
        <v>0</v>
      </c>
      <c r="I164" s="87" t="b">
        <v>0</v>
      </c>
      <c r="J164" s="87" t="b">
        <v>1</v>
      </c>
      <c r="K164" s="87" t="b">
        <v>0</v>
      </c>
      <c r="L164" s="87" t="b">
        <v>0</v>
      </c>
    </row>
    <row r="165" spans="1:12" ht="15">
      <c r="A165" s="88" t="s">
        <v>1852</v>
      </c>
      <c r="B165" s="87" t="s">
        <v>1908</v>
      </c>
      <c r="C165" s="87">
        <v>4</v>
      </c>
      <c r="D165" s="110">
        <v>0.0018601202665469855</v>
      </c>
      <c r="E165" s="110">
        <v>2.5563025007672873</v>
      </c>
      <c r="F165" s="87" t="s">
        <v>2060</v>
      </c>
      <c r="G165" s="87" t="b">
        <v>0</v>
      </c>
      <c r="H165" s="87" t="b">
        <v>0</v>
      </c>
      <c r="I165" s="87" t="b">
        <v>0</v>
      </c>
      <c r="J165" s="87" t="b">
        <v>0</v>
      </c>
      <c r="K165" s="87" t="b">
        <v>0</v>
      </c>
      <c r="L165" s="87" t="b">
        <v>0</v>
      </c>
    </row>
    <row r="166" spans="1:12" ht="15">
      <c r="A166" s="88" t="s">
        <v>1908</v>
      </c>
      <c r="B166" s="87" t="s">
        <v>1909</v>
      </c>
      <c r="C166" s="87">
        <v>4</v>
      </c>
      <c r="D166" s="110">
        <v>0.0018601202665469855</v>
      </c>
      <c r="E166" s="110">
        <v>2.90848501887865</v>
      </c>
      <c r="F166" s="87" t="s">
        <v>2060</v>
      </c>
      <c r="G166" s="87" t="b">
        <v>0</v>
      </c>
      <c r="H166" s="87" t="b">
        <v>0</v>
      </c>
      <c r="I166" s="87" t="b">
        <v>0</v>
      </c>
      <c r="J166" s="87" t="b">
        <v>0</v>
      </c>
      <c r="K166" s="87" t="b">
        <v>0</v>
      </c>
      <c r="L166" s="87" t="b">
        <v>0</v>
      </c>
    </row>
    <row r="167" spans="1:12" ht="15">
      <c r="A167" s="88" t="s">
        <v>1909</v>
      </c>
      <c r="B167" s="87" t="s">
        <v>1865</v>
      </c>
      <c r="C167" s="87">
        <v>4</v>
      </c>
      <c r="D167" s="110">
        <v>0.0018601202665469855</v>
      </c>
      <c r="E167" s="110">
        <v>2.7323937598229686</v>
      </c>
      <c r="F167" s="87" t="s">
        <v>2060</v>
      </c>
      <c r="G167" s="87" t="b">
        <v>0</v>
      </c>
      <c r="H167" s="87" t="b">
        <v>0</v>
      </c>
      <c r="I167" s="87" t="b">
        <v>0</v>
      </c>
      <c r="J167" s="87" t="b">
        <v>0</v>
      </c>
      <c r="K167" s="87" t="b">
        <v>0</v>
      </c>
      <c r="L167" s="87" t="b">
        <v>0</v>
      </c>
    </row>
    <row r="168" spans="1:12" ht="15">
      <c r="A168" s="88" t="s">
        <v>1458</v>
      </c>
      <c r="B168" s="87" t="s">
        <v>1910</v>
      </c>
      <c r="C168" s="87">
        <v>4</v>
      </c>
      <c r="D168" s="110">
        <v>0.0018601202665469855</v>
      </c>
      <c r="E168" s="110">
        <v>2.3344537511509307</v>
      </c>
      <c r="F168" s="87" t="s">
        <v>2060</v>
      </c>
      <c r="G168" s="87" t="b">
        <v>0</v>
      </c>
      <c r="H168" s="87" t="b">
        <v>0</v>
      </c>
      <c r="I168" s="87" t="b">
        <v>0</v>
      </c>
      <c r="J168" s="87" t="b">
        <v>0</v>
      </c>
      <c r="K168" s="87" t="b">
        <v>0</v>
      </c>
      <c r="L168" s="87" t="b">
        <v>0</v>
      </c>
    </row>
    <row r="169" spans="1:12" ht="15">
      <c r="A169" s="88" t="s">
        <v>1456</v>
      </c>
      <c r="B169" s="87" t="s">
        <v>1490</v>
      </c>
      <c r="C169" s="87">
        <v>4</v>
      </c>
      <c r="D169" s="110">
        <v>0.0018601202665469855</v>
      </c>
      <c r="E169" s="110">
        <v>0.38214574148880576</v>
      </c>
      <c r="F169" s="87" t="s">
        <v>2060</v>
      </c>
      <c r="G169" s="87" t="b">
        <v>0</v>
      </c>
      <c r="H169" s="87" t="b">
        <v>0</v>
      </c>
      <c r="I169" s="87" t="b">
        <v>0</v>
      </c>
      <c r="J169" s="87" t="b">
        <v>0</v>
      </c>
      <c r="K169" s="87" t="b">
        <v>0</v>
      </c>
      <c r="L169" s="87" t="b">
        <v>0</v>
      </c>
    </row>
    <row r="170" spans="1:12" ht="15">
      <c r="A170" s="88" t="s">
        <v>1490</v>
      </c>
      <c r="B170" s="87" t="s">
        <v>1911</v>
      </c>
      <c r="C170" s="87">
        <v>4</v>
      </c>
      <c r="D170" s="110">
        <v>0.0018601202665469855</v>
      </c>
      <c r="E170" s="110">
        <v>1.8293037728310249</v>
      </c>
      <c r="F170" s="87" t="s">
        <v>2060</v>
      </c>
      <c r="G170" s="87" t="b">
        <v>0</v>
      </c>
      <c r="H170" s="87" t="b">
        <v>0</v>
      </c>
      <c r="I170" s="87" t="b">
        <v>0</v>
      </c>
      <c r="J170" s="87" t="b">
        <v>0</v>
      </c>
      <c r="K170" s="87" t="b">
        <v>0</v>
      </c>
      <c r="L170" s="87" t="b">
        <v>0</v>
      </c>
    </row>
    <row r="171" spans="1:12" ht="15">
      <c r="A171" s="88" t="s">
        <v>1911</v>
      </c>
      <c r="B171" s="87" t="s">
        <v>1912</v>
      </c>
      <c r="C171" s="87">
        <v>4</v>
      </c>
      <c r="D171" s="110">
        <v>0.0018601202665469855</v>
      </c>
      <c r="E171" s="110">
        <v>2.90848501887865</v>
      </c>
      <c r="F171" s="87" t="s">
        <v>2060</v>
      </c>
      <c r="G171" s="87" t="b">
        <v>0</v>
      </c>
      <c r="H171" s="87" t="b">
        <v>0</v>
      </c>
      <c r="I171" s="87" t="b">
        <v>0</v>
      </c>
      <c r="J171" s="87" t="b">
        <v>0</v>
      </c>
      <c r="K171" s="87" t="b">
        <v>0</v>
      </c>
      <c r="L171" s="87" t="b">
        <v>0</v>
      </c>
    </row>
    <row r="172" spans="1:12" ht="15">
      <c r="A172" s="88" t="s">
        <v>1912</v>
      </c>
      <c r="B172" s="87" t="s">
        <v>1913</v>
      </c>
      <c r="C172" s="87">
        <v>4</v>
      </c>
      <c r="D172" s="110">
        <v>0.0018601202665469855</v>
      </c>
      <c r="E172" s="110">
        <v>2.90848501887865</v>
      </c>
      <c r="F172" s="87" t="s">
        <v>2060</v>
      </c>
      <c r="G172" s="87" t="b">
        <v>0</v>
      </c>
      <c r="H172" s="87" t="b">
        <v>0</v>
      </c>
      <c r="I172" s="87" t="b">
        <v>0</v>
      </c>
      <c r="J172" s="87" t="b">
        <v>0</v>
      </c>
      <c r="K172" s="87" t="b">
        <v>0</v>
      </c>
      <c r="L172" s="87" t="b">
        <v>0</v>
      </c>
    </row>
    <row r="173" spans="1:12" ht="15">
      <c r="A173" s="88" t="s">
        <v>1913</v>
      </c>
      <c r="B173" s="87" t="s">
        <v>1857</v>
      </c>
      <c r="C173" s="87">
        <v>4</v>
      </c>
      <c r="D173" s="110">
        <v>0.0018601202665469855</v>
      </c>
      <c r="E173" s="110">
        <v>2.6654469701923555</v>
      </c>
      <c r="F173" s="87" t="s">
        <v>2060</v>
      </c>
      <c r="G173" s="87" t="b">
        <v>0</v>
      </c>
      <c r="H173" s="87" t="b">
        <v>0</v>
      </c>
      <c r="I173" s="87" t="b">
        <v>0</v>
      </c>
      <c r="J173" s="87" t="b">
        <v>0</v>
      </c>
      <c r="K173" s="87" t="b">
        <v>0</v>
      </c>
      <c r="L173" s="87" t="b">
        <v>0</v>
      </c>
    </row>
    <row r="174" spans="1:12" ht="15">
      <c r="A174" s="88" t="s">
        <v>1857</v>
      </c>
      <c r="B174" s="87" t="s">
        <v>1853</v>
      </c>
      <c r="C174" s="87">
        <v>4</v>
      </c>
      <c r="D174" s="110">
        <v>0.0018601202665469855</v>
      </c>
      <c r="E174" s="110">
        <v>2.3644169745283743</v>
      </c>
      <c r="F174" s="87" t="s">
        <v>2060</v>
      </c>
      <c r="G174" s="87" t="b">
        <v>0</v>
      </c>
      <c r="H174" s="87" t="b">
        <v>0</v>
      </c>
      <c r="I174" s="87" t="b">
        <v>0</v>
      </c>
      <c r="J174" s="87" t="b">
        <v>0</v>
      </c>
      <c r="K174" s="87" t="b">
        <v>0</v>
      </c>
      <c r="L174" s="87" t="b">
        <v>0</v>
      </c>
    </row>
    <row r="175" spans="1:12" ht="15">
      <c r="A175" s="88" t="s">
        <v>1853</v>
      </c>
      <c r="B175" s="87" t="s">
        <v>1914</v>
      </c>
      <c r="C175" s="87">
        <v>4</v>
      </c>
      <c r="D175" s="110">
        <v>0.0018601202665469855</v>
      </c>
      <c r="E175" s="110">
        <v>2.6074550232146687</v>
      </c>
      <c r="F175" s="87" t="s">
        <v>2060</v>
      </c>
      <c r="G175" s="87" t="b">
        <v>0</v>
      </c>
      <c r="H175" s="87" t="b">
        <v>0</v>
      </c>
      <c r="I175" s="87" t="b">
        <v>0</v>
      </c>
      <c r="J175" s="87" t="b">
        <v>0</v>
      </c>
      <c r="K175" s="87" t="b">
        <v>0</v>
      </c>
      <c r="L175" s="87" t="b">
        <v>0</v>
      </c>
    </row>
    <row r="176" spans="1:12" ht="15">
      <c r="A176" s="88" t="s">
        <v>1914</v>
      </c>
      <c r="B176" s="87" t="s">
        <v>1882</v>
      </c>
      <c r="C176" s="87">
        <v>4</v>
      </c>
      <c r="D176" s="110">
        <v>0.0018601202665469855</v>
      </c>
      <c r="E176" s="110">
        <v>2.8115750058705933</v>
      </c>
      <c r="F176" s="87" t="s">
        <v>2060</v>
      </c>
      <c r="G176" s="87" t="b">
        <v>0</v>
      </c>
      <c r="H176" s="87" t="b">
        <v>0</v>
      </c>
      <c r="I176" s="87" t="b">
        <v>0</v>
      </c>
      <c r="J176" s="87" t="b">
        <v>0</v>
      </c>
      <c r="K176" s="87" t="b">
        <v>0</v>
      </c>
      <c r="L176" s="87" t="b">
        <v>0</v>
      </c>
    </row>
    <row r="177" spans="1:12" ht="15">
      <c r="A177" s="88" t="s">
        <v>1882</v>
      </c>
      <c r="B177" s="87" t="s">
        <v>1915</v>
      </c>
      <c r="C177" s="87">
        <v>4</v>
      </c>
      <c r="D177" s="110">
        <v>0.0018601202665469855</v>
      </c>
      <c r="E177" s="110">
        <v>2.8115750058705933</v>
      </c>
      <c r="F177" s="87" t="s">
        <v>2060</v>
      </c>
      <c r="G177" s="87" t="b">
        <v>0</v>
      </c>
      <c r="H177" s="87" t="b">
        <v>0</v>
      </c>
      <c r="I177" s="87" t="b">
        <v>0</v>
      </c>
      <c r="J177" s="87" t="b">
        <v>0</v>
      </c>
      <c r="K177" s="87" t="b">
        <v>0</v>
      </c>
      <c r="L177" s="87" t="b">
        <v>0</v>
      </c>
    </row>
    <row r="178" spans="1:12" ht="15">
      <c r="A178" s="88" t="s">
        <v>1915</v>
      </c>
      <c r="B178" s="87" t="s">
        <v>306</v>
      </c>
      <c r="C178" s="87">
        <v>4</v>
      </c>
      <c r="D178" s="110">
        <v>0.0018601202665469855</v>
      </c>
      <c r="E178" s="110">
        <v>2.8115750058705933</v>
      </c>
      <c r="F178" s="87" t="s">
        <v>2060</v>
      </c>
      <c r="G178" s="87" t="b">
        <v>0</v>
      </c>
      <c r="H178" s="87" t="b">
        <v>0</v>
      </c>
      <c r="I178" s="87" t="b">
        <v>0</v>
      </c>
      <c r="J178" s="87" t="b">
        <v>0</v>
      </c>
      <c r="K178" s="87" t="b">
        <v>0</v>
      </c>
      <c r="L178" s="87" t="b">
        <v>0</v>
      </c>
    </row>
    <row r="179" spans="1:12" ht="15">
      <c r="A179" s="88" t="s">
        <v>306</v>
      </c>
      <c r="B179" s="87" t="s">
        <v>1916</v>
      </c>
      <c r="C179" s="87">
        <v>4</v>
      </c>
      <c r="D179" s="110">
        <v>0.0018601202665469855</v>
      </c>
      <c r="E179" s="110">
        <v>2.8115750058705933</v>
      </c>
      <c r="F179" s="87" t="s">
        <v>2060</v>
      </c>
      <c r="G179" s="87" t="b">
        <v>0</v>
      </c>
      <c r="H179" s="87" t="b">
        <v>0</v>
      </c>
      <c r="I179" s="87" t="b">
        <v>0</v>
      </c>
      <c r="J179" s="87" t="b">
        <v>0</v>
      </c>
      <c r="K179" s="87" t="b">
        <v>0</v>
      </c>
      <c r="L179" s="87" t="b">
        <v>0</v>
      </c>
    </row>
    <row r="180" spans="1:12" ht="15">
      <c r="A180" s="88" t="s">
        <v>1916</v>
      </c>
      <c r="B180" s="87" t="s">
        <v>1453</v>
      </c>
      <c r="C180" s="87">
        <v>4</v>
      </c>
      <c r="D180" s="110">
        <v>0.0018601202665469855</v>
      </c>
      <c r="E180" s="110">
        <v>1.7181533207083584</v>
      </c>
      <c r="F180" s="87" t="s">
        <v>2060</v>
      </c>
      <c r="G180" s="87" t="b">
        <v>0</v>
      </c>
      <c r="H180" s="87" t="b">
        <v>0</v>
      </c>
      <c r="I180" s="87" t="b">
        <v>0</v>
      </c>
      <c r="J180" s="87" t="b">
        <v>0</v>
      </c>
      <c r="K180" s="87" t="b">
        <v>0</v>
      </c>
      <c r="L180" s="87" t="b">
        <v>0</v>
      </c>
    </row>
    <row r="181" spans="1:12" ht="15">
      <c r="A181" s="88" t="s">
        <v>1453</v>
      </c>
      <c r="B181" s="87" t="s">
        <v>1515</v>
      </c>
      <c r="C181" s="87">
        <v>4</v>
      </c>
      <c r="D181" s="110">
        <v>0.0018601202665469855</v>
      </c>
      <c r="E181" s="110">
        <v>1.3491770079716372</v>
      </c>
      <c r="F181" s="87" t="s">
        <v>2060</v>
      </c>
      <c r="G181" s="87" t="b">
        <v>0</v>
      </c>
      <c r="H181" s="87" t="b">
        <v>0</v>
      </c>
      <c r="I181" s="87" t="b">
        <v>0</v>
      </c>
      <c r="J181" s="87" t="b">
        <v>1</v>
      </c>
      <c r="K181" s="87" t="b">
        <v>0</v>
      </c>
      <c r="L181" s="87" t="b">
        <v>0</v>
      </c>
    </row>
    <row r="182" spans="1:12" ht="15">
      <c r="A182" s="88" t="s">
        <v>1515</v>
      </c>
      <c r="B182" s="87" t="s">
        <v>1516</v>
      </c>
      <c r="C182" s="87">
        <v>4</v>
      </c>
      <c r="D182" s="110">
        <v>0.0018601202665469855</v>
      </c>
      <c r="E182" s="110">
        <v>2.048147012307656</v>
      </c>
      <c r="F182" s="87" t="s">
        <v>2060</v>
      </c>
      <c r="G182" s="87" t="b">
        <v>1</v>
      </c>
      <c r="H182" s="87" t="b">
        <v>0</v>
      </c>
      <c r="I182" s="87" t="b">
        <v>0</v>
      </c>
      <c r="J182" s="87" t="b">
        <v>0</v>
      </c>
      <c r="K182" s="87" t="b">
        <v>0</v>
      </c>
      <c r="L182" s="87" t="b">
        <v>0</v>
      </c>
    </row>
    <row r="183" spans="1:12" ht="15">
      <c r="A183" s="88" t="s">
        <v>1460</v>
      </c>
      <c r="B183" s="87" t="s">
        <v>275</v>
      </c>
      <c r="C183" s="87">
        <v>4</v>
      </c>
      <c r="D183" s="110">
        <v>0.0018601202665469855</v>
      </c>
      <c r="E183" s="110">
        <v>1.739692998564468</v>
      </c>
      <c r="F183" s="87" t="s">
        <v>2060</v>
      </c>
      <c r="G183" s="87" t="b">
        <v>0</v>
      </c>
      <c r="H183" s="87" t="b">
        <v>0</v>
      </c>
      <c r="I183" s="87" t="b">
        <v>0</v>
      </c>
      <c r="J183" s="87" t="b">
        <v>0</v>
      </c>
      <c r="K183" s="87" t="b">
        <v>0</v>
      </c>
      <c r="L183" s="87" t="b">
        <v>0</v>
      </c>
    </row>
    <row r="184" spans="1:12" ht="15">
      <c r="A184" s="88" t="s">
        <v>275</v>
      </c>
      <c r="B184" s="87" t="s">
        <v>1490</v>
      </c>
      <c r="C184" s="87">
        <v>4</v>
      </c>
      <c r="D184" s="110">
        <v>0.0018601202665469855</v>
      </c>
      <c r="E184" s="110">
        <v>1.8293037728310249</v>
      </c>
      <c r="F184" s="87" t="s">
        <v>2060</v>
      </c>
      <c r="G184" s="87" t="b">
        <v>0</v>
      </c>
      <c r="H184" s="87" t="b">
        <v>0</v>
      </c>
      <c r="I184" s="87" t="b">
        <v>0</v>
      </c>
      <c r="J184" s="87" t="b">
        <v>0</v>
      </c>
      <c r="K184" s="87" t="b">
        <v>0</v>
      </c>
      <c r="L184" s="87" t="b">
        <v>0</v>
      </c>
    </row>
    <row r="185" spans="1:12" ht="15">
      <c r="A185" s="88" t="s">
        <v>1490</v>
      </c>
      <c r="B185" s="87" t="s">
        <v>1517</v>
      </c>
      <c r="C185" s="87">
        <v>4</v>
      </c>
      <c r="D185" s="110">
        <v>0.0018601202665469855</v>
      </c>
      <c r="E185" s="110">
        <v>1.8293037728310249</v>
      </c>
      <c r="F185" s="87" t="s">
        <v>2060</v>
      </c>
      <c r="G185" s="87" t="b">
        <v>0</v>
      </c>
      <c r="H185" s="87" t="b">
        <v>0</v>
      </c>
      <c r="I185" s="87" t="b">
        <v>0</v>
      </c>
      <c r="J185" s="87" t="b">
        <v>0</v>
      </c>
      <c r="K185" s="87" t="b">
        <v>0</v>
      </c>
      <c r="L185" s="87" t="b">
        <v>0</v>
      </c>
    </row>
    <row r="186" spans="1:12" ht="15">
      <c r="A186" s="88" t="s">
        <v>1517</v>
      </c>
      <c r="B186" s="87" t="s">
        <v>1518</v>
      </c>
      <c r="C186" s="87">
        <v>4</v>
      </c>
      <c r="D186" s="110">
        <v>0.0018601202665469855</v>
      </c>
      <c r="E186" s="110">
        <v>2.90848501887865</v>
      </c>
      <c r="F186" s="87" t="s">
        <v>2060</v>
      </c>
      <c r="G186" s="87" t="b">
        <v>0</v>
      </c>
      <c r="H186" s="87" t="b">
        <v>0</v>
      </c>
      <c r="I186" s="87" t="b">
        <v>0</v>
      </c>
      <c r="J186" s="87" t="b">
        <v>0</v>
      </c>
      <c r="K186" s="87" t="b">
        <v>0</v>
      </c>
      <c r="L186" s="87" t="b">
        <v>0</v>
      </c>
    </row>
    <row r="187" spans="1:12" ht="15">
      <c r="A187" s="88" t="s">
        <v>1518</v>
      </c>
      <c r="B187" s="87" t="s">
        <v>1519</v>
      </c>
      <c r="C187" s="87">
        <v>4</v>
      </c>
      <c r="D187" s="110">
        <v>0.0018601202665469855</v>
      </c>
      <c r="E187" s="110">
        <v>2.510545010206612</v>
      </c>
      <c r="F187" s="87" t="s">
        <v>2060</v>
      </c>
      <c r="G187" s="87" t="b">
        <v>0</v>
      </c>
      <c r="H187" s="87" t="b">
        <v>0</v>
      </c>
      <c r="I187" s="87" t="b">
        <v>0</v>
      </c>
      <c r="J187" s="87" t="b">
        <v>0</v>
      </c>
      <c r="K187" s="87" t="b">
        <v>0</v>
      </c>
      <c r="L187" s="87" t="b">
        <v>0</v>
      </c>
    </row>
    <row r="188" spans="1:12" ht="15">
      <c r="A188" s="88" t="s">
        <v>1493</v>
      </c>
      <c r="B188" s="87" t="s">
        <v>310</v>
      </c>
      <c r="C188" s="87">
        <v>4</v>
      </c>
      <c r="D188" s="110">
        <v>0.0018601202665469855</v>
      </c>
      <c r="E188" s="110">
        <v>1.9664769658563366</v>
      </c>
      <c r="F188" s="87" t="s">
        <v>2060</v>
      </c>
      <c r="G188" s="87" t="b">
        <v>0</v>
      </c>
      <c r="H188" s="87" t="b">
        <v>0</v>
      </c>
      <c r="I188" s="87" t="b">
        <v>0</v>
      </c>
      <c r="J188" s="87" t="b">
        <v>0</v>
      </c>
      <c r="K188" s="87" t="b">
        <v>0</v>
      </c>
      <c r="L188" s="87" t="b">
        <v>0</v>
      </c>
    </row>
    <row r="189" spans="1:12" ht="15">
      <c r="A189" s="88" t="s">
        <v>310</v>
      </c>
      <c r="B189" s="87" t="s">
        <v>1918</v>
      </c>
      <c r="C189" s="87">
        <v>4</v>
      </c>
      <c r="D189" s="110">
        <v>0.0018601202665469855</v>
      </c>
      <c r="E189" s="110">
        <v>2.90848501887865</v>
      </c>
      <c r="F189" s="87" t="s">
        <v>2060</v>
      </c>
      <c r="G189" s="87" t="b">
        <v>0</v>
      </c>
      <c r="H189" s="87" t="b">
        <v>0</v>
      </c>
      <c r="I189" s="87" t="b">
        <v>0</v>
      </c>
      <c r="J189" s="87" t="b">
        <v>0</v>
      </c>
      <c r="K189" s="87" t="b">
        <v>0</v>
      </c>
      <c r="L189" s="87" t="b">
        <v>0</v>
      </c>
    </row>
    <row r="190" spans="1:12" ht="15">
      <c r="A190" s="88" t="s">
        <v>1918</v>
      </c>
      <c r="B190" s="87" t="s">
        <v>1919</v>
      </c>
      <c r="C190" s="87">
        <v>4</v>
      </c>
      <c r="D190" s="110">
        <v>0.0018601202665469855</v>
      </c>
      <c r="E190" s="110">
        <v>2.90848501887865</v>
      </c>
      <c r="F190" s="87" t="s">
        <v>2060</v>
      </c>
      <c r="G190" s="87" t="b">
        <v>0</v>
      </c>
      <c r="H190" s="87" t="b">
        <v>0</v>
      </c>
      <c r="I190" s="87" t="b">
        <v>0</v>
      </c>
      <c r="J190" s="87" t="b">
        <v>0</v>
      </c>
      <c r="K190" s="87" t="b">
        <v>0</v>
      </c>
      <c r="L190" s="87" t="b">
        <v>0</v>
      </c>
    </row>
    <row r="191" spans="1:12" ht="15">
      <c r="A191" s="88" t="s">
        <v>1919</v>
      </c>
      <c r="B191" s="87" t="s">
        <v>1920</v>
      </c>
      <c r="C191" s="87">
        <v>4</v>
      </c>
      <c r="D191" s="110">
        <v>0.0018601202665469855</v>
      </c>
      <c r="E191" s="110">
        <v>2.90848501887865</v>
      </c>
      <c r="F191" s="87" t="s">
        <v>2060</v>
      </c>
      <c r="G191" s="87" t="b">
        <v>0</v>
      </c>
      <c r="H191" s="87" t="b">
        <v>0</v>
      </c>
      <c r="I191" s="87" t="b">
        <v>0</v>
      </c>
      <c r="J191" s="87" t="b">
        <v>0</v>
      </c>
      <c r="K191" s="87" t="b">
        <v>0</v>
      </c>
      <c r="L191" s="87" t="b">
        <v>0</v>
      </c>
    </row>
    <row r="192" spans="1:12" ht="15">
      <c r="A192" s="88" t="s">
        <v>1920</v>
      </c>
      <c r="B192" s="87" t="s">
        <v>1513</v>
      </c>
      <c r="C192" s="87">
        <v>4</v>
      </c>
      <c r="D192" s="110">
        <v>0.0018601202665469855</v>
      </c>
      <c r="E192" s="110">
        <v>1.8977611534868766</v>
      </c>
      <c r="F192" s="87" t="s">
        <v>2060</v>
      </c>
      <c r="G192" s="87" t="b">
        <v>0</v>
      </c>
      <c r="H192" s="87" t="b">
        <v>0</v>
      </c>
      <c r="I192" s="87" t="b">
        <v>0</v>
      </c>
      <c r="J192" s="87" t="b">
        <v>0</v>
      </c>
      <c r="K192" s="87" t="b">
        <v>0</v>
      </c>
      <c r="L192" s="87" t="b">
        <v>0</v>
      </c>
    </row>
    <row r="193" spans="1:12" ht="15">
      <c r="A193" s="88" t="s">
        <v>1490</v>
      </c>
      <c r="B193" s="87" t="s">
        <v>1491</v>
      </c>
      <c r="C193" s="87">
        <v>4</v>
      </c>
      <c r="D193" s="110">
        <v>0.0018601202665469855</v>
      </c>
      <c r="E193" s="110">
        <v>1.8293037728310249</v>
      </c>
      <c r="F193" s="87" t="s">
        <v>2060</v>
      </c>
      <c r="G193" s="87" t="b">
        <v>0</v>
      </c>
      <c r="H193" s="87" t="b">
        <v>0</v>
      </c>
      <c r="I193" s="87" t="b">
        <v>0</v>
      </c>
      <c r="J193" s="87" t="b">
        <v>0</v>
      </c>
      <c r="K193" s="87" t="b">
        <v>0</v>
      </c>
      <c r="L193" s="87" t="b">
        <v>0</v>
      </c>
    </row>
    <row r="194" spans="1:12" ht="15">
      <c r="A194" s="88" t="s">
        <v>1491</v>
      </c>
      <c r="B194" s="87" t="s">
        <v>1492</v>
      </c>
      <c r="C194" s="87">
        <v>4</v>
      </c>
      <c r="D194" s="110">
        <v>0.0018601202665469855</v>
      </c>
      <c r="E194" s="110">
        <v>2.90848501887865</v>
      </c>
      <c r="F194" s="87" t="s">
        <v>2060</v>
      </c>
      <c r="G194" s="87" t="b">
        <v>0</v>
      </c>
      <c r="H194" s="87" t="b">
        <v>0</v>
      </c>
      <c r="I194" s="87" t="b">
        <v>0</v>
      </c>
      <c r="J194" s="87" t="b">
        <v>0</v>
      </c>
      <c r="K194" s="87" t="b">
        <v>0</v>
      </c>
      <c r="L194" s="87" t="b">
        <v>0</v>
      </c>
    </row>
    <row r="195" spans="1:12" ht="15">
      <c r="A195" s="88" t="s">
        <v>1492</v>
      </c>
      <c r="B195" s="87" t="s">
        <v>1489</v>
      </c>
      <c r="C195" s="87">
        <v>4</v>
      </c>
      <c r="D195" s="110">
        <v>0.0018601202665469855</v>
      </c>
      <c r="E195" s="110">
        <v>2.6074550232146687</v>
      </c>
      <c r="F195" s="87" t="s">
        <v>2060</v>
      </c>
      <c r="G195" s="87" t="b">
        <v>0</v>
      </c>
      <c r="H195" s="87" t="b">
        <v>0</v>
      </c>
      <c r="I195" s="87" t="b">
        <v>0</v>
      </c>
      <c r="J195" s="87" t="b">
        <v>0</v>
      </c>
      <c r="K195" s="87" t="b">
        <v>0</v>
      </c>
      <c r="L195" s="87" t="b">
        <v>0</v>
      </c>
    </row>
    <row r="196" spans="1:12" ht="15">
      <c r="A196" s="88" t="s">
        <v>1489</v>
      </c>
      <c r="B196" s="87" t="s">
        <v>1493</v>
      </c>
      <c r="C196" s="87">
        <v>4</v>
      </c>
      <c r="D196" s="110">
        <v>0.0018601202665469855</v>
      </c>
      <c r="E196" s="110">
        <v>1.6654469701923553</v>
      </c>
      <c r="F196" s="87" t="s">
        <v>2060</v>
      </c>
      <c r="G196" s="87" t="b">
        <v>0</v>
      </c>
      <c r="H196" s="87" t="b">
        <v>0</v>
      </c>
      <c r="I196" s="87" t="b">
        <v>0</v>
      </c>
      <c r="J196" s="87" t="b">
        <v>0</v>
      </c>
      <c r="K196" s="87" t="b">
        <v>0</v>
      </c>
      <c r="L196" s="87" t="b">
        <v>0</v>
      </c>
    </row>
    <row r="197" spans="1:12" ht="15">
      <c r="A197" s="88" t="s">
        <v>1493</v>
      </c>
      <c r="B197" s="87" t="s">
        <v>1494</v>
      </c>
      <c r="C197" s="87">
        <v>4</v>
      </c>
      <c r="D197" s="110">
        <v>0.0018601202665469855</v>
      </c>
      <c r="E197" s="110">
        <v>1.9664769658563366</v>
      </c>
      <c r="F197" s="87" t="s">
        <v>2060</v>
      </c>
      <c r="G197" s="87" t="b">
        <v>0</v>
      </c>
      <c r="H197" s="87" t="b">
        <v>0</v>
      </c>
      <c r="I197" s="87" t="b">
        <v>0</v>
      </c>
      <c r="J197" s="87" t="b">
        <v>0</v>
      </c>
      <c r="K197" s="87" t="b">
        <v>0</v>
      </c>
      <c r="L197" s="87" t="b">
        <v>0</v>
      </c>
    </row>
    <row r="198" spans="1:12" ht="15">
      <c r="A198" s="88" t="s">
        <v>1494</v>
      </c>
      <c r="B198" s="87" t="s">
        <v>1495</v>
      </c>
      <c r="C198" s="87">
        <v>4</v>
      </c>
      <c r="D198" s="110">
        <v>0.0018601202665469855</v>
      </c>
      <c r="E198" s="110">
        <v>2.5563025007672873</v>
      </c>
      <c r="F198" s="87" t="s">
        <v>2060</v>
      </c>
      <c r="G198" s="87" t="b">
        <v>0</v>
      </c>
      <c r="H198" s="87" t="b">
        <v>0</v>
      </c>
      <c r="I198" s="87" t="b">
        <v>0</v>
      </c>
      <c r="J198" s="87" t="b">
        <v>1</v>
      </c>
      <c r="K198" s="87" t="b">
        <v>0</v>
      </c>
      <c r="L198" s="87" t="b">
        <v>0</v>
      </c>
    </row>
    <row r="199" spans="1:12" ht="15">
      <c r="A199" s="88" t="s">
        <v>1495</v>
      </c>
      <c r="B199" s="87" t="s">
        <v>1489</v>
      </c>
      <c r="C199" s="87">
        <v>4</v>
      </c>
      <c r="D199" s="110">
        <v>0.0018601202665469855</v>
      </c>
      <c r="E199" s="110">
        <v>2.255272505103306</v>
      </c>
      <c r="F199" s="87" t="s">
        <v>2060</v>
      </c>
      <c r="G199" s="87" t="b">
        <v>1</v>
      </c>
      <c r="H199" s="87" t="b">
        <v>0</v>
      </c>
      <c r="I199" s="87" t="b">
        <v>0</v>
      </c>
      <c r="J199" s="87" t="b">
        <v>0</v>
      </c>
      <c r="K199" s="87" t="b">
        <v>0</v>
      </c>
      <c r="L199" s="87" t="b">
        <v>0</v>
      </c>
    </row>
    <row r="200" spans="1:12" ht="15">
      <c r="A200" s="88" t="s">
        <v>1489</v>
      </c>
      <c r="B200" s="87" t="s">
        <v>1496</v>
      </c>
      <c r="C200" s="87">
        <v>4</v>
      </c>
      <c r="D200" s="110">
        <v>0.0018601202665469855</v>
      </c>
      <c r="E200" s="110">
        <v>2.510545010206612</v>
      </c>
      <c r="F200" s="87" t="s">
        <v>2060</v>
      </c>
      <c r="G200" s="87" t="b">
        <v>0</v>
      </c>
      <c r="H200" s="87" t="b">
        <v>0</v>
      </c>
      <c r="I200" s="87" t="b">
        <v>0</v>
      </c>
      <c r="J200" s="87" t="b">
        <v>0</v>
      </c>
      <c r="K200" s="87" t="b">
        <v>0</v>
      </c>
      <c r="L200" s="87" t="b">
        <v>0</v>
      </c>
    </row>
    <row r="201" spans="1:12" ht="15">
      <c r="A201" s="88" t="s">
        <v>1496</v>
      </c>
      <c r="B201" s="87" t="s">
        <v>1840</v>
      </c>
      <c r="C201" s="87">
        <v>4</v>
      </c>
      <c r="D201" s="110">
        <v>0.0018601202665469855</v>
      </c>
      <c r="E201" s="110">
        <v>2.459392487759231</v>
      </c>
      <c r="F201" s="87" t="s">
        <v>2060</v>
      </c>
      <c r="G201" s="87" t="b">
        <v>0</v>
      </c>
      <c r="H201" s="87" t="b">
        <v>0</v>
      </c>
      <c r="I201" s="87" t="b">
        <v>0</v>
      </c>
      <c r="J201" s="87" t="b">
        <v>0</v>
      </c>
      <c r="K201" s="87" t="b">
        <v>0</v>
      </c>
      <c r="L201" s="87" t="b">
        <v>0</v>
      </c>
    </row>
    <row r="202" spans="1:12" ht="15">
      <c r="A202" s="88" t="s">
        <v>1840</v>
      </c>
      <c r="B202" s="87" t="s">
        <v>309</v>
      </c>
      <c r="C202" s="87">
        <v>4</v>
      </c>
      <c r="D202" s="110">
        <v>0.0018601202665469855</v>
      </c>
      <c r="E202" s="110">
        <v>2.5563025007672873</v>
      </c>
      <c r="F202" s="87" t="s">
        <v>2060</v>
      </c>
      <c r="G202" s="87" t="b">
        <v>0</v>
      </c>
      <c r="H202" s="87" t="b">
        <v>0</v>
      </c>
      <c r="I202" s="87" t="b">
        <v>0</v>
      </c>
      <c r="J202" s="87" t="b">
        <v>0</v>
      </c>
      <c r="K202" s="87" t="b">
        <v>0</v>
      </c>
      <c r="L202" s="87" t="b">
        <v>0</v>
      </c>
    </row>
    <row r="203" spans="1:12" ht="15">
      <c r="A203" s="88" t="s">
        <v>309</v>
      </c>
      <c r="B203" s="87" t="s">
        <v>1921</v>
      </c>
      <c r="C203" s="87">
        <v>4</v>
      </c>
      <c r="D203" s="110">
        <v>0.0018601202665469855</v>
      </c>
      <c r="E203" s="110">
        <v>2.90848501887865</v>
      </c>
      <c r="F203" s="87" t="s">
        <v>2060</v>
      </c>
      <c r="G203" s="87" t="b">
        <v>0</v>
      </c>
      <c r="H203" s="87" t="b">
        <v>0</v>
      </c>
      <c r="I203" s="87" t="b">
        <v>0</v>
      </c>
      <c r="J203" s="87" t="b">
        <v>0</v>
      </c>
      <c r="K203" s="87" t="b">
        <v>0</v>
      </c>
      <c r="L203" s="87" t="b">
        <v>0</v>
      </c>
    </row>
    <row r="204" spans="1:12" ht="15">
      <c r="A204" s="88" t="s">
        <v>1921</v>
      </c>
      <c r="B204" s="87" t="s">
        <v>341</v>
      </c>
      <c r="C204" s="87">
        <v>4</v>
      </c>
      <c r="D204" s="110">
        <v>0.0018601202665469855</v>
      </c>
      <c r="E204" s="110">
        <v>1.954242509439325</v>
      </c>
      <c r="F204" s="87" t="s">
        <v>2060</v>
      </c>
      <c r="G204" s="87" t="b">
        <v>0</v>
      </c>
      <c r="H204" s="87" t="b">
        <v>0</v>
      </c>
      <c r="I204" s="87" t="b">
        <v>0</v>
      </c>
      <c r="J204" s="87" t="b">
        <v>0</v>
      </c>
      <c r="K204" s="87" t="b">
        <v>0</v>
      </c>
      <c r="L204" s="87" t="b">
        <v>0</v>
      </c>
    </row>
    <row r="205" spans="1:12" ht="15">
      <c r="A205" s="88" t="s">
        <v>1819</v>
      </c>
      <c r="B205" s="87" t="s">
        <v>308</v>
      </c>
      <c r="C205" s="87">
        <v>4</v>
      </c>
      <c r="D205" s="110">
        <v>0.0018601202665469855</v>
      </c>
      <c r="E205" s="110">
        <v>1.8384471522708947</v>
      </c>
      <c r="F205" s="87" t="s">
        <v>2060</v>
      </c>
      <c r="G205" s="87" t="b">
        <v>0</v>
      </c>
      <c r="H205" s="87" t="b">
        <v>0</v>
      </c>
      <c r="I205" s="87" t="b">
        <v>0</v>
      </c>
      <c r="J205" s="87" t="b">
        <v>0</v>
      </c>
      <c r="K205" s="87" t="b">
        <v>0</v>
      </c>
      <c r="L205" s="87" t="b">
        <v>0</v>
      </c>
    </row>
    <row r="206" spans="1:12" ht="15">
      <c r="A206" s="88" t="s">
        <v>308</v>
      </c>
      <c r="B206" s="87" t="s">
        <v>1455</v>
      </c>
      <c r="C206" s="87">
        <v>4</v>
      </c>
      <c r="D206" s="110">
        <v>0.0018601202665469855</v>
      </c>
      <c r="E206" s="110">
        <v>1.4067412892506552</v>
      </c>
      <c r="F206" s="87" t="s">
        <v>2060</v>
      </c>
      <c r="G206" s="87" t="b">
        <v>0</v>
      </c>
      <c r="H206" s="87" t="b">
        <v>0</v>
      </c>
      <c r="I206" s="87" t="b">
        <v>0</v>
      </c>
      <c r="J206" s="87" t="b">
        <v>0</v>
      </c>
      <c r="K206" s="87" t="b">
        <v>0</v>
      </c>
      <c r="L206" s="87" t="b">
        <v>0</v>
      </c>
    </row>
    <row r="207" spans="1:12" ht="15">
      <c r="A207" s="88" t="s">
        <v>1453</v>
      </c>
      <c r="B207" s="87" t="s">
        <v>1923</v>
      </c>
      <c r="C207" s="87">
        <v>4</v>
      </c>
      <c r="D207" s="110">
        <v>0.0018601202665469855</v>
      </c>
      <c r="E207" s="110">
        <v>1.3491770079716372</v>
      </c>
      <c r="F207" s="87" t="s">
        <v>2060</v>
      </c>
      <c r="G207" s="87" t="b">
        <v>0</v>
      </c>
      <c r="H207" s="87" t="b">
        <v>0</v>
      </c>
      <c r="I207" s="87" t="b">
        <v>0</v>
      </c>
      <c r="J207" s="87" t="b">
        <v>0</v>
      </c>
      <c r="K207" s="87" t="b">
        <v>0</v>
      </c>
      <c r="L207" s="87" t="b">
        <v>0</v>
      </c>
    </row>
    <row r="208" spans="1:12" ht="15">
      <c r="A208" s="88" t="s">
        <v>1923</v>
      </c>
      <c r="B208" s="87" t="s">
        <v>1860</v>
      </c>
      <c r="C208" s="87">
        <v>4</v>
      </c>
      <c r="D208" s="110">
        <v>0.0018601202665469855</v>
      </c>
      <c r="E208" s="110">
        <v>2.6654469701923555</v>
      </c>
      <c r="F208" s="87" t="s">
        <v>2060</v>
      </c>
      <c r="G208" s="87" t="b">
        <v>0</v>
      </c>
      <c r="H208" s="87" t="b">
        <v>0</v>
      </c>
      <c r="I208" s="87" t="b">
        <v>0</v>
      </c>
      <c r="J208" s="87" t="b">
        <v>0</v>
      </c>
      <c r="K208" s="87" t="b">
        <v>0</v>
      </c>
      <c r="L208" s="87" t="b">
        <v>0</v>
      </c>
    </row>
    <row r="209" spans="1:12" ht="15">
      <c r="A209" s="88" t="s">
        <v>1860</v>
      </c>
      <c r="B209" s="87" t="s">
        <v>1924</v>
      </c>
      <c r="C209" s="87">
        <v>4</v>
      </c>
      <c r="D209" s="110">
        <v>0.0018601202665469855</v>
      </c>
      <c r="E209" s="110">
        <v>2.6654469701923555</v>
      </c>
      <c r="F209" s="87" t="s">
        <v>2060</v>
      </c>
      <c r="G209" s="87" t="b">
        <v>0</v>
      </c>
      <c r="H209" s="87" t="b">
        <v>0</v>
      </c>
      <c r="I209" s="87" t="b">
        <v>0</v>
      </c>
      <c r="J209" s="87" t="b">
        <v>1</v>
      </c>
      <c r="K209" s="87" t="b">
        <v>0</v>
      </c>
      <c r="L209" s="87" t="b">
        <v>0</v>
      </c>
    </row>
    <row r="210" spans="1:12" ht="15">
      <c r="A210" s="88" t="s">
        <v>1924</v>
      </c>
      <c r="B210" s="87" t="s">
        <v>1469</v>
      </c>
      <c r="C210" s="87">
        <v>4</v>
      </c>
      <c r="D210" s="110">
        <v>0.0018601202665469855</v>
      </c>
      <c r="E210" s="110">
        <v>1.8977611534868766</v>
      </c>
      <c r="F210" s="87" t="s">
        <v>2060</v>
      </c>
      <c r="G210" s="87" t="b">
        <v>1</v>
      </c>
      <c r="H210" s="87" t="b">
        <v>0</v>
      </c>
      <c r="I210" s="87" t="b">
        <v>0</v>
      </c>
      <c r="J210" s="87" t="b">
        <v>0</v>
      </c>
      <c r="K210" s="87" t="b">
        <v>0</v>
      </c>
      <c r="L210" s="87" t="b">
        <v>0</v>
      </c>
    </row>
    <row r="211" spans="1:12" ht="15">
      <c r="A211" s="88" t="s">
        <v>1863</v>
      </c>
      <c r="B211" s="87" t="s">
        <v>1456</v>
      </c>
      <c r="C211" s="87">
        <v>4</v>
      </c>
      <c r="D211" s="110">
        <v>0.0018601202665469855</v>
      </c>
      <c r="E211" s="110">
        <v>1.3949344985323122</v>
      </c>
      <c r="F211" s="87" t="s">
        <v>2060</v>
      </c>
      <c r="G211" s="87" t="b">
        <v>0</v>
      </c>
      <c r="H211" s="87" t="b">
        <v>0</v>
      </c>
      <c r="I211" s="87" t="b">
        <v>0</v>
      </c>
      <c r="J211" s="87" t="b">
        <v>0</v>
      </c>
      <c r="K211" s="87" t="b">
        <v>0</v>
      </c>
      <c r="L211" s="87" t="b">
        <v>0</v>
      </c>
    </row>
    <row r="212" spans="1:12" ht="15">
      <c r="A212" s="88" t="s">
        <v>1827</v>
      </c>
      <c r="B212" s="87" t="s">
        <v>272</v>
      </c>
      <c r="C212" s="87">
        <v>4</v>
      </c>
      <c r="D212" s="110">
        <v>0.0018601202665469855</v>
      </c>
      <c r="E212" s="110">
        <v>2.188325715472693</v>
      </c>
      <c r="F212" s="87" t="s">
        <v>2060</v>
      </c>
      <c r="G212" s="87" t="b">
        <v>0</v>
      </c>
      <c r="H212" s="87" t="b">
        <v>0</v>
      </c>
      <c r="I212" s="87" t="b">
        <v>0</v>
      </c>
      <c r="J212" s="87" t="b">
        <v>0</v>
      </c>
      <c r="K212" s="87" t="b">
        <v>0</v>
      </c>
      <c r="L212" s="87" t="b">
        <v>0</v>
      </c>
    </row>
    <row r="213" spans="1:12" ht="15">
      <c r="A213" s="88" t="s">
        <v>272</v>
      </c>
      <c r="B213" s="87" t="s">
        <v>1493</v>
      </c>
      <c r="C213" s="87">
        <v>4</v>
      </c>
      <c r="D213" s="110">
        <v>0.0018601202665469855</v>
      </c>
      <c r="E213" s="110">
        <v>1.9664769658563366</v>
      </c>
      <c r="F213" s="87" t="s">
        <v>2060</v>
      </c>
      <c r="G213" s="87" t="b">
        <v>0</v>
      </c>
      <c r="H213" s="87" t="b">
        <v>0</v>
      </c>
      <c r="I213" s="87" t="b">
        <v>0</v>
      </c>
      <c r="J213" s="87" t="b">
        <v>0</v>
      </c>
      <c r="K213" s="87" t="b">
        <v>0</v>
      </c>
      <c r="L213" s="87" t="b">
        <v>0</v>
      </c>
    </row>
    <row r="214" spans="1:12" ht="15">
      <c r="A214" s="88" t="s">
        <v>1446</v>
      </c>
      <c r="B214" s="87" t="s">
        <v>273</v>
      </c>
      <c r="C214" s="87">
        <v>4</v>
      </c>
      <c r="D214" s="110">
        <v>0.0018601202665469855</v>
      </c>
      <c r="E214" s="110">
        <v>1.739692998564468</v>
      </c>
      <c r="F214" s="87" t="s">
        <v>2060</v>
      </c>
      <c r="G214" s="87" t="b">
        <v>0</v>
      </c>
      <c r="H214" s="87" t="b">
        <v>0</v>
      </c>
      <c r="I214" s="87" t="b">
        <v>0</v>
      </c>
      <c r="J214" s="87" t="b">
        <v>0</v>
      </c>
      <c r="K214" s="87" t="b">
        <v>0</v>
      </c>
      <c r="L214" s="87" t="b">
        <v>0</v>
      </c>
    </row>
    <row r="215" spans="1:12" ht="15">
      <c r="A215" s="88" t="s">
        <v>273</v>
      </c>
      <c r="B215" s="87" t="s">
        <v>1880</v>
      </c>
      <c r="C215" s="87">
        <v>4</v>
      </c>
      <c r="D215" s="110">
        <v>0.0018601202665469855</v>
      </c>
      <c r="E215" s="110">
        <v>2.8115750058705933</v>
      </c>
      <c r="F215" s="87" t="s">
        <v>2060</v>
      </c>
      <c r="G215" s="87" t="b">
        <v>0</v>
      </c>
      <c r="H215" s="87" t="b">
        <v>0</v>
      </c>
      <c r="I215" s="87" t="b">
        <v>0</v>
      </c>
      <c r="J215" s="87" t="b">
        <v>0</v>
      </c>
      <c r="K215" s="87" t="b">
        <v>0</v>
      </c>
      <c r="L215" s="87" t="b">
        <v>0</v>
      </c>
    </row>
    <row r="216" spans="1:12" ht="15">
      <c r="A216" s="88" t="s">
        <v>1872</v>
      </c>
      <c r="B216" s="87" t="s">
        <v>1482</v>
      </c>
      <c r="C216" s="87">
        <v>3</v>
      </c>
      <c r="D216" s="110">
        <v>0.0015056228480449783</v>
      </c>
      <c r="E216" s="110">
        <v>2.3344537511509307</v>
      </c>
      <c r="F216" s="87" t="s">
        <v>2060</v>
      </c>
      <c r="G216" s="87" t="b">
        <v>0</v>
      </c>
      <c r="H216" s="87" t="b">
        <v>0</v>
      </c>
      <c r="I216" s="87" t="b">
        <v>0</v>
      </c>
      <c r="J216" s="87" t="b">
        <v>0</v>
      </c>
      <c r="K216" s="87" t="b">
        <v>0</v>
      </c>
      <c r="L216" s="87" t="b">
        <v>0</v>
      </c>
    </row>
    <row r="217" spans="1:12" ht="15">
      <c r="A217" s="88" t="s">
        <v>1456</v>
      </c>
      <c r="B217" s="87" t="s">
        <v>1925</v>
      </c>
      <c r="C217" s="87">
        <v>3</v>
      </c>
      <c r="D217" s="110">
        <v>0.0015056228480449783</v>
      </c>
      <c r="E217" s="110">
        <v>1.4613269875364305</v>
      </c>
      <c r="F217" s="87" t="s">
        <v>2060</v>
      </c>
      <c r="G217" s="87" t="b">
        <v>0</v>
      </c>
      <c r="H217" s="87" t="b">
        <v>0</v>
      </c>
      <c r="I217" s="87" t="b">
        <v>0</v>
      </c>
      <c r="J217" s="87" t="b">
        <v>0</v>
      </c>
      <c r="K217" s="87" t="b">
        <v>0</v>
      </c>
      <c r="L217" s="87" t="b">
        <v>0</v>
      </c>
    </row>
    <row r="218" spans="1:12" ht="15">
      <c r="A218" s="88" t="s">
        <v>1925</v>
      </c>
      <c r="B218" s="87" t="s">
        <v>1467</v>
      </c>
      <c r="C218" s="87">
        <v>3</v>
      </c>
      <c r="D218" s="110">
        <v>0.0015056228480449783</v>
      </c>
      <c r="E218" s="110">
        <v>2.2095150145426308</v>
      </c>
      <c r="F218" s="87" t="s">
        <v>2060</v>
      </c>
      <c r="G218" s="87" t="b">
        <v>0</v>
      </c>
      <c r="H218" s="87" t="b">
        <v>0</v>
      </c>
      <c r="I218" s="87" t="b">
        <v>0</v>
      </c>
      <c r="J218" s="87" t="b">
        <v>0</v>
      </c>
      <c r="K218" s="87" t="b">
        <v>0</v>
      </c>
      <c r="L218" s="87" t="b">
        <v>0</v>
      </c>
    </row>
    <row r="219" spans="1:12" ht="15">
      <c r="A219" s="88" t="s">
        <v>1467</v>
      </c>
      <c r="B219" s="87" t="s">
        <v>1475</v>
      </c>
      <c r="C219" s="87">
        <v>3</v>
      </c>
      <c r="D219" s="110">
        <v>0.0015056228480449783</v>
      </c>
      <c r="E219" s="110">
        <v>1.4313637641589874</v>
      </c>
      <c r="F219" s="87" t="s">
        <v>2060</v>
      </c>
      <c r="G219" s="87" t="b">
        <v>0</v>
      </c>
      <c r="H219" s="87" t="b">
        <v>0</v>
      </c>
      <c r="I219" s="87" t="b">
        <v>0</v>
      </c>
      <c r="J219" s="87" t="b">
        <v>0</v>
      </c>
      <c r="K219" s="87" t="b">
        <v>0</v>
      </c>
      <c r="L219" s="87" t="b">
        <v>0</v>
      </c>
    </row>
    <row r="220" spans="1:12" ht="15">
      <c r="A220" s="88" t="s">
        <v>1475</v>
      </c>
      <c r="B220" s="87" t="s">
        <v>292</v>
      </c>
      <c r="C220" s="87">
        <v>3</v>
      </c>
      <c r="D220" s="110">
        <v>0.0015056228480449783</v>
      </c>
      <c r="E220" s="110">
        <v>1.954242509439325</v>
      </c>
      <c r="F220" s="87" t="s">
        <v>2060</v>
      </c>
      <c r="G220" s="87" t="b">
        <v>0</v>
      </c>
      <c r="H220" s="87" t="b">
        <v>0</v>
      </c>
      <c r="I220" s="87" t="b">
        <v>0</v>
      </c>
      <c r="J220" s="87" t="b">
        <v>0</v>
      </c>
      <c r="K220" s="87" t="b">
        <v>0</v>
      </c>
      <c r="L220" s="87" t="b">
        <v>0</v>
      </c>
    </row>
    <row r="221" spans="1:12" ht="15">
      <c r="A221" s="88" t="s">
        <v>292</v>
      </c>
      <c r="B221" s="87" t="s">
        <v>1465</v>
      </c>
      <c r="C221" s="87">
        <v>3</v>
      </c>
      <c r="D221" s="110">
        <v>0.0015056228480449783</v>
      </c>
      <c r="E221" s="110">
        <v>2.510545010206612</v>
      </c>
      <c r="F221" s="87" t="s">
        <v>2060</v>
      </c>
      <c r="G221" s="87" t="b">
        <v>0</v>
      </c>
      <c r="H221" s="87" t="b">
        <v>0</v>
      </c>
      <c r="I221" s="87" t="b">
        <v>0</v>
      </c>
      <c r="J221" s="87" t="b">
        <v>0</v>
      </c>
      <c r="K221" s="87" t="b">
        <v>0</v>
      </c>
      <c r="L221" s="87" t="b">
        <v>0</v>
      </c>
    </row>
    <row r="222" spans="1:12" ht="15">
      <c r="A222" s="88" t="s">
        <v>1465</v>
      </c>
      <c r="B222" s="87" t="s">
        <v>1869</v>
      </c>
      <c r="C222" s="87">
        <v>3</v>
      </c>
      <c r="D222" s="110">
        <v>0.0015056228480449783</v>
      </c>
      <c r="E222" s="110">
        <v>2.589726256254237</v>
      </c>
      <c r="F222" s="87" t="s">
        <v>2060</v>
      </c>
      <c r="G222" s="87" t="b">
        <v>0</v>
      </c>
      <c r="H222" s="87" t="b">
        <v>0</v>
      </c>
      <c r="I222" s="87" t="b">
        <v>0</v>
      </c>
      <c r="J222" s="87" t="b">
        <v>0</v>
      </c>
      <c r="K222" s="87" t="b">
        <v>0</v>
      </c>
      <c r="L222" s="87" t="b">
        <v>0</v>
      </c>
    </row>
    <row r="223" spans="1:12" ht="15">
      <c r="A223" s="88" t="s">
        <v>1869</v>
      </c>
      <c r="B223" s="87" t="s">
        <v>1926</v>
      </c>
      <c r="C223" s="87">
        <v>3</v>
      </c>
      <c r="D223" s="110">
        <v>0.0015056228480449783</v>
      </c>
      <c r="E223" s="110">
        <v>2.8115750058705933</v>
      </c>
      <c r="F223" s="87" t="s">
        <v>2060</v>
      </c>
      <c r="G223" s="87" t="b">
        <v>0</v>
      </c>
      <c r="H223" s="87" t="b">
        <v>0</v>
      </c>
      <c r="I223" s="87" t="b">
        <v>0</v>
      </c>
      <c r="J223" s="87" t="b">
        <v>0</v>
      </c>
      <c r="K223" s="87" t="b">
        <v>0</v>
      </c>
      <c r="L223" s="87" t="b">
        <v>0</v>
      </c>
    </row>
    <row r="224" spans="1:12" ht="15">
      <c r="A224" s="88" t="s">
        <v>1926</v>
      </c>
      <c r="B224" s="87" t="s">
        <v>1453</v>
      </c>
      <c r="C224" s="87">
        <v>3</v>
      </c>
      <c r="D224" s="110">
        <v>0.0015056228480449783</v>
      </c>
      <c r="E224" s="110">
        <v>1.7181533207083581</v>
      </c>
      <c r="F224" s="87" t="s">
        <v>2060</v>
      </c>
      <c r="G224" s="87" t="b">
        <v>0</v>
      </c>
      <c r="H224" s="87" t="b">
        <v>0</v>
      </c>
      <c r="I224" s="87" t="b">
        <v>0</v>
      </c>
      <c r="J224" s="87" t="b">
        <v>0</v>
      </c>
      <c r="K224" s="87" t="b">
        <v>0</v>
      </c>
      <c r="L224" s="87" t="b">
        <v>0</v>
      </c>
    </row>
    <row r="225" spans="1:12" ht="15">
      <c r="A225" s="88" t="s">
        <v>1453</v>
      </c>
      <c r="B225" s="87" t="s">
        <v>1460</v>
      </c>
      <c r="C225" s="87">
        <v>3</v>
      </c>
      <c r="D225" s="110">
        <v>0.0015056228480449783</v>
      </c>
      <c r="E225" s="110">
        <v>0.0554462510491555</v>
      </c>
      <c r="F225" s="87" t="s">
        <v>2060</v>
      </c>
      <c r="G225" s="87" t="b">
        <v>0</v>
      </c>
      <c r="H225" s="87" t="b">
        <v>0</v>
      </c>
      <c r="I225" s="87" t="b">
        <v>0</v>
      </c>
      <c r="J225" s="87" t="b">
        <v>0</v>
      </c>
      <c r="K225" s="87" t="b">
        <v>0</v>
      </c>
      <c r="L225" s="87" t="b">
        <v>0</v>
      </c>
    </row>
    <row r="226" spans="1:12" ht="15">
      <c r="A226" s="88" t="s">
        <v>1464</v>
      </c>
      <c r="B226" s="87" t="s">
        <v>1855</v>
      </c>
      <c r="C226" s="87">
        <v>3</v>
      </c>
      <c r="D226" s="110">
        <v>0.0015056228480449783</v>
      </c>
      <c r="E226" s="110">
        <v>1.6954101935697987</v>
      </c>
      <c r="F226" s="87" t="s">
        <v>2060</v>
      </c>
      <c r="G226" s="87" t="b">
        <v>0</v>
      </c>
      <c r="H226" s="87" t="b">
        <v>0</v>
      </c>
      <c r="I226" s="87" t="b">
        <v>0</v>
      </c>
      <c r="J226" s="87" t="b">
        <v>0</v>
      </c>
      <c r="K226" s="87" t="b">
        <v>0</v>
      </c>
      <c r="L226" s="87" t="b">
        <v>0</v>
      </c>
    </row>
    <row r="227" spans="1:12" ht="15">
      <c r="A227" s="88" t="s">
        <v>1458</v>
      </c>
      <c r="B227" s="87" t="s">
        <v>1927</v>
      </c>
      <c r="C227" s="87">
        <v>3</v>
      </c>
      <c r="D227" s="110">
        <v>0.0015056228480449783</v>
      </c>
      <c r="E227" s="110">
        <v>2.3344537511509307</v>
      </c>
      <c r="F227" s="87" t="s">
        <v>2060</v>
      </c>
      <c r="G227" s="87" t="b">
        <v>0</v>
      </c>
      <c r="H227" s="87" t="b">
        <v>0</v>
      </c>
      <c r="I227" s="87" t="b">
        <v>0</v>
      </c>
      <c r="J227" s="87" t="b">
        <v>0</v>
      </c>
      <c r="K227" s="87" t="b">
        <v>0</v>
      </c>
      <c r="L227" s="87" t="b">
        <v>0</v>
      </c>
    </row>
    <row r="228" spans="1:12" ht="15">
      <c r="A228" s="88" t="s">
        <v>1927</v>
      </c>
      <c r="B228" s="87" t="s">
        <v>1466</v>
      </c>
      <c r="C228" s="87">
        <v>3</v>
      </c>
      <c r="D228" s="110">
        <v>0.0015056228480449783</v>
      </c>
      <c r="E228" s="110">
        <v>2.8115750058705933</v>
      </c>
      <c r="F228" s="87" t="s">
        <v>2060</v>
      </c>
      <c r="G228" s="87" t="b">
        <v>0</v>
      </c>
      <c r="H228" s="87" t="b">
        <v>0</v>
      </c>
      <c r="I228" s="87" t="b">
        <v>0</v>
      </c>
      <c r="J228" s="87" t="b">
        <v>0</v>
      </c>
      <c r="K228" s="87" t="b">
        <v>0</v>
      </c>
      <c r="L228" s="87" t="b">
        <v>0</v>
      </c>
    </row>
    <row r="229" spans="1:12" ht="15">
      <c r="A229" s="88" t="s">
        <v>341</v>
      </c>
      <c r="B229" s="87" t="s">
        <v>1455</v>
      </c>
      <c r="C229" s="87">
        <v>3</v>
      </c>
      <c r="D229" s="110">
        <v>0.0015056228480449783</v>
      </c>
      <c r="E229" s="110">
        <v>0.3275600432030304</v>
      </c>
      <c r="F229" s="87" t="s">
        <v>2060</v>
      </c>
      <c r="G229" s="87" t="b">
        <v>0</v>
      </c>
      <c r="H229" s="87" t="b">
        <v>0</v>
      </c>
      <c r="I229" s="87" t="b">
        <v>0</v>
      </c>
      <c r="J229" s="87" t="b">
        <v>0</v>
      </c>
      <c r="K229" s="87" t="b">
        <v>0</v>
      </c>
      <c r="L229" s="87" t="b">
        <v>0</v>
      </c>
    </row>
    <row r="230" spans="1:12" ht="15">
      <c r="A230" s="88" t="s">
        <v>1453</v>
      </c>
      <c r="B230" s="87" t="s">
        <v>1928</v>
      </c>
      <c r="C230" s="87">
        <v>3</v>
      </c>
      <c r="D230" s="110">
        <v>0.0015056228480449783</v>
      </c>
      <c r="E230" s="110">
        <v>1.3491770079716372</v>
      </c>
      <c r="F230" s="87" t="s">
        <v>2060</v>
      </c>
      <c r="G230" s="87" t="b">
        <v>0</v>
      </c>
      <c r="H230" s="87" t="b">
        <v>0</v>
      </c>
      <c r="I230" s="87" t="b">
        <v>0</v>
      </c>
      <c r="J230" s="87" t="b">
        <v>1</v>
      </c>
      <c r="K230" s="87" t="b">
        <v>0</v>
      </c>
      <c r="L230" s="87" t="b">
        <v>0</v>
      </c>
    </row>
    <row r="231" spans="1:12" ht="15">
      <c r="A231" s="88" t="s">
        <v>1928</v>
      </c>
      <c r="B231" s="87" t="s">
        <v>1516</v>
      </c>
      <c r="C231" s="87">
        <v>3</v>
      </c>
      <c r="D231" s="110">
        <v>0.0015056228480449783</v>
      </c>
      <c r="E231" s="110">
        <v>2.048147012307656</v>
      </c>
      <c r="F231" s="87" t="s">
        <v>2060</v>
      </c>
      <c r="G231" s="87" t="b">
        <v>1</v>
      </c>
      <c r="H231" s="87" t="b">
        <v>0</v>
      </c>
      <c r="I231" s="87" t="b">
        <v>0</v>
      </c>
      <c r="J231" s="87" t="b">
        <v>0</v>
      </c>
      <c r="K231" s="87" t="b">
        <v>0</v>
      </c>
      <c r="L231" s="87" t="b">
        <v>0</v>
      </c>
    </row>
    <row r="232" spans="1:12" ht="15">
      <c r="A232" s="88" t="s">
        <v>341</v>
      </c>
      <c r="B232" s="87" t="s">
        <v>1437</v>
      </c>
      <c r="C232" s="87">
        <v>3</v>
      </c>
      <c r="D232" s="110">
        <v>0.00192772953166603</v>
      </c>
      <c r="E232" s="110">
        <v>0.11330042919622571</v>
      </c>
      <c r="F232" s="87" t="s">
        <v>2060</v>
      </c>
      <c r="G232" s="87" t="b">
        <v>0</v>
      </c>
      <c r="H232" s="87" t="b">
        <v>0</v>
      </c>
      <c r="I232" s="87" t="b">
        <v>0</v>
      </c>
      <c r="J232" s="87" t="b">
        <v>0</v>
      </c>
      <c r="K232" s="87" t="b">
        <v>0</v>
      </c>
      <c r="L232" s="87" t="b">
        <v>0</v>
      </c>
    </row>
    <row r="233" spans="1:12" ht="15">
      <c r="A233" s="88" t="s">
        <v>1462</v>
      </c>
      <c r="B233" s="87" t="s">
        <v>1493</v>
      </c>
      <c r="C233" s="87">
        <v>3</v>
      </c>
      <c r="D233" s="110">
        <v>0.0015056228480449783</v>
      </c>
      <c r="E233" s="110">
        <v>0.7032355310817552</v>
      </c>
      <c r="F233" s="87" t="s">
        <v>2060</v>
      </c>
      <c r="G233" s="87" t="b">
        <v>0</v>
      </c>
      <c r="H233" s="87" t="b">
        <v>0</v>
      </c>
      <c r="I233" s="87" t="b">
        <v>0</v>
      </c>
      <c r="J233" s="87" t="b">
        <v>0</v>
      </c>
      <c r="K233" s="87" t="b">
        <v>0</v>
      </c>
      <c r="L233" s="87" t="b">
        <v>0</v>
      </c>
    </row>
    <row r="234" spans="1:12" ht="15">
      <c r="A234" s="88" t="s">
        <v>1460</v>
      </c>
      <c r="B234" s="87" t="s">
        <v>292</v>
      </c>
      <c r="C234" s="87">
        <v>3</v>
      </c>
      <c r="D234" s="110">
        <v>0.0015056228480449783</v>
      </c>
      <c r="E234" s="110">
        <v>1.4386630029004868</v>
      </c>
      <c r="F234" s="87" t="s">
        <v>2060</v>
      </c>
      <c r="G234" s="87" t="b">
        <v>0</v>
      </c>
      <c r="H234" s="87" t="b">
        <v>0</v>
      </c>
      <c r="I234" s="87" t="b">
        <v>0</v>
      </c>
      <c r="J234" s="87" t="b">
        <v>0</v>
      </c>
      <c r="K234" s="87" t="b">
        <v>0</v>
      </c>
      <c r="L234" s="87" t="b">
        <v>0</v>
      </c>
    </row>
    <row r="235" spans="1:12" ht="15">
      <c r="A235" s="88" t="s">
        <v>292</v>
      </c>
      <c r="B235" s="87" t="s">
        <v>1467</v>
      </c>
      <c r="C235" s="87">
        <v>3</v>
      </c>
      <c r="D235" s="110">
        <v>0.0015056228480449783</v>
      </c>
      <c r="E235" s="110">
        <v>1.9084850188786497</v>
      </c>
      <c r="F235" s="87" t="s">
        <v>2060</v>
      </c>
      <c r="G235" s="87" t="b">
        <v>0</v>
      </c>
      <c r="H235" s="87" t="b">
        <v>0</v>
      </c>
      <c r="I235" s="87" t="b">
        <v>0</v>
      </c>
      <c r="J235" s="87" t="b">
        <v>0</v>
      </c>
      <c r="K235" s="87" t="b">
        <v>0</v>
      </c>
      <c r="L235" s="87" t="b">
        <v>0</v>
      </c>
    </row>
    <row r="236" spans="1:12" ht="15">
      <c r="A236" s="88" t="s">
        <v>1467</v>
      </c>
      <c r="B236" s="87" t="s">
        <v>1839</v>
      </c>
      <c r="C236" s="87">
        <v>3</v>
      </c>
      <c r="D236" s="110">
        <v>0.0015056228480449783</v>
      </c>
      <c r="E236" s="110">
        <v>1.7323937598229686</v>
      </c>
      <c r="F236" s="87" t="s">
        <v>2060</v>
      </c>
      <c r="G236" s="87" t="b">
        <v>0</v>
      </c>
      <c r="H236" s="87" t="b">
        <v>0</v>
      </c>
      <c r="I236" s="87" t="b">
        <v>0</v>
      </c>
      <c r="J236" s="87" t="b">
        <v>0</v>
      </c>
      <c r="K236" s="87" t="b">
        <v>0</v>
      </c>
      <c r="L236" s="87" t="b">
        <v>0</v>
      </c>
    </row>
    <row r="237" spans="1:12" ht="15">
      <c r="A237" s="88" t="s">
        <v>1839</v>
      </c>
      <c r="B237" s="87" t="s">
        <v>1930</v>
      </c>
      <c r="C237" s="87">
        <v>3</v>
      </c>
      <c r="D237" s="110">
        <v>0.0015056228480449783</v>
      </c>
      <c r="E237" s="110">
        <v>2.5563025007672873</v>
      </c>
      <c r="F237" s="87" t="s">
        <v>2060</v>
      </c>
      <c r="G237" s="87" t="b">
        <v>0</v>
      </c>
      <c r="H237" s="87" t="b">
        <v>0</v>
      </c>
      <c r="I237" s="87" t="b">
        <v>0</v>
      </c>
      <c r="J237" s="87" t="b">
        <v>0</v>
      </c>
      <c r="K237" s="87" t="b">
        <v>0</v>
      </c>
      <c r="L237" s="87" t="b">
        <v>0</v>
      </c>
    </row>
    <row r="238" spans="1:12" ht="15">
      <c r="A238" s="88" t="s">
        <v>1930</v>
      </c>
      <c r="B238" s="87" t="s">
        <v>1831</v>
      </c>
      <c r="C238" s="87">
        <v>3</v>
      </c>
      <c r="D238" s="110">
        <v>0.0015056228480449783</v>
      </c>
      <c r="E238" s="110">
        <v>2.3966016578997755</v>
      </c>
      <c r="F238" s="87" t="s">
        <v>2060</v>
      </c>
      <c r="G238" s="87" t="b">
        <v>0</v>
      </c>
      <c r="H238" s="87" t="b">
        <v>0</v>
      </c>
      <c r="I238" s="87" t="b">
        <v>0</v>
      </c>
      <c r="J238" s="87" t="b">
        <v>0</v>
      </c>
      <c r="K238" s="87" t="b">
        <v>0</v>
      </c>
      <c r="L238" s="87" t="b">
        <v>0</v>
      </c>
    </row>
    <row r="239" spans="1:12" ht="15">
      <c r="A239" s="88" t="s">
        <v>1831</v>
      </c>
      <c r="B239" s="87" t="s">
        <v>1821</v>
      </c>
      <c r="C239" s="87">
        <v>3</v>
      </c>
      <c r="D239" s="110">
        <v>0.0015056228480449783</v>
      </c>
      <c r="E239" s="110">
        <v>1.2302702361332505</v>
      </c>
      <c r="F239" s="87" t="s">
        <v>2060</v>
      </c>
      <c r="G239" s="87" t="b">
        <v>0</v>
      </c>
      <c r="H239" s="87" t="b">
        <v>0</v>
      </c>
      <c r="I239" s="87" t="b">
        <v>0</v>
      </c>
      <c r="J239" s="87" t="b">
        <v>0</v>
      </c>
      <c r="K239" s="87" t="b">
        <v>0</v>
      </c>
      <c r="L239" s="87" t="b">
        <v>0</v>
      </c>
    </row>
    <row r="240" spans="1:12" ht="15">
      <c r="A240" s="88" t="s">
        <v>1459</v>
      </c>
      <c r="B240" s="87" t="s">
        <v>294</v>
      </c>
      <c r="C240" s="87">
        <v>3</v>
      </c>
      <c r="D240" s="110">
        <v>0.0015056228480449783</v>
      </c>
      <c r="E240" s="110">
        <v>1.725215175195845</v>
      </c>
      <c r="F240" s="87" t="s">
        <v>2060</v>
      </c>
      <c r="G240" s="87" t="b">
        <v>0</v>
      </c>
      <c r="H240" s="87" t="b">
        <v>0</v>
      </c>
      <c r="I240" s="87" t="b">
        <v>0</v>
      </c>
      <c r="J240" s="87" t="b">
        <v>0</v>
      </c>
      <c r="K240" s="87" t="b">
        <v>0</v>
      </c>
      <c r="L240" s="87" t="b">
        <v>0</v>
      </c>
    </row>
    <row r="241" spans="1:12" ht="15">
      <c r="A241" s="88" t="s">
        <v>294</v>
      </c>
      <c r="B241" s="87" t="s">
        <v>1455</v>
      </c>
      <c r="C241" s="87">
        <v>3</v>
      </c>
      <c r="D241" s="110">
        <v>0.0015056228480449783</v>
      </c>
      <c r="E241" s="110">
        <v>1.4067412892506552</v>
      </c>
      <c r="F241" s="87" t="s">
        <v>2060</v>
      </c>
      <c r="G241" s="87" t="b">
        <v>0</v>
      </c>
      <c r="H241" s="87" t="b">
        <v>0</v>
      </c>
      <c r="I241" s="87" t="b">
        <v>0</v>
      </c>
      <c r="J241" s="87" t="b">
        <v>0</v>
      </c>
      <c r="K241" s="87" t="b">
        <v>0</v>
      </c>
      <c r="L241" s="87" t="b">
        <v>0</v>
      </c>
    </row>
    <row r="242" spans="1:12" ht="15">
      <c r="A242" s="88" t="s">
        <v>1931</v>
      </c>
      <c r="B242" s="87" t="s">
        <v>1437</v>
      </c>
      <c r="C242" s="87">
        <v>3</v>
      </c>
      <c r="D242" s="110">
        <v>0.0015056228480449783</v>
      </c>
      <c r="E242" s="110">
        <v>1.1924816752438505</v>
      </c>
      <c r="F242" s="87" t="s">
        <v>2060</v>
      </c>
      <c r="G242" s="87" t="b">
        <v>0</v>
      </c>
      <c r="H242" s="87" t="b">
        <v>0</v>
      </c>
      <c r="I242" s="87" t="b">
        <v>0</v>
      </c>
      <c r="J242" s="87" t="b">
        <v>0</v>
      </c>
      <c r="K242" s="87" t="b">
        <v>0</v>
      </c>
      <c r="L242" s="87" t="b">
        <v>0</v>
      </c>
    </row>
    <row r="243" spans="1:12" ht="15">
      <c r="A243" s="88" t="s">
        <v>1453</v>
      </c>
      <c r="B243" s="87" t="s">
        <v>1482</v>
      </c>
      <c r="C243" s="87">
        <v>3</v>
      </c>
      <c r="D243" s="110">
        <v>0.0015056228480449783</v>
      </c>
      <c r="E243" s="110">
        <v>0.8720557532519748</v>
      </c>
      <c r="F243" s="87" t="s">
        <v>2060</v>
      </c>
      <c r="G243" s="87" t="b">
        <v>0</v>
      </c>
      <c r="H243" s="87" t="b">
        <v>0</v>
      </c>
      <c r="I243" s="87" t="b">
        <v>0</v>
      </c>
      <c r="J243" s="87" t="b">
        <v>0</v>
      </c>
      <c r="K243" s="87" t="b">
        <v>0</v>
      </c>
      <c r="L243" s="87" t="b">
        <v>0</v>
      </c>
    </row>
    <row r="244" spans="1:12" ht="15">
      <c r="A244" s="88" t="s">
        <v>1482</v>
      </c>
      <c r="B244" s="87" t="s">
        <v>1462</v>
      </c>
      <c r="C244" s="87">
        <v>3</v>
      </c>
      <c r="D244" s="110">
        <v>0.0015056228480449783</v>
      </c>
      <c r="E244" s="110">
        <v>1.2930610659927058</v>
      </c>
      <c r="F244" s="87" t="s">
        <v>2060</v>
      </c>
      <c r="G244" s="87" t="b">
        <v>0</v>
      </c>
      <c r="H244" s="87" t="b">
        <v>0</v>
      </c>
      <c r="I244" s="87" t="b">
        <v>0</v>
      </c>
      <c r="J244" s="87" t="b">
        <v>0</v>
      </c>
      <c r="K244" s="87" t="b">
        <v>0</v>
      </c>
      <c r="L244" s="87" t="b">
        <v>0</v>
      </c>
    </row>
    <row r="245" spans="1:12" ht="15">
      <c r="A245" s="88" t="s">
        <v>1469</v>
      </c>
      <c r="B245" s="87" t="s">
        <v>1903</v>
      </c>
      <c r="C245" s="87">
        <v>3</v>
      </c>
      <c r="D245" s="110">
        <v>0.0015056228480449783</v>
      </c>
      <c r="E245" s="110">
        <v>1.7728224168785767</v>
      </c>
      <c r="F245" s="87" t="s">
        <v>2060</v>
      </c>
      <c r="G245" s="87" t="b">
        <v>0</v>
      </c>
      <c r="H245" s="87" t="b">
        <v>0</v>
      </c>
      <c r="I245" s="87" t="b">
        <v>0</v>
      </c>
      <c r="J245" s="87" t="b">
        <v>0</v>
      </c>
      <c r="K245" s="87" t="b">
        <v>0</v>
      </c>
      <c r="L245" s="87" t="b">
        <v>0</v>
      </c>
    </row>
    <row r="246" spans="1:12" ht="15">
      <c r="A246" s="88" t="s">
        <v>1903</v>
      </c>
      <c r="B246" s="87" t="s">
        <v>1932</v>
      </c>
      <c r="C246" s="87">
        <v>3</v>
      </c>
      <c r="D246" s="110">
        <v>0.0015056228480449783</v>
      </c>
      <c r="E246" s="110">
        <v>2.90848501887865</v>
      </c>
      <c r="F246" s="87" t="s">
        <v>2060</v>
      </c>
      <c r="G246" s="87" t="b">
        <v>0</v>
      </c>
      <c r="H246" s="87" t="b">
        <v>0</v>
      </c>
      <c r="I246" s="87" t="b">
        <v>0</v>
      </c>
      <c r="J246" s="87" t="b">
        <v>0</v>
      </c>
      <c r="K246" s="87" t="b">
        <v>0</v>
      </c>
      <c r="L246" s="87" t="b">
        <v>0</v>
      </c>
    </row>
    <row r="247" spans="1:12" ht="15">
      <c r="A247" s="88" t="s">
        <v>1932</v>
      </c>
      <c r="B247" s="87" t="s">
        <v>1933</v>
      </c>
      <c r="C247" s="87">
        <v>3</v>
      </c>
      <c r="D247" s="110">
        <v>0.0015056228480449783</v>
      </c>
      <c r="E247" s="110">
        <v>3.03342375548695</v>
      </c>
      <c r="F247" s="87" t="s">
        <v>2060</v>
      </c>
      <c r="G247" s="87" t="b">
        <v>0</v>
      </c>
      <c r="H247" s="87" t="b">
        <v>0</v>
      </c>
      <c r="I247" s="87" t="b">
        <v>0</v>
      </c>
      <c r="J247" s="87" t="b">
        <v>0</v>
      </c>
      <c r="K247" s="87" t="b">
        <v>0</v>
      </c>
      <c r="L247" s="87" t="b">
        <v>0</v>
      </c>
    </row>
    <row r="248" spans="1:12" ht="15">
      <c r="A248" s="88" t="s">
        <v>1933</v>
      </c>
      <c r="B248" s="87" t="s">
        <v>1464</v>
      </c>
      <c r="C248" s="87">
        <v>3</v>
      </c>
      <c r="D248" s="110">
        <v>0.0015056228480449783</v>
      </c>
      <c r="E248" s="110">
        <v>2.063386978864393</v>
      </c>
      <c r="F248" s="87" t="s">
        <v>2060</v>
      </c>
      <c r="G248" s="87" t="b">
        <v>0</v>
      </c>
      <c r="H248" s="87" t="b">
        <v>0</v>
      </c>
      <c r="I248" s="87" t="b">
        <v>0</v>
      </c>
      <c r="J248" s="87" t="b">
        <v>0</v>
      </c>
      <c r="K248" s="87" t="b">
        <v>0</v>
      </c>
      <c r="L248" s="87" t="b">
        <v>0</v>
      </c>
    </row>
    <row r="249" spans="1:12" ht="15">
      <c r="A249" s="88" t="s">
        <v>1825</v>
      </c>
      <c r="B249" s="87" t="s">
        <v>1934</v>
      </c>
      <c r="C249" s="87">
        <v>3</v>
      </c>
      <c r="D249" s="110">
        <v>0.0015056228480449783</v>
      </c>
      <c r="E249" s="110">
        <v>2.0955716622357943</v>
      </c>
      <c r="F249" s="87" t="s">
        <v>2060</v>
      </c>
      <c r="G249" s="87" t="b">
        <v>0</v>
      </c>
      <c r="H249" s="87" t="b">
        <v>0</v>
      </c>
      <c r="I249" s="87" t="b">
        <v>0</v>
      </c>
      <c r="J249" s="87" t="b">
        <v>1</v>
      </c>
      <c r="K249" s="87" t="b">
        <v>0</v>
      </c>
      <c r="L249" s="87" t="b">
        <v>0</v>
      </c>
    </row>
    <row r="250" spans="1:12" ht="15">
      <c r="A250" s="88" t="s">
        <v>1934</v>
      </c>
      <c r="B250" s="87" t="s">
        <v>1469</v>
      </c>
      <c r="C250" s="87">
        <v>3</v>
      </c>
      <c r="D250" s="110">
        <v>0.0015056228480449783</v>
      </c>
      <c r="E250" s="110">
        <v>1.8977611534868766</v>
      </c>
      <c r="F250" s="87" t="s">
        <v>2060</v>
      </c>
      <c r="G250" s="87" t="b">
        <v>1</v>
      </c>
      <c r="H250" s="87" t="b">
        <v>0</v>
      </c>
      <c r="I250" s="87" t="b">
        <v>0</v>
      </c>
      <c r="J250" s="87" t="b">
        <v>0</v>
      </c>
      <c r="K250" s="87" t="b">
        <v>0</v>
      </c>
      <c r="L250" s="87" t="b">
        <v>0</v>
      </c>
    </row>
    <row r="251" spans="1:12" ht="15">
      <c r="A251" s="88" t="s">
        <v>1453</v>
      </c>
      <c r="B251" s="87" t="s">
        <v>1936</v>
      </c>
      <c r="C251" s="87">
        <v>3</v>
      </c>
      <c r="D251" s="110">
        <v>0.0015056228480449783</v>
      </c>
      <c r="E251" s="110">
        <v>1.3491770079716372</v>
      </c>
      <c r="F251" s="87" t="s">
        <v>2060</v>
      </c>
      <c r="G251" s="87" t="b">
        <v>0</v>
      </c>
      <c r="H251" s="87" t="b">
        <v>0</v>
      </c>
      <c r="I251" s="87" t="b">
        <v>0</v>
      </c>
      <c r="J251" s="87" t="b">
        <v>0</v>
      </c>
      <c r="K251" s="87" t="b">
        <v>0</v>
      </c>
      <c r="L251" s="87" t="b">
        <v>0</v>
      </c>
    </row>
    <row r="252" spans="1:12" ht="15">
      <c r="A252" s="88" t="s">
        <v>1936</v>
      </c>
      <c r="B252" s="87" t="s">
        <v>1937</v>
      </c>
      <c r="C252" s="87">
        <v>3</v>
      </c>
      <c r="D252" s="110">
        <v>0.0015056228480449783</v>
      </c>
      <c r="E252" s="110">
        <v>3.03342375548695</v>
      </c>
      <c r="F252" s="87" t="s">
        <v>2060</v>
      </c>
      <c r="G252" s="87" t="b">
        <v>0</v>
      </c>
      <c r="H252" s="87" t="b">
        <v>0</v>
      </c>
      <c r="I252" s="87" t="b">
        <v>0</v>
      </c>
      <c r="J252" s="87" t="b">
        <v>0</v>
      </c>
      <c r="K252" s="87" t="b">
        <v>0</v>
      </c>
      <c r="L252" s="87" t="b">
        <v>0</v>
      </c>
    </row>
    <row r="253" spans="1:12" ht="15">
      <c r="A253" s="88" t="s">
        <v>1937</v>
      </c>
      <c r="B253" s="87" t="s">
        <v>1938</v>
      </c>
      <c r="C253" s="87">
        <v>3</v>
      </c>
      <c r="D253" s="110">
        <v>0.0015056228480449783</v>
      </c>
      <c r="E253" s="110">
        <v>3.03342375548695</v>
      </c>
      <c r="F253" s="87" t="s">
        <v>2060</v>
      </c>
      <c r="G253" s="87" t="b">
        <v>0</v>
      </c>
      <c r="H253" s="87" t="b">
        <v>0</v>
      </c>
      <c r="I253" s="87" t="b">
        <v>0</v>
      </c>
      <c r="J253" s="87" t="b">
        <v>0</v>
      </c>
      <c r="K253" s="87" t="b">
        <v>0</v>
      </c>
      <c r="L253" s="87" t="b">
        <v>0</v>
      </c>
    </row>
    <row r="254" spans="1:12" ht="15">
      <c r="A254" s="88" t="s">
        <v>1938</v>
      </c>
      <c r="B254" s="87" t="s">
        <v>1820</v>
      </c>
      <c r="C254" s="87">
        <v>3</v>
      </c>
      <c r="D254" s="110">
        <v>0.0015056228480449783</v>
      </c>
      <c r="E254" s="110">
        <v>1.8477871785250382</v>
      </c>
      <c r="F254" s="87" t="s">
        <v>2060</v>
      </c>
      <c r="G254" s="87" t="b">
        <v>0</v>
      </c>
      <c r="H254" s="87" t="b">
        <v>0</v>
      </c>
      <c r="I254" s="87" t="b">
        <v>0</v>
      </c>
      <c r="J254" s="87" t="b">
        <v>0</v>
      </c>
      <c r="K254" s="87" t="b">
        <v>0</v>
      </c>
      <c r="L254" s="87" t="b">
        <v>0</v>
      </c>
    </row>
    <row r="255" spans="1:12" ht="15">
      <c r="A255" s="88" t="s">
        <v>1819</v>
      </c>
      <c r="B255" s="87" t="s">
        <v>1844</v>
      </c>
      <c r="C255" s="87">
        <v>3</v>
      </c>
      <c r="D255" s="110">
        <v>0.0015056228480449783</v>
      </c>
      <c r="E255" s="110">
        <v>1.3613258975512323</v>
      </c>
      <c r="F255" s="87" t="s">
        <v>2060</v>
      </c>
      <c r="G255" s="87" t="b">
        <v>0</v>
      </c>
      <c r="H255" s="87" t="b">
        <v>0</v>
      </c>
      <c r="I255" s="87" t="b">
        <v>0</v>
      </c>
      <c r="J255" s="87" t="b">
        <v>1</v>
      </c>
      <c r="K255" s="87" t="b">
        <v>0</v>
      </c>
      <c r="L255" s="87" t="b">
        <v>0</v>
      </c>
    </row>
    <row r="256" spans="1:12" ht="15">
      <c r="A256" s="88" t="s">
        <v>1852</v>
      </c>
      <c r="B256" s="87" t="s">
        <v>1454</v>
      </c>
      <c r="C256" s="87">
        <v>3</v>
      </c>
      <c r="D256" s="110">
        <v>0.0015056228480449783</v>
      </c>
      <c r="E256" s="110">
        <v>0.9262137858390813</v>
      </c>
      <c r="F256" s="87" t="s">
        <v>2060</v>
      </c>
      <c r="G256" s="87" t="b">
        <v>0</v>
      </c>
      <c r="H256" s="87" t="b">
        <v>0</v>
      </c>
      <c r="I256" s="87" t="b">
        <v>0</v>
      </c>
      <c r="J256" s="87" t="b">
        <v>0</v>
      </c>
      <c r="K256" s="87" t="b">
        <v>0</v>
      </c>
      <c r="L256" s="87" t="b">
        <v>0</v>
      </c>
    </row>
    <row r="257" spans="1:12" ht="15">
      <c r="A257" s="88" t="s">
        <v>1437</v>
      </c>
      <c r="B257" s="87" t="s">
        <v>1881</v>
      </c>
      <c r="C257" s="87">
        <v>3</v>
      </c>
      <c r="D257" s="110">
        <v>0.0015056228480449783</v>
      </c>
      <c r="E257" s="110">
        <v>0.9706329256274943</v>
      </c>
      <c r="F257" s="87" t="s">
        <v>2060</v>
      </c>
      <c r="G257" s="87" t="b">
        <v>0</v>
      </c>
      <c r="H257" s="87" t="b">
        <v>0</v>
      </c>
      <c r="I257" s="87" t="b">
        <v>0</v>
      </c>
      <c r="J257" s="87" t="b">
        <v>0</v>
      </c>
      <c r="K257" s="87" t="b">
        <v>0</v>
      </c>
      <c r="L257" s="87" t="b">
        <v>0</v>
      </c>
    </row>
    <row r="258" spans="1:12" ht="15">
      <c r="A258" s="88" t="s">
        <v>1460</v>
      </c>
      <c r="B258" s="87" t="s">
        <v>1859</v>
      </c>
      <c r="C258" s="87">
        <v>3</v>
      </c>
      <c r="D258" s="110">
        <v>0.0015056228480449783</v>
      </c>
      <c r="E258" s="110">
        <v>1.3717162132698737</v>
      </c>
      <c r="F258" s="87" t="s">
        <v>2060</v>
      </c>
      <c r="G258" s="87" t="b">
        <v>0</v>
      </c>
      <c r="H258" s="87" t="b">
        <v>0</v>
      </c>
      <c r="I258" s="87" t="b">
        <v>0</v>
      </c>
      <c r="J258" s="87" t="b">
        <v>0</v>
      </c>
      <c r="K258" s="87" t="b">
        <v>0</v>
      </c>
      <c r="L258" s="87" t="b">
        <v>0</v>
      </c>
    </row>
    <row r="259" spans="1:12" ht="15">
      <c r="A259" s="88" t="s">
        <v>1859</v>
      </c>
      <c r="B259" s="87" t="s">
        <v>277</v>
      </c>
      <c r="C259" s="87">
        <v>3</v>
      </c>
      <c r="D259" s="110">
        <v>0.0015056228480449783</v>
      </c>
      <c r="E259" s="110">
        <v>2.6654469701923555</v>
      </c>
      <c r="F259" s="87" t="s">
        <v>2060</v>
      </c>
      <c r="G259" s="87" t="b">
        <v>0</v>
      </c>
      <c r="H259" s="87" t="b">
        <v>0</v>
      </c>
      <c r="I259" s="87" t="b">
        <v>0</v>
      </c>
      <c r="J259" s="87" t="b">
        <v>0</v>
      </c>
      <c r="K259" s="87" t="b">
        <v>0</v>
      </c>
      <c r="L259" s="87" t="b">
        <v>0</v>
      </c>
    </row>
    <row r="260" spans="1:12" ht="15">
      <c r="A260" s="88" t="s">
        <v>277</v>
      </c>
      <c r="B260" s="87" t="s">
        <v>1901</v>
      </c>
      <c r="C260" s="87">
        <v>3</v>
      </c>
      <c r="D260" s="110">
        <v>0.0015056228480449783</v>
      </c>
      <c r="E260" s="110">
        <v>2.90848501887865</v>
      </c>
      <c r="F260" s="87" t="s">
        <v>2060</v>
      </c>
      <c r="G260" s="87" t="b">
        <v>0</v>
      </c>
      <c r="H260" s="87" t="b">
        <v>0</v>
      </c>
      <c r="I260" s="87" t="b">
        <v>0</v>
      </c>
      <c r="J260" s="87" t="b">
        <v>0</v>
      </c>
      <c r="K260" s="87" t="b">
        <v>0</v>
      </c>
      <c r="L260" s="87" t="b">
        <v>0</v>
      </c>
    </row>
    <row r="261" spans="1:12" ht="15">
      <c r="A261" s="88" t="s">
        <v>1901</v>
      </c>
      <c r="B261" s="87" t="s">
        <v>1821</v>
      </c>
      <c r="C261" s="87">
        <v>3</v>
      </c>
      <c r="D261" s="110">
        <v>0.0015056228480449783</v>
      </c>
      <c r="E261" s="110">
        <v>1.7421535971121247</v>
      </c>
      <c r="F261" s="87" t="s">
        <v>2060</v>
      </c>
      <c r="G261" s="87" t="b">
        <v>0</v>
      </c>
      <c r="H261" s="87" t="b">
        <v>0</v>
      </c>
      <c r="I261" s="87" t="b">
        <v>0</v>
      </c>
      <c r="J261" s="87" t="b">
        <v>0</v>
      </c>
      <c r="K261" s="87" t="b">
        <v>0</v>
      </c>
      <c r="L261" s="87" t="b">
        <v>0</v>
      </c>
    </row>
    <row r="262" spans="1:12" ht="15">
      <c r="A262" s="88" t="s">
        <v>1437</v>
      </c>
      <c r="B262" s="87" t="s">
        <v>1862</v>
      </c>
      <c r="C262" s="87">
        <v>3</v>
      </c>
      <c r="D262" s="110">
        <v>0.0015056228480449783</v>
      </c>
      <c r="E262" s="110">
        <v>0.8914516795798694</v>
      </c>
      <c r="F262" s="87" t="s">
        <v>2060</v>
      </c>
      <c r="G262" s="87" t="b">
        <v>0</v>
      </c>
      <c r="H262" s="87" t="b">
        <v>0</v>
      </c>
      <c r="I262" s="87" t="b">
        <v>0</v>
      </c>
      <c r="J262" s="87" t="b">
        <v>0</v>
      </c>
      <c r="K262" s="87" t="b">
        <v>0</v>
      </c>
      <c r="L262" s="87" t="b">
        <v>0</v>
      </c>
    </row>
    <row r="263" spans="1:12" ht="15">
      <c r="A263" s="88" t="s">
        <v>1862</v>
      </c>
      <c r="B263" s="87" t="s">
        <v>1943</v>
      </c>
      <c r="C263" s="87">
        <v>3</v>
      </c>
      <c r="D263" s="110">
        <v>0.0015056228480449783</v>
      </c>
      <c r="E263" s="110">
        <v>2.7323937598229686</v>
      </c>
      <c r="F263" s="87" t="s">
        <v>2060</v>
      </c>
      <c r="G263" s="87" t="b">
        <v>0</v>
      </c>
      <c r="H263" s="87" t="b">
        <v>0</v>
      </c>
      <c r="I263" s="87" t="b">
        <v>0</v>
      </c>
      <c r="J263" s="87" t="b">
        <v>0</v>
      </c>
      <c r="K263" s="87" t="b">
        <v>0</v>
      </c>
      <c r="L263" s="87" t="b">
        <v>0</v>
      </c>
    </row>
    <row r="264" spans="1:12" ht="15">
      <c r="A264" s="88" t="s">
        <v>1943</v>
      </c>
      <c r="B264" s="87" t="s">
        <v>1839</v>
      </c>
      <c r="C264" s="87">
        <v>3</v>
      </c>
      <c r="D264" s="110">
        <v>0.0015056228480449783</v>
      </c>
      <c r="E264" s="110">
        <v>2.5563025007672873</v>
      </c>
      <c r="F264" s="87" t="s">
        <v>2060</v>
      </c>
      <c r="G264" s="87" t="b">
        <v>0</v>
      </c>
      <c r="H264" s="87" t="b">
        <v>0</v>
      </c>
      <c r="I264" s="87" t="b">
        <v>0</v>
      </c>
      <c r="J264" s="87" t="b">
        <v>0</v>
      </c>
      <c r="K264" s="87" t="b">
        <v>0</v>
      </c>
      <c r="L264" s="87" t="b">
        <v>0</v>
      </c>
    </row>
    <row r="265" spans="1:12" ht="15">
      <c r="A265" s="88" t="s">
        <v>1839</v>
      </c>
      <c r="B265" s="87" t="s">
        <v>1824</v>
      </c>
      <c r="C265" s="87">
        <v>3</v>
      </c>
      <c r="D265" s="110">
        <v>0.0015056228480449783</v>
      </c>
      <c r="E265" s="110">
        <v>1.6020599913279623</v>
      </c>
      <c r="F265" s="87" t="s">
        <v>2060</v>
      </c>
      <c r="G265" s="87" t="b">
        <v>0</v>
      </c>
      <c r="H265" s="87" t="b">
        <v>0</v>
      </c>
      <c r="I265" s="87" t="b">
        <v>0</v>
      </c>
      <c r="J265" s="87" t="b">
        <v>0</v>
      </c>
      <c r="K265" s="87" t="b">
        <v>0</v>
      </c>
      <c r="L265" s="87" t="b">
        <v>0</v>
      </c>
    </row>
    <row r="266" spans="1:12" ht="15">
      <c r="A266" s="88" t="s">
        <v>1508</v>
      </c>
      <c r="B266" s="87" t="s">
        <v>1453</v>
      </c>
      <c r="C266" s="87">
        <v>3</v>
      </c>
      <c r="D266" s="110">
        <v>0.0015056228480449783</v>
      </c>
      <c r="E266" s="110">
        <v>1.7181533207083581</v>
      </c>
      <c r="F266" s="87" t="s">
        <v>2060</v>
      </c>
      <c r="G266" s="87" t="b">
        <v>0</v>
      </c>
      <c r="H266" s="87" t="b">
        <v>0</v>
      </c>
      <c r="I266" s="87" t="b">
        <v>0</v>
      </c>
      <c r="J266" s="87" t="b">
        <v>0</v>
      </c>
      <c r="K266" s="87" t="b">
        <v>0</v>
      </c>
      <c r="L266" s="87" t="b">
        <v>0</v>
      </c>
    </row>
    <row r="267" spans="1:12" ht="15">
      <c r="A267" s="88" t="s">
        <v>1462</v>
      </c>
      <c r="B267" s="87" t="s">
        <v>1829</v>
      </c>
      <c r="C267" s="87">
        <v>3</v>
      </c>
      <c r="D267" s="110">
        <v>0.0015056228480449783</v>
      </c>
      <c r="E267" s="110">
        <v>0.9920310703287246</v>
      </c>
      <c r="F267" s="87" t="s">
        <v>2060</v>
      </c>
      <c r="G267" s="87" t="b">
        <v>0</v>
      </c>
      <c r="H267" s="87" t="b">
        <v>0</v>
      </c>
      <c r="I267" s="87" t="b">
        <v>0</v>
      </c>
      <c r="J267" s="87" t="b">
        <v>1</v>
      </c>
      <c r="K267" s="87" t="b">
        <v>0</v>
      </c>
      <c r="L267" s="87" t="b">
        <v>0</v>
      </c>
    </row>
    <row r="268" spans="1:12" ht="15">
      <c r="A268" s="88" t="s">
        <v>1827</v>
      </c>
      <c r="B268" s="87" t="s">
        <v>1490</v>
      </c>
      <c r="C268" s="87">
        <v>3</v>
      </c>
      <c r="D268" s="110">
        <v>0.0015056228480449783</v>
      </c>
      <c r="E268" s="110">
        <v>0.9842057328167682</v>
      </c>
      <c r="F268" s="87" t="s">
        <v>2060</v>
      </c>
      <c r="G268" s="87" t="b">
        <v>0</v>
      </c>
      <c r="H268" s="87" t="b">
        <v>0</v>
      </c>
      <c r="I268" s="87" t="b">
        <v>0</v>
      </c>
      <c r="J268" s="87" t="b">
        <v>0</v>
      </c>
      <c r="K268" s="87" t="b">
        <v>0</v>
      </c>
      <c r="L268" s="87" t="b">
        <v>0</v>
      </c>
    </row>
    <row r="269" spans="1:12" ht="15">
      <c r="A269" s="88" t="s">
        <v>1490</v>
      </c>
      <c r="B269" s="87" t="s">
        <v>1945</v>
      </c>
      <c r="C269" s="87">
        <v>3</v>
      </c>
      <c r="D269" s="110">
        <v>0.0015056228480449783</v>
      </c>
      <c r="E269" s="110">
        <v>1.8293037728310249</v>
      </c>
      <c r="F269" s="87" t="s">
        <v>2060</v>
      </c>
      <c r="G269" s="87" t="b">
        <v>0</v>
      </c>
      <c r="H269" s="87" t="b">
        <v>0</v>
      </c>
      <c r="I269" s="87" t="b">
        <v>0</v>
      </c>
      <c r="J269" s="87" t="b">
        <v>0</v>
      </c>
      <c r="K269" s="87" t="b">
        <v>0</v>
      </c>
      <c r="L269" s="87" t="b">
        <v>0</v>
      </c>
    </row>
    <row r="270" spans="1:12" ht="15">
      <c r="A270" s="88" t="s">
        <v>1945</v>
      </c>
      <c r="B270" s="87" t="s">
        <v>1907</v>
      </c>
      <c r="C270" s="87">
        <v>3</v>
      </c>
      <c r="D270" s="110">
        <v>0.0015056228480449783</v>
      </c>
      <c r="E270" s="110">
        <v>2.90848501887865</v>
      </c>
      <c r="F270" s="87" t="s">
        <v>2060</v>
      </c>
      <c r="G270" s="87" t="b">
        <v>0</v>
      </c>
      <c r="H270" s="87" t="b">
        <v>0</v>
      </c>
      <c r="I270" s="87" t="b">
        <v>0</v>
      </c>
      <c r="J270" s="87" t="b">
        <v>0</v>
      </c>
      <c r="K270" s="87" t="b">
        <v>0</v>
      </c>
      <c r="L270" s="87" t="b">
        <v>0</v>
      </c>
    </row>
    <row r="271" spans="1:12" ht="15">
      <c r="A271" s="88" t="s">
        <v>1907</v>
      </c>
      <c r="B271" s="87" t="s">
        <v>1946</v>
      </c>
      <c r="C271" s="87">
        <v>3</v>
      </c>
      <c r="D271" s="110">
        <v>0.0015056228480449783</v>
      </c>
      <c r="E271" s="110">
        <v>2.90848501887865</v>
      </c>
      <c r="F271" s="87" t="s">
        <v>2060</v>
      </c>
      <c r="G271" s="87" t="b">
        <v>0</v>
      </c>
      <c r="H271" s="87" t="b">
        <v>0</v>
      </c>
      <c r="I271" s="87" t="b">
        <v>0</v>
      </c>
      <c r="J271" s="87" t="b">
        <v>0</v>
      </c>
      <c r="K271" s="87" t="b">
        <v>0</v>
      </c>
      <c r="L271" s="87" t="b">
        <v>0</v>
      </c>
    </row>
    <row r="272" spans="1:12" ht="15">
      <c r="A272" s="88" t="s">
        <v>1946</v>
      </c>
      <c r="B272" s="87" t="s">
        <v>1467</v>
      </c>
      <c r="C272" s="87">
        <v>3</v>
      </c>
      <c r="D272" s="110">
        <v>0.0015056228480449783</v>
      </c>
      <c r="E272" s="110">
        <v>2.2095150145426308</v>
      </c>
      <c r="F272" s="87" t="s">
        <v>2060</v>
      </c>
      <c r="G272" s="87" t="b">
        <v>0</v>
      </c>
      <c r="H272" s="87" t="b">
        <v>0</v>
      </c>
      <c r="I272" s="87" t="b">
        <v>0</v>
      </c>
      <c r="J272" s="87" t="b">
        <v>0</v>
      </c>
      <c r="K272" s="87" t="b">
        <v>0</v>
      </c>
      <c r="L272" s="87" t="b">
        <v>0</v>
      </c>
    </row>
    <row r="273" spans="1:12" ht="15">
      <c r="A273" s="88" t="s">
        <v>1467</v>
      </c>
      <c r="B273" s="87" t="s">
        <v>1917</v>
      </c>
      <c r="C273" s="87">
        <v>3</v>
      </c>
      <c r="D273" s="110">
        <v>0.0015056228480449783</v>
      </c>
      <c r="E273" s="110">
        <v>2.084576277934331</v>
      </c>
      <c r="F273" s="87" t="s">
        <v>2060</v>
      </c>
      <c r="G273" s="87" t="b">
        <v>0</v>
      </c>
      <c r="H273" s="87" t="b">
        <v>0</v>
      </c>
      <c r="I273" s="87" t="b">
        <v>0</v>
      </c>
      <c r="J273" s="87" t="b">
        <v>0</v>
      </c>
      <c r="K273" s="87" t="b">
        <v>0</v>
      </c>
      <c r="L273" s="87" t="b">
        <v>0</v>
      </c>
    </row>
    <row r="274" spans="1:12" ht="15">
      <c r="A274" s="88" t="s">
        <v>1917</v>
      </c>
      <c r="B274" s="87" t="s">
        <v>1866</v>
      </c>
      <c r="C274" s="87">
        <v>3</v>
      </c>
      <c r="D274" s="110">
        <v>0.0015056228480449783</v>
      </c>
      <c r="E274" s="110">
        <v>2.6074550232146687</v>
      </c>
      <c r="F274" s="87" t="s">
        <v>2060</v>
      </c>
      <c r="G274" s="87" t="b">
        <v>0</v>
      </c>
      <c r="H274" s="87" t="b">
        <v>0</v>
      </c>
      <c r="I274" s="87" t="b">
        <v>0</v>
      </c>
      <c r="J274" s="87" t="b">
        <v>0</v>
      </c>
      <c r="K274" s="87" t="b">
        <v>0</v>
      </c>
      <c r="L274" s="87" t="b">
        <v>0</v>
      </c>
    </row>
    <row r="275" spans="1:12" ht="15">
      <c r="A275" s="88" t="s">
        <v>1866</v>
      </c>
      <c r="B275" s="87" t="s">
        <v>1836</v>
      </c>
      <c r="C275" s="87">
        <v>3</v>
      </c>
      <c r="D275" s="110">
        <v>0.0015056228480449783</v>
      </c>
      <c r="E275" s="110">
        <v>2.130333768495006</v>
      </c>
      <c r="F275" s="87" t="s">
        <v>2060</v>
      </c>
      <c r="G275" s="87" t="b">
        <v>0</v>
      </c>
      <c r="H275" s="87" t="b">
        <v>0</v>
      </c>
      <c r="I275" s="87" t="b">
        <v>0</v>
      </c>
      <c r="J275" s="87" t="b">
        <v>0</v>
      </c>
      <c r="K275" s="87" t="b">
        <v>0</v>
      </c>
      <c r="L275" s="87" t="b">
        <v>0</v>
      </c>
    </row>
    <row r="276" spans="1:12" ht="15">
      <c r="A276" s="88" t="s">
        <v>1836</v>
      </c>
      <c r="B276" s="87" t="s">
        <v>1947</v>
      </c>
      <c r="C276" s="87">
        <v>3</v>
      </c>
      <c r="D276" s="110">
        <v>0.0015056228480449783</v>
      </c>
      <c r="E276" s="110">
        <v>2.4313637641589874</v>
      </c>
      <c r="F276" s="87" t="s">
        <v>2060</v>
      </c>
      <c r="G276" s="87" t="b">
        <v>0</v>
      </c>
      <c r="H276" s="87" t="b">
        <v>0</v>
      </c>
      <c r="I276" s="87" t="b">
        <v>0</v>
      </c>
      <c r="J276" s="87" t="b">
        <v>0</v>
      </c>
      <c r="K276" s="87" t="b">
        <v>0</v>
      </c>
      <c r="L276" s="87" t="b">
        <v>0</v>
      </c>
    </row>
    <row r="277" spans="1:12" ht="15">
      <c r="A277" s="88" t="s">
        <v>1947</v>
      </c>
      <c r="B277" s="87" t="s">
        <v>1866</v>
      </c>
      <c r="C277" s="87">
        <v>3</v>
      </c>
      <c r="D277" s="110">
        <v>0.0015056228480449783</v>
      </c>
      <c r="E277" s="110">
        <v>2.7323937598229686</v>
      </c>
      <c r="F277" s="87" t="s">
        <v>2060</v>
      </c>
      <c r="G277" s="87" t="b">
        <v>0</v>
      </c>
      <c r="H277" s="87" t="b">
        <v>0</v>
      </c>
      <c r="I277" s="87" t="b">
        <v>0</v>
      </c>
      <c r="J277" s="87" t="b">
        <v>0</v>
      </c>
      <c r="K277" s="87" t="b">
        <v>0</v>
      </c>
      <c r="L277" s="87" t="b">
        <v>0</v>
      </c>
    </row>
    <row r="278" spans="1:12" ht="15">
      <c r="A278" s="88" t="s">
        <v>1866</v>
      </c>
      <c r="B278" s="87" t="s">
        <v>1455</v>
      </c>
      <c r="C278" s="87">
        <v>3</v>
      </c>
      <c r="D278" s="110">
        <v>0.0015056228480449783</v>
      </c>
      <c r="E278" s="110">
        <v>1.105711293586674</v>
      </c>
      <c r="F278" s="87" t="s">
        <v>2060</v>
      </c>
      <c r="G278" s="87" t="b">
        <v>0</v>
      </c>
      <c r="H278" s="87" t="b">
        <v>0</v>
      </c>
      <c r="I278" s="87" t="b">
        <v>0</v>
      </c>
      <c r="J278" s="87" t="b">
        <v>0</v>
      </c>
      <c r="K278" s="87" t="b">
        <v>0</v>
      </c>
      <c r="L278" s="87" t="b">
        <v>0</v>
      </c>
    </row>
    <row r="279" spans="1:12" ht="15">
      <c r="A279" s="88" t="s">
        <v>1457</v>
      </c>
      <c r="B279" s="87" t="s">
        <v>288</v>
      </c>
      <c r="C279" s="87">
        <v>3</v>
      </c>
      <c r="D279" s="110">
        <v>0.0015056228480449783</v>
      </c>
      <c r="E279" s="110">
        <v>1.5019448384446947</v>
      </c>
      <c r="F279" s="87" t="s">
        <v>2060</v>
      </c>
      <c r="G279" s="87" t="b">
        <v>0</v>
      </c>
      <c r="H279" s="87" t="b">
        <v>0</v>
      </c>
      <c r="I279" s="87" t="b">
        <v>0</v>
      </c>
      <c r="J279" s="87" t="b">
        <v>0</v>
      </c>
      <c r="K279" s="87" t="b">
        <v>0</v>
      </c>
      <c r="L279" s="87" t="b">
        <v>0</v>
      </c>
    </row>
    <row r="280" spans="1:12" ht="15">
      <c r="A280" s="88" t="s">
        <v>288</v>
      </c>
      <c r="B280" s="87" t="s">
        <v>1454</v>
      </c>
      <c r="C280" s="87">
        <v>3</v>
      </c>
      <c r="D280" s="110">
        <v>0.0015056228480449783</v>
      </c>
      <c r="E280" s="110">
        <v>1.4033350405587437</v>
      </c>
      <c r="F280" s="87" t="s">
        <v>2060</v>
      </c>
      <c r="G280" s="87" t="b">
        <v>0</v>
      </c>
      <c r="H280" s="87" t="b">
        <v>0</v>
      </c>
      <c r="I280" s="87" t="b">
        <v>0</v>
      </c>
      <c r="J280" s="87" t="b">
        <v>0</v>
      </c>
      <c r="K280" s="87" t="b">
        <v>0</v>
      </c>
      <c r="L280" s="87" t="b">
        <v>0</v>
      </c>
    </row>
    <row r="281" spans="1:12" ht="15">
      <c r="A281" s="88" t="s">
        <v>1480</v>
      </c>
      <c r="B281" s="87" t="s">
        <v>1481</v>
      </c>
      <c r="C281" s="87">
        <v>3</v>
      </c>
      <c r="D281" s="110">
        <v>0.0015056228480449783</v>
      </c>
      <c r="E281" s="110">
        <v>3.03342375548695</v>
      </c>
      <c r="F281" s="87" t="s">
        <v>2060</v>
      </c>
      <c r="G281" s="87" t="b">
        <v>0</v>
      </c>
      <c r="H281" s="87" t="b">
        <v>0</v>
      </c>
      <c r="I281" s="87" t="b">
        <v>0</v>
      </c>
      <c r="J281" s="87" t="b">
        <v>1</v>
      </c>
      <c r="K281" s="87" t="b">
        <v>0</v>
      </c>
      <c r="L281" s="87" t="b">
        <v>0</v>
      </c>
    </row>
    <row r="282" spans="1:12" ht="15">
      <c r="A282" s="88" t="s">
        <v>1481</v>
      </c>
      <c r="B282" s="87" t="s">
        <v>1482</v>
      </c>
      <c r="C282" s="87">
        <v>3</v>
      </c>
      <c r="D282" s="110">
        <v>0.0015056228480449783</v>
      </c>
      <c r="E282" s="110">
        <v>2.4313637641589874</v>
      </c>
      <c r="F282" s="87" t="s">
        <v>2060</v>
      </c>
      <c r="G282" s="87" t="b">
        <v>1</v>
      </c>
      <c r="H282" s="87" t="b">
        <v>0</v>
      </c>
      <c r="I282" s="87" t="b">
        <v>0</v>
      </c>
      <c r="J282" s="87" t="b">
        <v>0</v>
      </c>
      <c r="K282" s="87" t="b">
        <v>0</v>
      </c>
      <c r="L282" s="87" t="b">
        <v>0</v>
      </c>
    </row>
    <row r="283" spans="1:12" ht="15">
      <c r="A283" s="88" t="s">
        <v>1482</v>
      </c>
      <c r="B283" s="87" t="s">
        <v>1453</v>
      </c>
      <c r="C283" s="87">
        <v>3</v>
      </c>
      <c r="D283" s="110">
        <v>0.0015056228480449783</v>
      </c>
      <c r="E283" s="110">
        <v>1.2410320659886958</v>
      </c>
      <c r="F283" s="87" t="s">
        <v>2060</v>
      </c>
      <c r="G283" s="87" t="b">
        <v>0</v>
      </c>
      <c r="H283" s="87" t="b">
        <v>0</v>
      </c>
      <c r="I283" s="87" t="b">
        <v>0</v>
      </c>
      <c r="J283" s="87" t="b">
        <v>0</v>
      </c>
      <c r="K283" s="87" t="b">
        <v>0</v>
      </c>
      <c r="L283" s="87" t="b">
        <v>0</v>
      </c>
    </row>
    <row r="284" spans="1:12" ht="15">
      <c r="A284" s="88" t="s">
        <v>1484</v>
      </c>
      <c r="B284" s="87" t="s">
        <v>1485</v>
      </c>
      <c r="C284" s="87">
        <v>3</v>
      </c>
      <c r="D284" s="110">
        <v>0.0015056228480449783</v>
      </c>
      <c r="E284" s="110">
        <v>2.510545010206612</v>
      </c>
      <c r="F284" s="87" t="s">
        <v>2060</v>
      </c>
      <c r="G284" s="87" t="b">
        <v>0</v>
      </c>
      <c r="H284" s="87" t="b">
        <v>0</v>
      </c>
      <c r="I284" s="87" t="b">
        <v>0</v>
      </c>
      <c r="J284" s="87" t="b">
        <v>0</v>
      </c>
      <c r="K284" s="87" t="b">
        <v>0</v>
      </c>
      <c r="L284" s="87" t="b">
        <v>0</v>
      </c>
    </row>
    <row r="285" spans="1:12" ht="15">
      <c r="A285" s="88" t="s">
        <v>1485</v>
      </c>
      <c r="B285" s="87" t="s">
        <v>1486</v>
      </c>
      <c r="C285" s="87">
        <v>3</v>
      </c>
      <c r="D285" s="110">
        <v>0.0015056228480449783</v>
      </c>
      <c r="E285" s="110">
        <v>3.03342375548695</v>
      </c>
      <c r="F285" s="87" t="s">
        <v>2060</v>
      </c>
      <c r="G285" s="87" t="b">
        <v>0</v>
      </c>
      <c r="H285" s="87" t="b">
        <v>0</v>
      </c>
      <c r="I285" s="87" t="b">
        <v>0</v>
      </c>
      <c r="J285" s="87" t="b">
        <v>0</v>
      </c>
      <c r="K285" s="87" t="b">
        <v>0</v>
      </c>
      <c r="L285" s="87" t="b">
        <v>0</v>
      </c>
    </row>
    <row r="286" spans="1:12" ht="15">
      <c r="A286" s="88" t="s">
        <v>1486</v>
      </c>
      <c r="B286" s="87" t="s">
        <v>1479</v>
      </c>
      <c r="C286" s="87">
        <v>3</v>
      </c>
      <c r="D286" s="110">
        <v>0.0015056228480449783</v>
      </c>
      <c r="E286" s="110">
        <v>2.5563025007672873</v>
      </c>
      <c r="F286" s="87" t="s">
        <v>2060</v>
      </c>
      <c r="G286" s="87" t="b">
        <v>0</v>
      </c>
      <c r="H286" s="87" t="b">
        <v>0</v>
      </c>
      <c r="I286" s="87" t="b">
        <v>0</v>
      </c>
      <c r="J286" s="87" t="b">
        <v>0</v>
      </c>
      <c r="K286" s="87" t="b">
        <v>0</v>
      </c>
      <c r="L286" s="87" t="b">
        <v>0</v>
      </c>
    </row>
    <row r="287" spans="1:12" ht="15">
      <c r="A287" s="88" t="s">
        <v>1479</v>
      </c>
      <c r="B287" s="87" t="s">
        <v>1487</v>
      </c>
      <c r="C287" s="87">
        <v>3</v>
      </c>
      <c r="D287" s="110">
        <v>0.0015056228480449783</v>
      </c>
      <c r="E287" s="110">
        <v>2.5563025007672873</v>
      </c>
      <c r="F287" s="87" t="s">
        <v>2060</v>
      </c>
      <c r="G287" s="87" t="b">
        <v>0</v>
      </c>
      <c r="H287" s="87" t="b">
        <v>0</v>
      </c>
      <c r="I287" s="87" t="b">
        <v>0</v>
      </c>
      <c r="J287" s="87" t="b">
        <v>0</v>
      </c>
      <c r="K287" s="87" t="b">
        <v>0</v>
      </c>
      <c r="L287" s="87" t="b">
        <v>0</v>
      </c>
    </row>
    <row r="288" spans="1:12" ht="15">
      <c r="A288" s="88" t="s">
        <v>1487</v>
      </c>
      <c r="B288" s="87" t="s">
        <v>1948</v>
      </c>
      <c r="C288" s="87">
        <v>3</v>
      </c>
      <c r="D288" s="110">
        <v>0.0015056228480449783</v>
      </c>
      <c r="E288" s="110">
        <v>3.03342375548695</v>
      </c>
      <c r="F288" s="87" t="s">
        <v>2060</v>
      </c>
      <c r="G288" s="87" t="b">
        <v>0</v>
      </c>
      <c r="H288" s="87" t="b">
        <v>0</v>
      </c>
      <c r="I288" s="87" t="b">
        <v>0</v>
      </c>
      <c r="J288" s="87" t="b">
        <v>0</v>
      </c>
      <c r="K288" s="87" t="b">
        <v>0</v>
      </c>
      <c r="L288" s="87" t="b">
        <v>0</v>
      </c>
    </row>
    <row r="289" spans="1:12" ht="15">
      <c r="A289" s="88" t="s">
        <v>1948</v>
      </c>
      <c r="B289" s="87" t="s">
        <v>305</v>
      </c>
      <c r="C289" s="87">
        <v>3</v>
      </c>
      <c r="D289" s="110">
        <v>0.0015056228480449783</v>
      </c>
      <c r="E289" s="110">
        <v>3.03342375548695</v>
      </c>
      <c r="F289" s="87" t="s">
        <v>2060</v>
      </c>
      <c r="G289" s="87" t="b">
        <v>0</v>
      </c>
      <c r="H289" s="87" t="b">
        <v>0</v>
      </c>
      <c r="I289" s="87" t="b">
        <v>0</v>
      </c>
      <c r="J289" s="87" t="b">
        <v>0</v>
      </c>
      <c r="K289" s="87" t="b">
        <v>0</v>
      </c>
      <c r="L289" s="87" t="b">
        <v>0</v>
      </c>
    </row>
    <row r="290" spans="1:12" ht="15">
      <c r="A290" s="88" t="s">
        <v>305</v>
      </c>
      <c r="B290" s="87" t="s">
        <v>1860</v>
      </c>
      <c r="C290" s="87">
        <v>3</v>
      </c>
      <c r="D290" s="110">
        <v>0.0015056228480449783</v>
      </c>
      <c r="E290" s="110">
        <v>2.6654469701923555</v>
      </c>
      <c r="F290" s="87" t="s">
        <v>2060</v>
      </c>
      <c r="G290" s="87" t="b">
        <v>0</v>
      </c>
      <c r="H290" s="87" t="b">
        <v>0</v>
      </c>
      <c r="I290" s="87" t="b">
        <v>0</v>
      </c>
      <c r="J290" s="87" t="b">
        <v>0</v>
      </c>
      <c r="K290" s="87" t="b">
        <v>0</v>
      </c>
      <c r="L290" s="87" t="b">
        <v>0</v>
      </c>
    </row>
    <row r="291" spans="1:12" ht="15">
      <c r="A291" s="88" t="s">
        <v>1860</v>
      </c>
      <c r="B291" s="87" t="s">
        <v>1949</v>
      </c>
      <c r="C291" s="87">
        <v>3</v>
      </c>
      <c r="D291" s="110">
        <v>0.0015056228480449783</v>
      </c>
      <c r="E291" s="110">
        <v>2.6654469701923555</v>
      </c>
      <c r="F291" s="87" t="s">
        <v>2060</v>
      </c>
      <c r="G291" s="87" t="b">
        <v>0</v>
      </c>
      <c r="H291" s="87" t="b">
        <v>0</v>
      </c>
      <c r="I291" s="87" t="b">
        <v>0</v>
      </c>
      <c r="J291" s="87" t="b">
        <v>0</v>
      </c>
      <c r="K291" s="87" t="b">
        <v>0</v>
      </c>
      <c r="L291" s="87" t="b">
        <v>0</v>
      </c>
    </row>
    <row r="292" spans="1:12" ht="15">
      <c r="A292" s="88" t="s">
        <v>1949</v>
      </c>
      <c r="B292" s="87" t="s">
        <v>1950</v>
      </c>
      <c r="C292" s="87">
        <v>3</v>
      </c>
      <c r="D292" s="110">
        <v>0.0015056228480449783</v>
      </c>
      <c r="E292" s="110">
        <v>3.03342375548695</v>
      </c>
      <c r="F292" s="87" t="s">
        <v>2060</v>
      </c>
      <c r="G292" s="87" t="b">
        <v>0</v>
      </c>
      <c r="H292" s="87" t="b">
        <v>0</v>
      </c>
      <c r="I292" s="87" t="b">
        <v>0</v>
      </c>
      <c r="J292" s="87" t="b">
        <v>0</v>
      </c>
      <c r="K292" s="87" t="b">
        <v>0</v>
      </c>
      <c r="L292" s="87" t="b">
        <v>0</v>
      </c>
    </row>
    <row r="293" spans="1:12" ht="15">
      <c r="A293" s="88" t="s">
        <v>1950</v>
      </c>
      <c r="B293" s="87" t="s">
        <v>1951</v>
      </c>
      <c r="C293" s="87">
        <v>3</v>
      </c>
      <c r="D293" s="110">
        <v>0.0015056228480449783</v>
      </c>
      <c r="E293" s="110">
        <v>3.03342375548695</v>
      </c>
      <c r="F293" s="87" t="s">
        <v>2060</v>
      </c>
      <c r="G293" s="87" t="b">
        <v>0</v>
      </c>
      <c r="H293" s="87" t="b">
        <v>0</v>
      </c>
      <c r="I293" s="87" t="b">
        <v>0</v>
      </c>
      <c r="J293" s="87" t="b">
        <v>0</v>
      </c>
      <c r="K293" s="87" t="b">
        <v>0</v>
      </c>
      <c r="L293" s="87" t="b">
        <v>0</v>
      </c>
    </row>
    <row r="294" spans="1:12" ht="15">
      <c r="A294" s="88" t="s">
        <v>1825</v>
      </c>
      <c r="B294" s="87" t="s">
        <v>1490</v>
      </c>
      <c r="C294" s="87">
        <v>3</v>
      </c>
      <c r="D294" s="110">
        <v>0.0015056228480449783</v>
      </c>
      <c r="E294" s="110">
        <v>0.8914516795798694</v>
      </c>
      <c r="F294" s="87" t="s">
        <v>2060</v>
      </c>
      <c r="G294" s="87" t="b">
        <v>0</v>
      </c>
      <c r="H294" s="87" t="b">
        <v>0</v>
      </c>
      <c r="I294" s="87" t="b">
        <v>0</v>
      </c>
      <c r="J294" s="87" t="b">
        <v>0</v>
      </c>
      <c r="K294" s="87" t="b">
        <v>0</v>
      </c>
      <c r="L294" s="87" t="b">
        <v>0</v>
      </c>
    </row>
    <row r="295" spans="1:12" ht="15">
      <c r="A295" s="88" t="s">
        <v>1490</v>
      </c>
      <c r="B295" s="87" t="s">
        <v>1952</v>
      </c>
      <c r="C295" s="87">
        <v>3</v>
      </c>
      <c r="D295" s="110">
        <v>0.0015056228480449783</v>
      </c>
      <c r="E295" s="110">
        <v>1.8293037728310249</v>
      </c>
      <c r="F295" s="87" t="s">
        <v>2060</v>
      </c>
      <c r="G295" s="87" t="b">
        <v>0</v>
      </c>
      <c r="H295" s="87" t="b">
        <v>0</v>
      </c>
      <c r="I295" s="87" t="b">
        <v>0</v>
      </c>
      <c r="J295" s="87" t="b">
        <v>0</v>
      </c>
      <c r="K295" s="87" t="b">
        <v>0</v>
      </c>
      <c r="L295" s="87" t="b">
        <v>0</v>
      </c>
    </row>
    <row r="296" spans="1:12" ht="15">
      <c r="A296" s="88" t="s">
        <v>1952</v>
      </c>
      <c r="B296" s="87" t="s">
        <v>1953</v>
      </c>
      <c r="C296" s="87">
        <v>3</v>
      </c>
      <c r="D296" s="110">
        <v>0.0015056228480449783</v>
      </c>
      <c r="E296" s="110">
        <v>3.03342375548695</v>
      </c>
      <c r="F296" s="87" t="s">
        <v>2060</v>
      </c>
      <c r="G296" s="87" t="b">
        <v>0</v>
      </c>
      <c r="H296" s="87" t="b">
        <v>0</v>
      </c>
      <c r="I296" s="87" t="b">
        <v>0</v>
      </c>
      <c r="J296" s="87" t="b">
        <v>0</v>
      </c>
      <c r="K296" s="87" t="b">
        <v>0</v>
      </c>
      <c r="L296" s="87" t="b">
        <v>0</v>
      </c>
    </row>
    <row r="297" spans="1:12" ht="15">
      <c r="A297" s="88" t="s">
        <v>1953</v>
      </c>
      <c r="B297" s="87" t="s">
        <v>1954</v>
      </c>
      <c r="C297" s="87">
        <v>3</v>
      </c>
      <c r="D297" s="110">
        <v>0.0015056228480449783</v>
      </c>
      <c r="E297" s="110">
        <v>3.03342375548695</v>
      </c>
      <c r="F297" s="87" t="s">
        <v>2060</v>
      </c>
      <c r="G297" s="87" t="b">
        <v>0</v>
      </c>
      <c r="H297" s="87" t="b">
        <v>0</v>
      </c>
      <c r="I297" s="87" t="b">
        <v>0</v>
      </c>
      <c r="J297" s="87" t="b">
        <v>1</v>
      </c>
      <c r="K297" s="87" t="b">
        <v>0</v>
      </c>
      <c r="L297" s="87" t="b">
        <v>0</v>
      </c>
    </row>
    <row r="298" spans="1:12" ht="15">
      <c r="A298" s="88" t="s">
        <v>1954</v>
      </c>
      <c r="B298" s="87" t="s">
        <v>1821</v>
      </c>
      <c r="C298" s="87">
        <v>3</v>
      </c>
      <c r="D298" s="110">
        <v>0.0015056228480449783</v>
      </c>
      <c r="E298" s="110">
        <v>1.8670923337204248</v>
      </c>
      <c r="F298" s="87" t="s">
        <v>2060</v>
      </c>
      <c r="G298" s="87" t="b">
        <v>1</v>
      </c>
      <c r="H298" s="87" t="b">
        <v>0</v>
      </c>
      <c r="I298" s="87" t="b">
        <v>0</v>
      </c>
      <c r="J298" s="87" t="b">
        <v>0</v>
      </c>
      <c r="K298" s="87" t="b">
        <v>0</v>
      </c>
      <c r="L298" s="87" t="b">
        <v>0</v>
      </c>
    </row>
    <row r="299" spans="1:12" ht="15">
      <c r="A299" s="88" t="s">
        <v>1821</v>
      </c>
      <c r="B299" s="87" t="s">
        <v>1955</v>
      </c>
      <c r="C299" s="87">
        <v>3</v>
      </c>
      <c r="D299" s="110">
        <v>0.0015056228480449783</v>
      </c>
      <c r="E299" s="110">
        <v>1.8670923337204248</v>
      </c>
      <c r="F299" s="87" t="s">
        <v>2060</v>
      </c>
      <c r="G299" s="87" t="b">
        <v>0</v>
      </c>
      <c r="H299" s="87" t="b">
        <v>0</v>
      </c>
      <c r="I299" s="87" t="b">
        <v>0</v>
      </c>
      <c r="J299" s="87" t="b">
        <v>0</v>
      </c>
      <c r="K299" s="87" t="b">
        <v>1</v>
      </c>
      <c r="L299" s="87" t="b">
        <v>0</v>
      </c>
    </row>
    <row r="300" spans="1:12" ht="15">
      <c r="A300" s="88" t="s">
        <v>1955</v>
      </c>
      <c r="B300" s="87" t="s">
        <v>1495</v>
      </c>
      <c r="C300" s="87">
        <v>3</v>
      </c>
      <c r="D300" s="110">
        <v>0.0015056228480449783</v>
      </c>
      <c r="E300" s="110">
        <v>2.5563025007672873</v>
      </c>
      <c r="F300" s="87" t="s">
        <v>2060</v>
      </c>
      <c r="G300" s="87" t="b">
        <v>0</v>
      </c>
      <c r="H300" s="87" t="b">
        <v>1</v>
      </c>
      <c r="I300" s="87" t="b">
        <v>0</v>
      </c>
      <c r="J300" s="87" t="b">
        <v>1</v>
      </c>
      <c r="K300" s="87" t="b">
        <v>0</v>
      </c>
      <c r="L300" s="87" t="b">
        <v>0</v>
      </c>
    </row>
    <row r="301" spans="1:12" ht="15">
      <c r="A301" s="88" t="s">
        <v>1495</v>
      </c>
      <c r="B301" s="87" t="s">
        <v>1956</v>
      </c>
      <c r="C301" s="87">
        <v>3</v>
      </c>
      <c r="D301" s="110">
        <v>0.0015056228480449783</v>
      </c>
      <c r="E301" s="110">
        <v>2.5563025007672873</v>
      </c>
      <c r="F301" s="87" t="s">
        <v>2060</v>
      </c>
      <c r="G301" s="87" t="b">
        <v>1</v>
      </c>
      <c r="H301" s="87" t="b">
        <v>0</v>
      </c>
      <c r="I301" s="87" t="b">
        <v>0</v>
      </c>
      <c r="J301" s="87" t="b">
        <v>0</v>
      </c>
      <c r="K301" s="87" t="b">
        <v>0</v>
      </c>
      <c r="L301" s="87" t="b">
        <v>0</v>
      </c>
    </row>
    <row r="302" spans="1:12" ht="15">
      <c r="A302" s="88" t="s">
        <v>1956</v>
      </c>
      <c r="B302" s="87" t="s">
        <v>1821</v>
      </c>
      <c r="C302" s="87">
        <v>3</v>
      </c>
      <c r="D302" s="110">
        <v>0.0015056228480449783</v>
      </c>
      <c r="E302" s="110">
        <v>1.8670923337204248</v>
      </c>
      <c r="F302" s="87" t="s">
        <v>2060</v>
      </c>
      <c r="G302" s="87" t="b">
        <v>0</v>
      </c>
      <c r="H302" s="87" t="b">
        <v>0</v>
      </c>
      <c r="I302" s="87" t="b">
        <v>0</v>
      </c>
      <c r="J302" s="87" t="b">
        <v>0</v>
      </c>
      <c r="K302" s="87" t="b">
        <v>0</v>
      </c>
      <c r="L302" s="87" t="b">
        <v>0</v>
      </c>
    </row>
    <row r="303" spans="1:12" ht="15">
      <c r="A303" s="88" t="s">
        <v>1437</v>
      </c>
      <c r="B303" s="87" t="s">
        <v>1957</v>
      </c>
      <c r="C303" s="87">
        <v>3</v>
      </c>
      <c r="D303" s="110">
        <v>0.0015056228480449783</v>
      </c>
      <c r="E303" s="110">
        <v>1.1924816752438505</v>
      </c>
      <c r="F303" s="87" t="s">
        <v>2060</v>
      </c>
      <c r="G303" s="87" t="b">
        <v>0</v>
      </c>
      <c r="H303" s="87" t="b">
        <v>0</v>
      </c>
      <c r="I303" s="87" t="b">
        <v>0</v>
      </c>
      <c r="J303" s="87" t="b">
        <v>0</v>
      </c>
      <c r="K303" s="87" t="b">
        <v>0</v>
      </c>
      <c r="L303" s="87" t="b">
        <v>0</v>
      </c>
    </row>
    <row r="304" spans="1:12" ht="15">
      <c r="A304" s="88" t="s">
        <v>1957</v>
      </c>
      <c r="B304" s="87" t="s">
        <v>304</v>
      </c>
      <c r="C304" s="87">
        <v>3</v>
      </c>
      <c r="D304" s="110">
        <v>0.0015056228480449783</v>
      </c>
      <c r="E304" s="110">
        <v>2.7323937598229686</v>
      </c>
      <c r="F304" s="87" t="s">
        <v>2060</v>
      </c>
      <c r="G304" s="87" t="b">
        <v>0</v>
      </c>
      <c r="H304" s="87" t="b">
        <v>0</v>
      </c>
      <c r="I304" s="87" t="b">
        <v>0</v>
      </c>
      <c r="J304" s="87" t="b">
        <v>0</v>
      </c>
      <c r="K304" s="87" t="b">
        <v>0</v>
      </c>
      <c r="L304" s="87" t="b">
        <v>0</v>
      </c>
    </row>
    <row r="305" spans="1:12" ht="15">
      <c r="A305" s="88" t="s">
        <v>304</v>
      </c>
      <c r="B305" s="87" t="s">
        <v>1824</v>
      </c>
      <c r="C305" s="87">
        <v>3</v>
      </c>
      <c r="D305" s="110">
        <v>0.0015056228480449783</v>
      </c>
      <c r="E305" s="110">
        <v>1.7781512503836436</v>
      </c>
      <c r="F305" s="87" t="s">
        <v>2060</v>
      </c>
      <c r="G305" s="87" t="b">
        <v>0</v>
      </c>
      <c r="H305" s="87" t="b">
        <v>0</v>
      </c>
      <c r="I305" s="87" t="b">
        <v>0</v>
      </c>
      <c r="J305" s="87" t="b">
        <v>0</v>
      </c>
      <c r="K305" s="87" t="b">
        <v>0</v>
      </c>
      <c r="L305" s="87" t="b">
        <v>0</v>
      </c>
    </row>
    <row r="306" spans="1:12" ht="15">
      <c r="A306" s="88" t="s">
        <v>1824</v>
      </c>
      <c r="B306" s="87" t="s">
        <v>451</v>
      </c>
      <c r="C306" s="87">
        <v>3</v>
      </c>
      <c r="D306" s="110">
        <v>0.0015056228480449783</v>
      </c>
      <c r="E306" s="110">
        <v>1.6020599913279623</v>
      </c>
      <c r="F306" s="87" t="s">
        <v>2060</v>
      </c>
      <c r="G306" s="87" t="b">
        <v>0</v>
      </c>
      <c r="H306" s="87" t="b">
        <v>0</v>
      </c>
      <c r="I306" s="87" t="b">
        <v>0</v>
      </c>
      <c r="J306" s="87" t="b">
        <v>0</v>
      </c>
      <c r="K306" s="87" t="b">
        <v>0</v>
      </c>
      <c r="L306" s="87" t="b">
        <v>0</v>
      </c>
    </row>
    <row r="307" spans="1:12" ht="15">
      <c r="A307" s="88" t="s">
        <v>1456</v>
      </c>
      <c r="B307" s="87" t="s">
        <v>1465</v>
      </c>
      <c r="C307" s="87">
        <v>2</v>
      </c>
      <c r="D307" s="110">
        <v>0.0011076065771920898</v>
      </c>
      <c r="E307" s="110">
        <v>1.063386978864393</v>
      </c>
      <c r="F307" s="87" t="s">
        <v>2060</v>
      </c>
      <c r="G307" s="87" t="b">
        <v>0</v>
      </c>
      <c r="H307" s="87" t="b">
        <v>0</v>
      </c>
      <c r="I307" s="87" t="b">
        <v>0</v>
      </c>
      <c r="J307" s="87" t="b">
        <v>0</v>
      </c>
      <c r="K307" s="87" t="b">
        <v>0</v>
      </c>
      <c r="L307" s="87" t="b">
        <v>0</v>
      </c>
    </row>
    <row r="308" spans="1:12" ht="15">
      <c r="A308" s="88" t="s">
        <v>1465</v>
      </c>
      <c r="B308" s="87" t="s">
        <v>1453</v>
      </c>
      <c r="C308" s="87">
        <v>2</v>
      </c>
      <c r="D308" s="110">
        <v>0.0011076065771920898</v>
      </c>
      <c r="E308" s="110">
        <v>1.3202133120363206</v>
      </c>
      <c r="F308" s="87" t="s">
        <v>2060</v>
      </c>
      <c r="G308" s="87" t="b">
        <v>0</v>
      </c>
      <c r="H308" s="87" t="b">
        <v>0</v>
      </c>
      <c r="I308" s="87" t="b">
        <v>0</v>
      </c>
      <c r="J308" s="87" t="b">
        <v>0</v>
      </c>
      <c r="K308" s="87" t="b">
        <v>0</v>
      </c>
      <c r="L308" s="87" t="b">
        <v>0</v>
      </c>
    </row>
    <row r="309" spans="1:12" ht="15">
      <c r="A309" s="88" t="s">
        <v>1453</v>
      </c>
      <c r="B309" s="87" t="s">
        <v>1822</v>
      </c>
      <c r="C309" s="87">
        <v>2</v>
      </c>
      <c r="D309" s="110">
        <v>0.0011076065771920898</v>
      </c>
      <c r="E309" s="110">
        <v>0.03742314691588294</v>
      </c>
      <c r="F309" s="87" t="s">
        <v>2060</v>
      </c>
      <c r="G309" s="87" t="b">
        <v>0</v>
      </c>
      <c r="H309" s="87" t="b">
        <v>0</v>
      </c>
      <c r="I309" s="87" t="b">
        <v>0</v>
      </c>
      <c r="J309" s="87" t="b">
        <v>0</v>
      </c>
      <c r="K309" s="87" t="b">
        <v>0</v>
      </c>
      <c r="L309" s="87" t="b">
        <v>0</v>
      </c>
    </row>
    <row r="310" spans="1:12" ht="15">
      <c r="A310" s="88" t="s">
        <v>1822</v>
      </c>
      <c r="B310" s="87" t="s">
        <v>1958</v>
      </c>
      <c r="C310" s="87">
        <v>2</v>
      </c>
      <c r="D310" s="110">
        <v>0.0011076065771920898</v>
      </c>
      <c r="E310" s="110">
        <v>1.8977611534868766</v>
      </c>
      <c r="F310" s="87" t="s">
        <v>2060</v>
      </c>
      <c r="G310" s="87" t="b">
        <v>0</v>
      </c>
      <c r="H310" s="87" t="b">
        <v>0</v>
      </c>
      <c r="I310" s="87" t="b">
        <v>0</v>
      </c>
      <c r="J310" s="87" t="b">
        <v>0</v>
      </c>
      <c r="K310" s="87" t="b">
        <v>0</v>
      </c>
      <c r="L310" s="87" t="b">
        <v>0</v>
      </c>
    </row>
    <row r="311" spans="1:12" ht="15">
      <c r="A311" s="88" t="s">
        <v>1958</v>
      </c>
      <c r="B311" s="87" t="s">
        <v>1464</v>
      </c>
      <c r="C311" s="87">
        <v>2</v>
      </c>
      <c r="D311" s="110">
        <v>0.0011076065771920898</v>
      </c>
      <c r="E311" s="110">
        <v>2.063386978864393</v>
      </c>
      <c r="F311" s="87" t="s">
        <v>2060</v>
      </c>
      <c r="G311" s="87" t="b">
        <v>0</v>
      </c>
      <c r="H311" s="87" t="b">
        <v>0</v>
      </c>
      <c r="I311" s="87" t="b">
        <v>0</v>
      </c>
      <c r="J311" s="87" t="b">
        <v>0</v>
      </c>
      <c r="K311" s="87" t="b">
        <v>0</v>
      </c>
      <c r="L311" s="87" t="b">
        <v>0</v>
      </c>
    </row>
    <row r="312" spans="1:12" ht="15">
      <c r="A312" s="88" t="s">
        <v>1464</v>
      </c>
      <c r="B312" s="87" t="s">
        <v>1466</v>
      </c>
      <c r="C312" s="87">
        <v>2</v>
      </c>
      <c r="D312" s="110">
        <v>0.0011076065771920898</v>
      </c>
      <c r="E312" s="110">
        <v>1.6654469701923553</v>
      </c>
      <c r="F312" s="87" t="s">
        <v>2060</v>
      </c>
      <c r="G312" s="87" t="b">
        <v>0</v>
      </c>
      <c r="H312" s="87" t="b">
        <v>0</v>
      </c>
      <c r="I312" s="87" t="b">
        <v>0</v>
      </c>
      <c r="J312" s="87" t="b">
        <v>0</v>
      </c>
      <c r="K312" s="87" t="b">
        <v>0</v>
      </c>
      <c r="L312" s="87" t="b">
        <v>0</v>
      </c>
    </row>
    <row r="313" spans="1:12" ht="15">
      <c r="A313" s="88" t="s">
        <v>1493</v>
      </c>
      <c r="B313" s="87" t="s">
        <v>1959</v>
      </c>
      <c r="C313" s="87">
        <v>2</v>
      </c>
      <c r="D313" s="110">
        <v>0.0011076065771920898</v>
      </c>
      <c r="E313" s="110">
        <v>1.9664769658563366</v>
      </c>
      <c r="F313" s="87" t="s">
        <v>2060</v>
      </c>
      <c r="G313" s="87" t="b">
        <v>0</v>
      </c>
      <c r="H313" s="87" t="b">
        <v>0</v>
      </c>
      <c r="I313" s="87" t="b">
        <v>0</v>
      </c>
      <c r="J313" s="87" t="b">
        <v>0</v>
      </c>
      <c r="K313" s="87" t="b">
        <v>0</v>
      </c>
      <c r="L313" s="87" t="b">
        <v>0</v>
      </c>
    </row>
    <row r="314" spans="1:12" ht="15">
      <c r="A314" s="88" t="s">
        <v>1959</v>
      </c>
      <c r="B314" s="87" t="s">
        <v>1462</v>
      </c>
      <c r="C314" s="87">
        <v>2</v>
      </c>
      <c r="D314" s="110">
        <v>0.0011076065771920898</v>
      </c>
      <c r="E314" s="110">
        <v>1.7701823207123684</v>
      </c>
      <c r="F314" s="87" t="s">
        <v>2060</v>
      </c>
      <c r="G314" s="87" t="b">
        <v>0</v>
      </c>
      <c r="H314" s="87" t="b">
        <v>0</v>
      </c>
      <c r="I314" s="87" t="b">
        <v>0</v>
      </c>
      <c r="J314" s="87" t="b">
        <v>0</v>
      </c>
      <c r="K314" s="87" t="b">
        <v>0</v>
      </c>
      <c r="L314" s="87" t="b">
        <v>0</v>
      </c>
    </row>
    <row r="315" spans="1:12" ht="15">
      <c r="A315" s="88" t="s">
        <v>1839</v>
      </c>
      <c r="B315" s="87" t="s">
        <v>1831</v>
      </c>
      <c r="C315" s="87">
        <v>2</v>
      </c>
      <c r="D315" s="110">
        <v>0.0011076065771920898</v>
      </c>
      <c r="E315" s="110">
        <v>1.7433891441244316</v>
      </c>
      <c r="F315" s="87" t="s">
        <v>2060</v>
      </c>
      <c r="G315" s="87" t="b">
        <v>0</v>
      </c>
      <c r="H315" s="87" t="b">
        <v>0</v>
      </c>
      <c r="I315" s="87" t="b">
        <v>0</v>
      </c>
      <c r="J315" s="87" t="b">
        <v>0</v>
      </c>
      <c r="K315" s="87" t="b">
        <v>0</v>
      </c>
      <c r="L315" s="87" t="b">
        <v>0</v>
      </c>
    </row>
    <row r="316" spans="1:12" ht="15">
      <c r="A316" s="88" t="s">
        <v>1453</v>
      </c>
      <c r="B316" s="87" t="s">
        <v>1966</v>
      </c>
      <c r="C316" s="87">
        <v>2</v>
      </c>
      <c r="D316" s="110">
        <v>0.0011076065771920898</v>
      </c>
      <c r="E316" s="110">
        <v>1.3491770079716372</v>
      </c>
      <c r="F316" s="87" t="s">
        <v>2060</v>
      </c>
      <c r="G316" s="87" t="b">
        <v>0</v>
      </c>
      <c r="H316" s="87" t="b">
        <v>0</v>
      </c>
      <c r="I316" s="87" t="b">
        <v>0</v>
      </c>
      <c r="J316" s="87" t="b">
        <v>0</v>
      </c>
      <c r="K316" s="87" t="b">
        <v>0</v>
      </c>
      <c r="L316" s="87" t="b">
        <v>0</v>
      </c>
    </row>
    <row r="317" spans="1:12" ht="15">
      <c r="A317" s="88" t="s">
        <v>1966</v>
      </c>
      <c r="B317" s="87" t="s">
        <v>1967</v>
      </c>
      <c r="C317" s="87">
        <v>2</v>
      </c>
      <c r="D317" s="110">
        <v>0.0011076065771920898</v>
      </c>
      <c r="E317" s="110">
        <v>3.209515014542631</v>
      </c>
      <c r="F317" s="87" t="s">
        <v>2060</v>
      </c>
      <c r="G317" s="87" t="b">
        <v>0</v>
      </c>
      <c r="H317" s="87" t="b">
        <v>0</v>
      </c>
      <c r="I317" s="87" t="b">
        <v>0</v>
      </c>
      <c r="J317" s="87" t="b">
        <v>0</v>
      </c>
      <c r="K317" s="87" t="b">
        <v>0</v>
      </c>
      <c r="L317" s="87" t="b">
        <v>0</v>
      </c>
    </row>
    <row r="318" spans="1:12" ht="15">
      <c r="A318" s="88" t="s">
        <v>1967</v>
      </c>
      <c r="B318" s="87" t="s">
        <v>1968</v>
      </c>
      <c r="C318" s="87">
        <v>2</v>
      </c>
      <c r="D318" s="110">
        <v>0.0011076065771920898</v>
      </c>
      <c r="E318" s="110">
        <v>3.209515014542631</v>
      </c>
      <c r="F318" s="87" t="s">
        <v>2060</v>
      </c>
      <c r="G318" s="87" t="b">
        <v>0</v>
      </c>
      <c r="H318" s="87" t="b">
        <v>0</v>
      </c>
      <c r="I318" s="87" t="b">
        <v>0</v>
      </c>
      <c r="J318" s="87" t="b">
        <v>0</v>
      </c>
      <c r="K318" s="87" t="b">
        <v>0</v>
      </c>
      <c r="L318" s="87" t="b">
        <v>0</v>
      </c>
    </row>
    <row r="319" spans="1:12" ht="15">
      <c r="A319" s="88" t="s">
        <v>1968</v>
      </c>
      <c r="B319" s="87" t="s">
        <v>1969</v>
      </c>
      <c r="C319" s="87">
        <v>2</v>
      </c>
      <c r="D319" s="110">
        <v>0.0011076065771920898</v>
      </c>
      <c r="E319" s="110">
        <v>3.209515014542631</v>
      </c>
      <c r="F319" s="87" t="s">
        <v>2060</v>
      </c>
      <c r="G319" s="87" t="b">
        <v>0</v>
      </c>
      <c r="H319" s="87" t="b">
        <v>0</v>
      </c>
      <c r="I319" s="87" t="b">
        <v>0</v>
      </c>
      <c r="J319" s="87" t="b">
        <v>0</v>
      </c>
      <c r="K319" s="87" t="b">
        <v>0</v>
      </c>
      <c r="L319" s="87" t="b">
        <v>0</v>
      </c>
    </row>
    <row r="320" spans="1:12" ht="15">
      <c r="A320" s="88" t="s">
        <v>1969</v>
      </c>
      <c r="B320" s="87" t="s">
        <v>1970</v>
      </c>
      <c r="C320" s="87">
        <v>2</v>
      </c>
      <c r="D320" s="110">
        <v>0.0011076065771920898</v>
      </c>
      <c r="E320" s="110">
        <v>3.209515014542631</v>
      </c>
      <c r="F320" s="87" t="s">
        <v>2060</v>
      </c>
      <c r="G320" s="87" t="b">
        <v>0</v>
      </c>
      <c r="H320" s="87" t="b">
        <v>0</v>
      </c>
      <c r="I320" s="87" t="b">
        <v>0</v>
      </c>
      <c r="J320" s="87" t="b">
        <v>0</v>
      </c>
      <c r="K320" s="87" t="b">
        <v>0</v>
      </c>
      <c r="L320" s="87" t="b">
        <v>0</v>
      </c>
    </row>
    <row r="321" spans="1:12" ht="15">
      <c r="A321" s="88" t="s">
        <v>1970</v>
      </c>
      <c r="B321" s="87" t="s">
        <v>1971</v>
      </c>
      <c r="C321" s="87">
        <v>2</v>
      </c>
      <c r="D321" s="110">
        <v>0.0011076065771920898</v>
      </c>
      <c r="E321" s="110">
        <v>3.209515014542631</v>
      </c>
      <c r="F321" s="87" t="s">
        <v>2060</v>
      </c>
      <c r="G321" s="87" t="b">
        <v>0</v>
      </c>
      <c r="H321" s="87" t="b">
        <v>0</v>
      </c>
      <c r="I321" s="87" t="b">
        <v>0</v>
      </c>
      <c r="J321" s="87" t="b">
        <v>0</v>
      </c>
      <c r="K321" s="87" t="b">
        <v>0</v>
      </c>
      <c r="L321" s="87" t="b">
        <v>0</v>
      </c>
    </row>
    <row r="322" spans="1:12" ht="15">
      <c r="A322" s="88" t="s">
        <v>1971</v>
      </c>
      <c r="B322" s="87" t="s">
        <v>1972</v>
      </c>
      <c r="C322" s="87">
        <v>2</v>
      </c>
      <c r="D322" s="110">
        <v>0.0011076065771920898</v>
      </c>
      <c r="E322" s="110">
        <v>3.209515014542631</v>
      </c>
      <c r="F322" s="87" t="s">
        <v>2060</v>
      </c>
      <c r="G322" s="87" t="b">
        <v>0</v>
      </c>
      <c r="H322" s="87" t="b">
        <v>0</v>
      </c>
      <c r="I322" s="87" t="b">
        <v>0</v>
      </c>
      <c r="J322" s="87" t="b">
        <v>1</v>
      </c>
      <c r="K322" s="87" t="b">
        <v>0</v>
      </c>
      <c r="L322" s="87" t="b">
        <v>0</v>
      </c>
    </row>
    <row r="323" spans="1:12" ht="15">
      <c r="A323" s="88" t="s">
        <v>1972</v>
      </c>
      <c r="B323" s="87" t="s">
        <v>1973</v>
      </c>
      <c r="C323" s="87">
        <v>2</v>
      </c>
      <c r="D323" s="110">
        <v>0.0011076065771920898</v>
      </c>
      <c r="E323" s="110">
        <v>3.209515014542631</v>
      </c>
      <c r="F323" s="87" t="s">
        <v>2060</v>
      </c>
      <c r="G323" s="87" t="b">
        <v>1</v>
      </c>
      <c r="H323" s="87" t="b">
        <v>0</v>
      </c>
      <c r="I323" s="87" t="b">
        <v>0</v>
      </c>
      <c r="J323" s="87" t="b">
        <v>0</v>
      </c>
      <c r="K323" s="87" t="b">
        <v>0</v>
      </c>
      <c r="L323" s="87" t="b">
        <v>0</v>
      </c>
    </row>
    <row r="324" spans="1:12" ht="15">
      <c r="A324" s="88" t="s">
        <v>1973</v>
      </c>
      <c r="B324" s="87" t="s">
        <v>349</v>
      </c>
      <c r="C324" s="87">
        <v>2</v>
      </c>
      <c r="D324" s="110">
        <v>0.0011076065771920898</v>
      </c>
      <c r="E324" s="110">
        <v>3.209515014542631</v>
      </c>
      <c r="F324" s="87" t="s">
        <v>2060</v>
      </c>
      <c r="G324" s="87" t="b">
        <v>0</v>
      </c>
      <c r="H324" s="87" t="b">
        <v>0</v>
      </c>
      <c r="I324" s="87" t="b">
        <v>0</v>
      </c>
      <c r="J324" s="87" t="b">
        <v>0</v>
      </c>
      <c r="K324" s="87" t="b">
        <v>0</v>
      </c>
      <c r="L324" s="87" t="b">
        <v>0</v>
      </c>
    </row>
    <row r="325" spans="1:12" ht="15">
      <c r="A325" s="88" t="s">
        <v>349</v>
      </c>
      <c r="B325" s="87" t="s">
        <v>348</v>
      </c>
      <c r="C325" s="87">
        <v>2</v>
      </c>
      <c r="D325" s="110">
        <v>0.0011076065771920898</v>
      </c>
      <c r="E325" s="110">
        <v>3.209515014542631</v>
      </c>
      <c r="F325" s="87" t="s">
        <v>2060</v>
      </c>
      <c r="G325" s="87" t="b">
        <v>0</v>
      </c>
      <c r="H325" s="87" t="b">
        <v>0</v>
      </c>
      <c r="I325" s="87" t="b">
        <v>0</v>
      </c>
      <c r="J325" s="87" t="b">
        <v>0</v>
      </c>
      <c r="K325" s="87" t="b">
        <v>0</v>
      </c>
      <c r="L325" s="87" t="b">
        <v>0</v>
      </c>
    </row>
    <row r="326" spans="1:12" ht="15">
      <c r="A326" s="88" t="s">
        <v>348</v>
      </c>
      <c r="B326" s="87" t="s">
        <v>347</v>
      </c>
      <c r="C326" s="87">
        <v>2</v>
      </c>
      <c r="D326" s="110">
        <v>0.0011076065771920898</v>
      </c>
      <c r="E326" s="110">
        <v>3.209515014542631</v>
      </c>
      <c r="F326" s="87" t="s">
        <v>2060</v>
      </c>
      <c r="G326" s="87" t="b">
        <v>0</v>
      </c>
      <c r="H326" s="87" t="b">
        <v>0</v>
      </c>
      <c r="I326" s="87" t="b">
        <v>0</v>
      </c>
      <c r="J326" s="87" t="b">
        <v>0</v>
      </c>
      <c r="K326" s="87" t="b">
        <v>0</v>
      </c>
      <c r="L326" s="87" t="b">
        <v>0</v>
      </c>
    </row>
    <row r="327" spans="1:12" ht="15">
      <c r="A327" s="88" t="s">
        <v>347</v>
      </c>
      <c r="B327" s="87" t="s">
        <v>304</v>
      </c>
      <c r="C327" s="87">
        <v>2</v>
      </c>
      <c r="D327" s="110">
        <v>0.0011076065771920898</v>
      </c>
      <c r="E327" s="110">
        <v>2.7323937598229686</v>
      </c>
      <c r="F327" s="87" t="s">
        <v>2060</v>
      </c>
      <c r="G327" s="87" t="b">
        <v>0</v>
      </c>
      <c r="H327" s="87" t="b">
        <v>0</v>
      </c>
      <c r="I327" s="87" t="b">
        <v>0</v>
      </c>
      <c r="J327" s="87" t="b">
        <v>0</v>
      </c>
      <c r="K327" s="87" t="b">
        <v>0</v>
      </c>
      <c r="L327" s="87" t="b">
        <v>0</v>
      </c>
    </row>
    <row r="328" spans="1:12" ht="15">
      <c r="A328" s="88" t="s">
        <v>304</v>
      </c>
      <c r="B328" s="87" t="s">
        <v>346</v>
      </c>
      <c r="C328" s="87">
        <v>2</v>
      </c>
      <c r="D328" s="110">
        <v>0.0011076065771920898</v>
      </c>
      <c r="E328" s="110">
        <v>2.4313637641589874</v>
      </c>
      <c r="F328" s="87" t="s">
        <v>2060</v>
      </c>
      <c r="G328" s="87" t="b">
        <v>0</v>
      </c>
      <c r="H328" s="87" t="b">
        <v>0</v>
      </c>
      <c r="I328" s="87" t="b">
        <v>0</v>
      </c>
      <c r="J328" s="87" t="b">
        <v>0</v>
      </c>
      <c r="K328" s="87" t="b">
        <v>0</v>
      </c>
      <c r="L328" s="87" t="b">
        <v>0</v>
      </c>
    </row>
    <row r="329" spans="1:12" ht="15">
      <c r="A329" s="88" t="s">
        <v>346</v>
      </c>
      <c r="B329" s="87" t="s">
        <v>264</v>
      </c>
      <c r="C329" s="87">
        <v>2</v>
      </c>
      <c r="D329" s="110">
        <v>0.0011076065771920898</v>
      </c>
      <c r="E329" s="110">
        <v>2.7323937598229686</v>
      </c>
      <c r="F329" s="87" t="s">
        <v>2060</v>
      </c>
      <c r="G329" s="87" t="b">
        <v>0</v>
      </c>
      <c r="H329" s="87" t="b">
        <v>0</v>
      </c>
      <c r="I329" s="87" t="b">
        <v>0</v>
      </c>
      <c r="J329" s="87" t="b">
        <v>0</v>
      </c>
      <c r="K329" s="87" t="b">
        <v>0</v>
      </c>
      <c r="L329" s="87" t="b">
        <v>0</v>
      </c>
    </row>
    <row r="330" spans="1:12" ht="15">
      <c r="A330" s="88" t="s">
        <v>264</v>
      </c>
      <c r="B330" s="87" t="s">
        <v>345</v>
      </c>
      <c r="C330" s="87">
        <v>2</v>
      </c>
      <c r="D330" s="110">
        <v>0.0011076065771920898</v>
      </c>
      <c r="E330" s="110">
        <v>2.8573324964312685</v>
      </c>
      <c r="F330" s="87" t="s">
        <v>2060</v>
      </c>
      <c r="G330" s="87" t="b">
        <v>0</v>
      </c>
      <c r="H330" s="87" t="b">
        <v>0</v>
      </c>
      <c r="I330" s="87" t="b">
        <v>0</v>
      </c>
      <c r="J330" s="87" t="b">
        <v>0</v>
      </c>
      <c r="K330" s="87" t="b">
        <v>0</v>
      </c>
      <c r="L330" s="87" t="b">
        <v>0</v>
      </c>
    </row>
    <row r="331" spans="1:12" ht="15">
      <c r="A331" s="88" t="s">
        <v>345</v>
      </c>
      <c r="B331" s="87" t="s">
        <v>344</v>
      </c>
      <c r="C331" s="87">
        <v>2</v>
      </c>
      <c r="D331" s="110">
        <v>0.0011076065771920898</v>
      </c>
      <c r="E331" s="110">
        <v>3.03342375548695</v>
      </c>
      <c r="F331" s="87" t="s">
        <v>2060</v>
      </c>
      <c r="G331" s="87" t="b">
        <v>0</v>
      </c>
      <c r="H331" s="87" t="b">
        <v>0</v>
      </c>
      <c r="I331" s="87" t="b">
        <v>0</v>
      </c>
      <c r="J331" s="87" t="b">
        <v>0</v>
      </c>
      <c r="K331" s="87" t="b">
        <v>0</v>
      </c>
      <c r="L331" s="87" t="b">
        <v>0</v>
      </c>
    </row>
    <row r="332" spans="1:12" ht="15">
      <c r="A332" s="88" t="s">
        <v>344</v>
      </c>
      <c r="B332" s="87" t="s">
        <v>1974</v>
      </c>
      <c r="C332" s="87">
        <v>2</v>
      </c>
      <c r="D332" s="110">
        <v>0.0011076065771920898</v>
      </c>
      <c r="E332" s="110">
        <v>3.209515014542631</v>
      </c>
      <c r="F332" s="87" t="s">
        <v>2060</v>
      </c>
      <c r="G332" s="87" t="b">
        <v>0</v>
      </c>
      <c r="H332" s="87" t="b">
        <v>0</v>
      </c>
      <c r="I332" s="87" t="b">
        <v>0</v>
      </c>
      <c r="J332" s="87" t="b">
        <v>0</v>
      </c>
      <c r="K332" s="87" t="b">
        <v>0</v>
      </c>
      <c r="L332" s="87" t="b">
        <v>0</v>
      </c>
    </row>
    <row r="333" spans="1:12" ht="15">
      <c r="A333" s="88" t="s">
        <v>1974</v>
      </c>
      <c r="B333" s="87" t="s">
        <v>343</v>
      </c>
      <c r="C333" s="87">
        <v>2</v>
      </c>
      <c r="D333" s="110">
        <v>0.0011076065771920898</v>
      </c>
      <c r="E333" s="110">
        <v>3.209515014542631</v>
      </c>
      <c r="F333" s="87" t="s">
        <v>2060</v>
      </c>
      <c r="G333" s="87" t="b">
        <v>0</v>
      </c>
      <c r="H333" s="87" t="b">
        <v>0</v>
      </c>
      <c r="I333" s="87" t="b">
        <v>0</v>
      </c>
      <c r="J333" s="87" t="b">
        <v>0</v>
      </c>
      <c r="K333" s="87" t="b">
        <v>0</v>
      </c>
      <c r="L333" s="87" t="b">
        <v>0</v>
      </c>
    </row>
    <row r="334" spans="1:12" ht="15">
      <c r="A334" s="88" t="s">
        <v>343</v>
      </c>
      <c r="B334" s="87" t="s">
        <v>342</v>
      </c>
      <c r="C334" s="87">
        <v>2</v>
      </c>
      <c r="D334" s="110">
        <v>0.0011076065771920898</v>
      </c>
      <c r="E334" s="110">
        <v>2.90848501887865</v>
      </c>
      <c r="F334" s="87" t="s">
        <v>2060</v>
      </c>
      <c r="G334" s="87" t="b">
        <v>0</v>
      </c>
      <c r="H334" s="87" t="b">
        <v>0</v>
      </c>
      <c r="I334" s="87" t="b">
        <v>0</v>
      </c>
      <c r="J334" s="87" t="b">
        <v>0</v>
      </c>
      <c r="K334" s="87" t="b">
        <v>0</v>
      </c>
      <c r="L334" s="87" t="b">
        <v>0</v>
      </c>
    </row>
    <row r="335" spans="1:12" ht="15">
      <c r="A335" s="88" t="s">
        <v>342</v>
      </c>
      <c r="B335" s="87" t="s">
        <v>1975</v>
      </c>
      <c r="C335" s="87">
        <v>2</v>
      </c>
      <c r="D335" s="110">
        <v>0.0011076065771920898</v>
      </c>
      <c r="E335" s="110">
        <v>2.90848501887865</v>
      </c>
      <c r="F335" s="87" t="s">
        <v>2060</v>
      </c>
      <c r="G335" s="87" t="b">
        <v>0</v>
      </c>
      <c r="H335" s="87" t="b">
        <v>0</v>
      </c>
      <c r="I335" s="87" t="b">
        <v>0</v>
      </c>
      <c r="J335" s="87" t="b">
        <v>0</v>
      </c>
      <c r="K335" s="87" t="b">
        <v>0</v>
      </c>
      <c r="L335" s="87" t="b">
        <v>0</v>
      </c>
    </row>
    <row r="336" spans="1:12" ht="15">
      <c r="A336" s="88" t="s">
        <v>1975</v>
      </c>
      <c r="B336" s="87" t="s">
        <v>1976</v>
      </c>
      <c r="C336" s="87">
        <v>2</v>
      </c>
      <c r="D336" s="110">
        <v>0.0011076065771920898</v>
      </c>
      <c r="E336" s="110">
        <v>3.209515014542631</v>
      </c>
      <c r="F336" s="87" t="s">
        <v>2060</v>
      </c>
      <c r="G336" s="87" t="b">
        <v>0</v>
      </c>
      <c r="H336" s="87" t="b">
        <v>0</v>
      </c>
      <c r="I336" s="87" t="b">
        <v>0</v>
      </c>
      <c r="J336" s="87" t="b">
        <v>0</v>
      </c>
      <c r="K336" s="87" t="b">
        <v>0</v>
      </c>
      <c r="L336" s="87" t="b">
        <v>0</v>
      </c>
    </row>
    <row r="337" spans="1:12" ht="15">
      <c r="A337" s="88" t="s">
        <v>1976</v>
      </c>
      <c r="B337" s="87" t="s">
        <v>1495</v>
      </c>
      <c r="C337" s="87">
        <v>2</v>
      </c>
      <c r="D337" s="110">
        <v>0.0011076065771920898</v>
      </c>
      <c r="E337" s="110">
        <v>2.5563025007672873</v>
      </c>
      <c r="F337" s="87" t="s">
        <v>2060</v>
      </c>
      <c r="G337" s="87" t="b">
        <v>0</v>
      </c>
      <c r="H337" s="87" t="b">
        <v>0</v>
      </c>
      <c r="I337" s="87" t="b">
        <v>0</v>
      </c>
      <c r="J337" s="87" t="b">
        <v>1</v>
      </c>
      <c r="K337" s="87" t="b">
        <v>0</v>
      </c>
      <c r="L337" s="87" t="b">
        <v>0</v>
      </c>
    </row>
    <row r="338" spans="1:12" ht="15">
      <c r="A338" s="88" t="s">
        <v>1495</v>
      </c>
      <c r="B338" s="87" t="s">
        <v>1455</v>
      </c>
      <c r="C338" s="87">
        <v>2</v>
      </c>
      <c r="D338" s="110">
        <v>0.0011076065771920898</v>
      </c>
      <c r="E338" s="110">
        <v>0.7535287754753115</v>
      </c>
      <c r="F338" s="87" t="s">
        <v>2060</v>
      </c>
      <c r="G338" s="87" t="b">
        <v>1</v>
      </c>
      <c r="H338" s="87" t="b">
        <v>0</v>
      </c>
      <c r="I338" s="87" t="b">
        <v>0</v>
      </c>
      <c r="J338" s="87" t="b">
        <v>0</v>
      </c>
      <c r="K338" s="87" t="b">
        <v>0</v>
      </c>
      <c r="L338" s="87" t="b">
        <v>0</v>
      </c>
    </row>
    <row r="339" spans="1:12" ht="15">
      <c r="A339" s="88" t="s">
        <v>1856</v>
      </c>
      <c r="B339" s="87" t="s">
        <v>1519</v>
      </c>
      <c r="C339" s="87">
        <v>2</v>
      </c>
      <c r="D339" s="110">
        <v>0.0011076065771920898</v>
      </c>
      <c r="E339" s="110">
        <v>1.9664769658563366</v>
      </c>
      <c r="F339" s="87" t="s">
        <v>2060</v>
      </c>
      <c r="G339" s="87" t="b">
        <v>0</v>
      </c>
      <c r="H339" s="87" t="b">
        <v>0</v>
      </c>
      <c r="I339" s="87" t="b">
        <v>0</v>
      </c>
      <c r="J339" s="87" t="b">
        <v>0</v>
      </c>
      <c r="K339" s="87" t="b">
        <v>0</v>
      </c>
      <c r="L339" s="87" t="b">
        <v>0</v>
      </c>
    </row>
    <row r="340" spans="1:12" ht="15">
      <c r="A340" s="88" t="s">
        <v>1519</v>
      </c>
      <c r="B340" s="87" t="s">
        <v>1873</v>
      </c>
      <c r="C340" s="87">
        <v>2</v>
      </c>
      <c r="D340" s="110">
        <v>0.0011076065771920898</v>
      </c>
      <c r="E340" s="110">
        <v>2.1126050015345745</v>
      </c>
      <c r="F340" s="87" t="s">
        <v>2060</v>
      </c>
      <c r="G340" s="87" t="b">
        <v>0</v>
      </c>
      <c r="H340" s="87" t="b">
        <v>0</v>
      </c>
      <c r="I340" s="87" t="b">
        <v>0</v>
      </c>
      <c r="J340" s="87" t="b">
        <v>0</v>
      </c>
      <c r="K340" s="87" t="b">
        <v>0</v>
      </c>
      <c r="L340" s="87" t="b">
        <v>0</v>
      </c>
    </row>
    <row r="341" spans="1:12" ht="15">
      <c r="A341" s="88" t="s">
        <v>1493</v>
      </c>
      <c r="B341" s="87" t="s">
        <v>1898</v>
      </c>
      <c r="C341" s="87">
        <v>2</v>
      </c>
      <c r="D341" s="110">
        <v>0.0011076065771920898</v>
      </c>
      <c r="E341" s="110">
        <v>1.6654469701923553</v>
      </c>
      <c r="F341" s="87" t="s">
        <v>2060</v>
      </c>
      <c r="G341" s="87" t="b">
        <v>0</v>
      </c>
      <c r="H341" s="87" t="b">
        <v>0</v>
      </c>
      <c r="I341" s="87" t="b">
        <v>0</v>
      </c>
      <c r="J341" s="87" t="b">
        <v>0</v>
      </c>
      <c r="K341" s="87" t="b">
        <v>0</v>
      </c>
      <c r="L341" s="87" t="b">
        <v>0</v>
      </c>
    </row>
    <row r="342" spans="1:12" ht="15">
      <c r="A342" s="88" t="s">
        <v>1824</v>
      </c>
      <c r="B342" s="87" t="s">
        <v>1453</v>
      </c>
      <c r="C342" s="87">
        <v>2</v>
      </c>
      <c r="D342" s="110">
        <v>0.0011076065771920898</v>
      </c>
      <c r="E342" s="110">
        <v>0.5878195522133521</v>
      </c>
      <c r="F342" s="87" t="s">
        <v>2060</v>
      </c>
      <c r="G342" s="87" t="b">
        <v>0</v>
      </c>
      <c r="H342" s="87" t="b">
        <v>0</v>
      </c>
      <c r="I342" s="87" t="b">
        <v>0</v>
      </c>
      <c r="J342" s="87" t="b">
        <v>0</v>
      </c>
      <c r="K342" s="87" t="b">
        <v>0</v>
      </c>
      <c r="L342" s="87" t="b">
        <v>0</v>
      </c>
    </row>
    <row r="343" spans="1:12" ht="15">
      <c r="A343" s="88" t="s">
        <v>1453</v>
      </c>
      <c r="B343" s="87" t="s">
        <v>1455</v>
      </c>
      <c r="C343" s="87">
        <v>2</v>
      </c>
      <c r="D343" s="110">
        <v>0.0011076065771920898</v>
      </c>
      <c r="E343" s="110">
        <v>-0.4535967173203385</v>
      </c>
      <c r="F343" s="87" t="s">
        <v>2060</v>
      </c>
      <c r="G343" s="87" t="b">
        <v>0</v>
      </c>
      <c r="H343" s="87" t="b">
        <v>0</v>
      </c>
      <c r="I343" s="87" t="b">
        <v>0</v>
      </c>
      <c r="J343" s="87" t="b">
        <v>0</v>
      </c>
      <c r="K343" s="87" t="b">
        <v>0</v>
      </c>
      <c r="L343" s="87" t="b">
        <v>0</v>
      </c>
    </row>
    <row r="344" spans="1:12" ht="15">
      <c r="A344" s="88" t="s">
        <v>1892</v>
      </c>
      <c r="B344" s="87" t="s">
        <v>1437</v>
      </c>
      <c r="C344" s="87">
        <v>2</v>
      </c>
      <c r="D344" s="110">
        <v>0.0011076065771920898</v>
      </c>
      <c r="E344" s="110">
        <v>0.8914516795798694</v>
      </c>
      <c r="F344" s="87" t="s">
        <v>2060</v>
      </c>
      <c r="G344" s="87" t="b">
        <v>0</v>
      </c>
      <c r="H344" s="87" t="b">
        <v>0</v>
      </c>
      <c r="I344" s="87" t="b">
        <v>0</v>
      </c>
      <c r="J344" s="87" t="b">
        <v>0</v>
      </c>
      <c r="K344" s="87" t="b">
        <v>0</v>
      </c>
      <c r="L344" s="87" t="b">
        <v>0</v>
      </c>
    </row>
    <row r="345" spans="1:12" ht="15">
      <c r="A345" s="88" t="s">
        <v>1834</v>
      </c>
      <c r="B345" s="87" t="s">
        <v>1462</v>
      </c>
      <c r="C345" s="87">
        <v>2</v>
      </c>
      <c r="D345" s="110">
        <v>0.0011076065771920898</v>
      </c>
      <c r="E345" s="110">
        <v>0.9920310703287246</v>
      </c>
      <c r="F345" s="87" t="s">
        <v>2060</v>
      </c>
      <c r="G345" s="87" t="b">
        <v>0</v>
      </c>
      <c r="H345" s="87" t="b">
        <v>0</v>
      </c>
      <c r="I345" s="87" t="b">
        <v>0</v>
      </c>
      <c r="J345" s="87" t="b">
        <v>0</v>
      </c>
      <c r="K345" s="87" t="b">
        <v>0</v>
      </c>
      <c r="L345" s="87" t="b">
        <v>0</v>
      </c>
    </row>
    <row r="346" spans="1:12" ht="15">
      <c r="A346" s="88" t="s">
        <v>1437</v>
      </c>
      <c r="B346" s="87" t="s">
        <v>1977</v>
      </c>
      <c r="C346" s="87">
        <v>2</v>
      </c>
      <c r="D346" s="110">
        <v>0.0012851530211106868</v>
      </c>
      <c r="E346" s="110">
        <v>1.1924816752438505</v>
      </c>
      <c r="F346" s="87" t="s">
        <v>2060</v>
      </c>
      <c r="G346" s="87" t="b">
        <v>0</v>
      </c>
      <c r="H346" s="87" t="b">
        <v>0</v>
      </c>
      <c r="I346" s="87" t="b">
        <v>0</v>
      </c>
      <c r="J346" s="87" t="b">
        <v>0</v>
      </c>
      <c r="K346" s="87" t="b">
        <v>0</v>
      </c>
      <c r="L346" s="87" t="b">
        <v>0</v>
      </c>
    </row>
    <row r="347" spans="1:12" ht="15">
      <c r="A347" s="88" t="s">
        <v>1977</v>
      </c>
      <c r="B347" s="87" t="s">
        <v>341</v>
      </c>
      <c r="C347" s="87">
        <v>2</v>
      </c>
      <c r="D347" s="110">
        <v>0.0012851530211106868</v>
      </c>
      <c r="E347" s="110">
        <v>1.954242509439325</v>
      </c>
      <c r="F347" s="87" t="s">
        <v>2060</v>
      </c>
      <c r="G347" s="87" t="b">
        <v>0</v>
      </c>
      <c r="H347" s="87" t="b">
        <v>0</v>
      </c>
      <c r="I347" s="87" t="b">
        <v>0</v>
      </c>
      <c r="J347" s="87" t="b">
        <v>0</v>
      </c>
      <c r="K347" s="87" t="b">
        <v>0</v>
      </c>
      <c r="L347" s="87" t="b">
        <v>0</v>
      </c>
    </row>
    <row r="348" spans="1:12" ht="15">
      <c r="A348" s="88" t="s">
        <v>1825</v>
      </c>
      <c r="B348" s="87" t="s">
        <v>1929</v>
      </c>
      <c r="C348" s="87">
        <v>2</v>
      </c>
      <c r="D348" s="110">
        <v>0.0011076065771920898</v>
      </c>
      <c r="E348" s="110">
        <v>1.919480403180113</v>
      </c>
      <c r="F348" s="87" t="s">
        <v>2060</v>
      </c>
      <c r="G348" s="87" t="b">
        <v>0</v>
      </c>
      <c r="H348" s="87" t="b">
        <v>0</v>
      </c>
      <c r="I348" s="87" t="b">
        <v>0</v>
      </c>
      <c r="J348" s="87" t="b">
        <v>0</v>
      </c>
      <c r="K348" s="87" t="b">
        <v>0</v>
      </c>
      <c r="L348" s="87" t="b">
        <v>0</v>
      </c>
    </row>
    <row r="349" spans="1:12" ht="15">
      <c r="A349" s="88" t="s">
        <v>1929</v>
      </c>
      <c r="B349" s="87" t="s">
        <v>1978</v>
      </c>
      <c r="C349" s="87">
        <v>2</v>
      </c>
      <c r="D349" s="110">
        <v>0.0011076065771920898</v>
      </c>
      <c r="E349" s="110">
        <v>3.03342375548695</v>
      </c>
      <c r="F349" s="87" t="s">
        <v>2060</v>
      </c>
      <c r="G349" s="87" t="b">
        <v>0</v>
      </c>
      <c r="H349" s="87" t="b">
        <v>0</v>
      </c>
      <c r="I349" s="87" t="b">
        <v>0</v>
      </c>
      <c r="J349" s="87" t="b">
        <v>0</v>
      </c>
      <c r="K349" s="87" t="b">
        <v>0</v>
      </c>
      <c r="L349" s="87" t="b">
        <v>0</v>
      </c>
    </row>
    <row r="350" spans="1:12" ht="15">
      <c r="A350" s="88" t="s">
        <v>1978</v>
      </c>
      <c r="B350" s="87" t="s">
        <v>1437</v>
      </c>
      <c r="C350" s="87">
        <v>2</v>
      </c>
      <c r="D350" s="110">
        <v>0.0011076065771920898</v>
      </c>
      <c r="E350" s="110">
        <v>1.1924816752438505</v>
      </c>
      <c r="F350" s="87" t="s">
        <v>2060</v>
      </c>
      <c r="G350" s="87" t="b">
        <v>0</v>
      </c>
      <c r="H350" s="87" t="b">
        <v>0</v>
      </c>
      <c r="I350" s="87" t="b">
        <v>0</v>
      </c>
      <c r="J350" s="87" t="b">
        <v>0</v>
      </c>
      <c r="K350" s="87" t="b">
        <v>0</v>
      </c>
      <c r="L350" s="87" t="b">
        <v>0</v>
      </c>
    </row>
    <row r="351" spans="1:12" ht="15">
      <c r="A351" s="88" t="s">
        <v>1437</v>
      </c>
      <c r="B351" s="87" t="s">
        <v>1979</v>
      </c>
      <c r="C351" s="87">
        <v>2</v>
      </c>
      <c r="D351" s="110">
        <v>0.0011076065771920898</v>
      </c>
      <c r="E351" s="110">
        <v>1.1924816752438505</v>
      </c>
      <c r="F351" s="87" t="s">
        <v>2060</v>
      </c>
      <c r="G351" s="87" t="b">
        <v>0</v>
      </c>
      <c r="H351" s="87" t="b">
        <v>0</v>
      </c>
      <c r="I351" s="87" t="b">
        <v>0</v>
      </c>
      <c r="J351" s="87" t="b">
        <v>0</v>
      </c>
      <c r="K351" s="87" t="b">
        <v>0</v>
      </c>
      <c r="L351" s="87" t="b">
        <v>0</v>
      </c>
    </row>
    <row r="352" spans="1:12" ht="15">
      <c r="A352" s="88" t="s">
        <v>1980</v>
      </c>
      <c r="B352" s="87" t="s">
        <v>1456</v>
      </c>
      <c r="C352" s="87">
        <v>2</v>
      </c>
      <c r="D352" s="110">
        <v>0.0011076065771920898</v>
      </c>
      <c r="E352" s="110">
        <v>1.5710257575879936</v>
      </c>
      <c r="F352" s="87" t="s">
        <v>2060</v>
      </c>
      <c r="G352" s="87" t="b">
        <v>0</v>
      </c>
      <c r="H352" s="87" t="b">
        <v>0</v>
      </c>
      <c r="I352" s="87" t="b">
        <v>0</v>
      </c>
      <c r="J352" s="87" t="b">
        <v>0</v>
      </c>
      <c r="K352" s="87" t="b">
        <v>0</v>
      </c>
      <c r="L352" s="87" t="b">
        <v>0</v>
      </c>
    </row>
    <row r="353" spans="1:12" ht="15">
      <c r="A353" s="88" t="s">
        <v>1453</v>
      </c>
      <c r="B353" s="87" t="s">
        <v>1981</v>
      </c>
      <c r="C353" s="87">
        <v>2</v>
      </c>
      <c r="D353" s="110">
        <v>0.0011076065771920898</v>
      </c>
      <c r="E353" s="110">
        <v>1.3491770079716372</v>
      </c>
      <c r="F353" s="87" t="s">
        <v>2060</v>
      </c>
      <c r="G353" s="87" t="b">
        <v>0</v>
      </c>
      <c r="H353" s="87" t="b">
        <v>0</v>
      </c>
      <c r="I353" s="87" t="b">
        <v>0</v>
      </c>
      <c r="J353" s="87" t="b">
        <v>0</v>
      </c>
      <c r="K353" s="87" t="b">
        <v>0</v>
      </c>
      <c r="L353" s="87" t="b">
        <v>0</v>
      </c>
    </row>
    <row r="354" spans="1:12" ht="15">
      <c r="A354" s="88" t="s">
        <v>1981</v>
      </c>
      <c r="B354" s="87" t="s">
        <v>1460</v>
      </c>
      <c r="C354" s="87">
        <v>2</v>
      </c>
      <c r="D354" s="110">
        <v>0.0011076065771920898</v>
      </c>
      <c r="E354" s="110">
        <v>1.739692998564468</v>
      </c>
      <c r="F354" s="87" t="s">
        <v>2060</v>
      </c>
      <c r="G354" s="87" t="b">
        <v>0</v>
      </c>
      <c r="H354" s="87" t="b">
        <v>0</v>
      </c>
      <c r="I354" s="87" t="b">
        <v>0</v>
      </c>
      <c r="J354" s="87" t="b">
        <v>0</v>
      </c>
      <c r="K354" s="87" t="b">
        <v>0</v>
      </c>
      <c r="L354" s="87" t="b">
        <v>0</v>
      </c>
    </row>
    <row r="355" spans="1:12" ht="15">
      <c r="A355" s="88" t="s">
        <v>1983</v>
      </c>
      <c r="B355" s="87" t="s">
        <v>1437</v>
      </c>
      <c r="C355" s="87">
        <v>2</v>
      </c>
      <c r="D355" s="110">
        <v>0.0011076065771920898</v>
      </c>
      <c r="E355" s="110">
        <v>1.1924816752438505</v>
      </c>
      <c r="F355" s="87" t="s">
        <v>2060</v>
      </c>
      <c r="G355" s="87" t="b">
        <v>0</v>
      </c>
      <c r="H355" s="87" t="b">
        <v>0</v>
      </c>
      <c r="I355" s="87" t="b">
        <v>0</v>
      </c>
      <c r="J355" s="87" t="b">
        <v>0</v>
      </c>
      <c r="K355" s="87" t="b">
        <v>0</v>
      </c>
      <c r="L355" s="87" t="b">
        <v>0</v>
      </c>
    </row>
    <row r="356" spans="1:12" ht="15">
      <c r="A356" s="88" t="s">
        <v>1472</v>
      </c>
      <c r="B356" s="87" t="s">
        <v>1984</v>
      </c>
      <c r="C356" s="87">
        <v>2</v>
      </c>
      <c r="D356" s="110">
        <v>0.0011076065771920898</v>
      </c>
      <c r="E356" s="110">
        <v>2.0955716622357943</v>
      </c>
      <c r="F356" s="87" t="s">
        <v>2060</v>
      </c>
      <c r="G356" s="87" t="b">
        <v>0</v>
      </c>
      <c r="H356" s="87" t="b">
        <v>0</v>
      </c>
      <c r="I356" s="87" t="b">
        <v>0</v>
      </c>
      <c r="J356" s="87" t="b">
        <v>0</v>
      </c>
      <c r="K356" s="87" t="b">
        <v>0</v>
      </c>
      <c r="L356" s="87" t="b">
        <v>0</v>
      </c>
    </row>
    <row r="357" spans="1:12" ht="15">
      <c r="A357" s="88" t="s">
        <v>1827</v>
      </c>
      <c r="B357" s="87" t="s">
        <v>1859</v>
      </c>
      <c r="C357" s="87">
        <v>2</v>
      </c>
      <c r="D357" s="110">
        <v>0.0011076065771920898</v>
      </c>
      <c r="E357" s="110">
        <v>1.6442576711224173</v>
      </c>
      <c r="F357" s="87" t="s">
        <v>2060</v>
      </c>
      <c r="G357" s="87" t="b">
        <v>0</v>
      </c>
      <c r="H357" s="87" t="b">
        <v>0</v>
      </c>
      <c r="I357" s="87" t="b">
        <v>0</v>
      </c>
      <c r="J357" s="87" t="b">
        <v>0</v>
      </c>
      <c r="K357" s="87" t="b">
        <v>0</v>
      </c>
      <c r="L357" s="87" t="b">
        <v>0</v>
      </c>
    </row>
    <row r="358" spans="1:12" ht="15">
      <c r="A358" s="88" t="s">
        <v>1859</v>
      </c>
      <c r="B358" s="87" t="s">
        <v>1472</v>
      </c>
      <c r="C358" s="87">
        <v>2</v>
      </c>
      <c r="D358" s="110">
        <v>0.0011076065771920898</v>
      </c>
      <c r="E358" s="110">
        <v>1.5515036178855186</v>
      </c>
      <c r="F358" s="87" t="s">
        <v>2060</v>
      </c>
      <c r="G358" s="87" t="b">
        <v>0</v>
      </c>
      <c r="H358" s="87" t="b">
        <v>0</v>
      </c>
      <c r="I358" s="87" t="b">
        <v>0</v>
      </c>
      <c r="J358" s="87" t="b">
        <v>0</v>
      </c>
      <c r="K358" s="87" t="b">
        <v>0</v>
      </c>
      <c r="L358" s="87" t="b">
        <v>0</v>
      </c>
    </row>
    <row r="359" spans="1:12" ht="15">
      <c r="A359" s="88" t="s">
        <v>1472</v>
      </c>
      <c r="B359" s="87" t="s">
        <v>1985</v>
      </c>
      <c r="C359" s="87">
        <v>2</v>
      </c>
      <c r="D359" s="110">
        <v>0.0011076065771920898</v>
      </c>
      <c r="E359" s="110">
        <v>2.0955716622357943</v>
      </c>
      <c r="F359" s="87" t="s">
        <v>2060</v>
      </c>
      <c r="G359" s="87" t="b">
        <v>0</v>
      </c>
      <c r="H359" s="87" t="b">
        <v>0</v>
      </c>
      <c r="I359" s="87" t="b">
        <v>0</v>
      </c>
      <c r="J359" s="87" t="b">
        <v>0</v>
      </c>
      <c r="K359" s="87" t="b">
        <v>0</v>
      </c>
      <c r="L359" s="87" t="b">
        <v>0</v>
      </c>
    </row>
    <row r="360" spans="1:12" ht="15">
      <c r="A360" s="88" t="s">
        <v>1985</v>
      </c>
      <c r="B360" s="87" t="s">
        <v>1986</v>
      </c>
      <c r="C360" s="87">
        <v>2</v>
      </c>
      <c r="D360" s="110">
        <v>0.0011076065771920898</v>
      </c>
      <c r="E360" s="110">
        <v>3.209515014542631</v>
      </c>
      <c r="F360" s="87" t="s">
        <v>2060</v>
      </c>
      <c r="G360" s="87" t="b">
        <v>0</v>
      </c>
      <c r="H360" s="87" t="b">
        <v>0</v>
      </c>
      <c r="I360" s="87" t="b">
        <v>0</v>
      </c>
      <c r="J360" s="87" t="b">
        <v>0</v>
      </c>
      <c r="K360" s="87" t="b">
        <v>0</v>
      </c>
      <c r="L360" s="87" t="b">
        <v>0</v>
      </c>
    </row>
    <row r="361" spans="1:12" ht="15">
      <c r="A361" s="88" t="s">
        <v>1986</v>
      </c>
      <c r="B361" s="87" t="s">
        <v>1987</v>
      </c>
      <c r="C361" s="87">
        <v>2</v>
      </c>
      <c r="D361" s="110">
        <v>0.0011076065771920898</v>
      </c>
      <c r="E361" s="110">
        <v>3.209515014542631</v>
      </c>
      <c r="F361" s="87" t="s">
        <v>2060</v>
      </c>
      <c r="G361" s="87" t="b">
        <v>0</v>
      </c>
      <c r="H361" s="87" t="b">
        <v>0</v>
      </c>
      <c r="I361" s="87" t="b">
        <v>0</v>
      </c>
      <c r="J361" s="87" t="b">
        <v>0</v>
      </c>
      <c r="K361" s="87" t="b">
        <v>0</v>
      </c>
      <c r="L361" s="87" t="b">
        <v>0</v>
      </c>
    </row>
    <row r="362" spans="1:12" ht="15">
      <c r="A362" s="88" t="s">
        <v>1987</v>
      </c>
      <c r="B362" s="87" t="s">
        <v>1462</v>
      </c>
      <c r="C362" s="87">
        <v>2</v>
      </c>
      <c r="D362" s="110">
        <v>0.0011076065771920898</v>
      </c>
      <c r="E362" s="110">
        <v>1.7701823207123684</v>
      </c>
      <c r="F362" s="87" t="s">
        <v>2060</v>
      </c>
      <c r="G362" s="87" t="b">
        <v>0</v>
      </c>
      <c r="H362" s="87" t="b">
        <v>0</v>
      </c>
      <c r="I362" s="87" t="b">
        <v>0</v>
      </c>
      <c r="J362" s="87" t="b">
        <v>0</v>
      </c>
      <c r="K362" s="87" t="b">
        <v>0</v>
      </c>
      <c r="L362" s="87" t="b">
        <v>0</v>
      </c>
    </row>
    <row r="363" spans="1:12" ht="15">
      <c r="A363" s="88" t="s">
        <v>1437</v>
      </c>
      <c r="B363" s="87" t="s">
        <v>1988</v>
      </c>
      <c r="C363" s="87">
        <v>2</v>
      </c>
      <c r="D363" s="110">
        <v>0.0011076065771920898</v>
      </c>
      <c r="E363" s="110">
        <v>1.1924816752438505</v>
      </c>
      <c r="F363" s="87" t="s">
        <v>2060</v>
      </c>
      <c r="G363" s="87" t="b">
        <v>0</v>
      </c>
      <c r="H363" s="87" t="b">
        <v>0</v>
      </c>
      <c r="I363" s="87" t="b">
        <v>0</v>
      </c>
      <c r="J363" s="87" t="b">
        <v>0</v>
      </c>
      <c r="K363" s="87" t="b">
        <v>0</v>
      </c>
      <c r="L363" s="87" t="b">
        <v>0</v>
      </c>
    </row>
    <row r="364" spans="1:12" ht="15">
      <c r="A364" s="88" t="s">
        <v>1988</v>
      </c>
      <c r="B364" s="87" t="s">
        <v>1824</v>
      </c>
      <c r="C364" s="87">
        <v>2</v>
      </c>
      <c r="D364" s="110">
        <v>0.0011076065771920898</v>
      </c>
      <c r="E364" s="110">
        <v>2.0791812460476247</v>
      </c>
      <c r="F364" s="87" t="s">
        <v>2060</v>
      </c>
      <c r="G364" s="87" t="b">
        <v>0</v>
      </c>
      <c r="H364" s="87" t="b">
        <v>0</v>
      </c>
      <c r="I364" s="87" t="b">
        <v>0</v>
      </c>
      <c r="J364" s="87" t="b">
        <v>0</v>
      </c>
      <c r="K364" s="87" t="b">
        <v>0</v>
      </c>
      <c r="L364" s="87" t="b">
        <v>0</v>
      </c>
    </row>
    <row r="365" spans="1:12" ht="15">
      <c r="A365" s="88" t="s">
        <v>1454</v>
      </c>
      <c r="B365" s="87" t="s">
        <v>286</v>
      </c>
      <c r="C365" s="87">
        <v>2</v>
      </c>
      <c r="D365" s="110">
        <v>0.0011076065771920898</v>
      </c>
      <c r="E365" s="110">
        <v>1.5374171566069135</v>
      </c>
      <c r="F365" s="87" t="s">
        <v>2060</v>
      </c>
      <c r="G365" s="87" t="b">
        <v>0</v>
      </c>
      <c r="H365" s="87" t="b">
        <v>0</v>
      </c>
      <c r="I365" s="87" t="b">
        <v>0</v>
      </c>
      <c r="J365" s="87" t="b">
        <v>0</v>
      </c>
      <c r="K365" s="87" t="b">
        <v>0</v>
      </c>
      <c r="L365" s="87" t="b">
        <v>0</v>
      </c>
    </row>
    <row r="366" spans="1:12" ht="15">
      <c r="A366" s="88" t="s">
        <v>1437</v>
      </c>
      <c r="B366" s="87" t="s">
        <v>1989</v>
      </c>
      <c r="C366" s="87">
        <v>2</v>
      </c>
      <c r="D366" s="110">
        <v>0.0011076065771920898</v>
      </c>
      <c r="E366" s="110">
        <v>1.1924816752438505</v>
      </c>
      <c r="F366" s="87" t="s">
        <v>2060</v>
      </c>
      <c r="G366" s="87" t="b">
        <v>0</v>
      </c>
      <c r="H366" s="87" t="b">
        <v>0</v>
      </c>
      <c r="I366" s="87" t="b">
        <v>0</v>
      </c>
      <c r="J366" s="87" t="b">
        <v>0</v>
      </c>
      <c r="K366" s="87" t="b">
        <v>0</v>
      </c>
      <c r="L366" s="87" t="b">
        <v>0</v>
      </c>
    </row>
    <row r="367" spans="1:12" ht="15">
      <c r="A367" s="88" t="s">
        <v>1989</v>
      </c>
      <c r="B367" s="87" t="s">
        <v>1459</v>
      </c>
      <c r="C367" s="87">
        <v>2</v>
      </c>
      <c r="D367" s="110">
        <v>0.0011076065771920898</v>
      </c>
      <c r="E367" s="110">
        <v>1.725215175195845</v>
      </c>
      <c r="F367" s="87" t="s">
        <v>2060</v>
      </c>
      <c r="G367" s="87" t="b">
        <v>0</v>
      </c>
      <c r="H367" s="87" t="b">
        <v>0</v>
      </c>
      <c r="I367" s="87" t="b">
        <v>0</v>
      </c>
      <c r="J367" s="87" t="b">
        <v>0</v>
      </c>
      <c r="K367" s="87" t="b">
        <v>0</v>
      </c>
      <c r="L367" s="87" t="b">
        <v>0</v>
      </c>
    </row>
    <row r="368" spans="1:12" ht="15">
      <c r="A368" s="88" t="s">
        <v>1827</v>
      </c>
      <c r="B368" s="87" t="s">
        <v>1472</v>
      </c>
      <c r="C368" s="87">
        <v>2</v>
      </c>
      <c r="D368" s="110">
        <v>0.0011076065771920898</v>
      </c>
      <c r="E368" s="110">
        <v>1.074382363165856</v>
      </c>
      <c r="F368" s="87" t="s">
        <v>2060</v>
      </c>
      <c r="G368" s="87" t="b">
        <v>0</v>
      </c>
      <c r="H368" s="87" t="b">
        <v>0</v>
      </c>
      <c r="I368" s="87" t="b">
        <v>0</v>
      </c>
      <c r="J368" s="87" t="b">
        <v>0</v>
      </c>
      <c r="K368" s="87" t="b">
        <v>0</v>
      </c>
      <c r="L368" s="87" t="b">
        <v>0</v>
      </c>
    </row>
    <row r="369" spans="1:12" ht="15">
      <c r="A369" s="88" t="s">
        <v>1437</v>
      </c>
      <c r="B369" s="87" t="s">
        <v>1824</v>
      </c>
      <c r="C369" s="87">
        <v>2</v>
      </c>
      <c r="D369" s="110">
        <v>0.0011076065771920898</v>
      </c>
      <c r="E369" s="110">
        <v>0.062147906748844434</v>
      </c>
      <c r="F369" s="87" t="s">
        <v>2060</v>
      </c>
      <c r="G369" s="87" t="b">
        <v>0</v>
      </c>
      <c r="H369" s="87" t="b">
        <v>0</v>
      </c>
      <c r="I369" s="87" t="b">
        <v>0</v>
      </c>
      <c r="J369" s="87" t="b">
        <v>0</v>
      </c>
      <c r="K369" s="87" t="b">
        <v>0</v>
      </c>
      <c r="L369" s="87" t="b">
        <v>0</v>
      </c>
    </row>
    <row r="370" spans="1:12" ht="15">
      <c r="A370" s="88" t="s">
        <v>1826</v>
      </c>
      <c r="B370" s="87" t="s">
        <v>1462</v>
      </c>
      <c r="C370" s="87">
        <v>2</v>
      </c>
      <c r="D370" s="110">
        <v>0.0011076065771920898</v>
      </c>
      <c r="E370" s="110">
        <v>0.7287896355541432</v>
      </c>
      <c r="F370" s="87" t="s">
        <v>2060</v>
      </c>
      <c r="G370" s="87" t="b">
        <v>0</v>
      </c>
      <c r="H370" s="87" t="b">
        <v>0</v>
      </c>
      <c r="I370" s="87" t="b">
        <v>0</v>
      </c>
      <c r="J370" s="87" t="b">
        <v>0</v>
      </c>
      <c r="K370" s="87" t="b">
        <v>0</v>
      </c>
      <c r="L370" s="87" t="b">
        <v>0</v>
      </c>
    </row>
    <row r="371" spans="1:12" ht="15">
      <c r="A371" s="88" t="s">
        <v>1825</v>
      </c>
      <c r="B371" s="87" t="s">
        <v>1828</v>
      </c>
      <c r="C371" s="87">
        <v>2</v>
      </c>
      <c r="D371" s="110">
        <v>0.0011076065771920898</v>
      </c>
      <c r="E371" s="110">
        <v>1.0955716622357943</v>
      </c>
      <c r="F371" s="87" t="s">
        <v>2060</v>
      </c>
      <c r="G371" s="87" t="b">
        <v>0</v>
      </c>
      <c r="H371" s="87" t="b">
        <v>0</v>
      </c>
      <c r="I371" s="87" t="b">
        <v>0</v>
      </c>
      <c r="J371" s="87" t="b">
        <v>0</v>
      </c>
      <c r="K371" s="87" t="b">
        <v>0</v>
      </c>
      <c r="L371" s="87" t="b">
        <v>0</v>
      </c>
    </row>
    <row r="372" spans="1:12" ht="15">
      <c r="A372" s="88" t="s">
        <v>1991</v>
      </c>
      <c r="B372" s="87" t="s">
        <v>1992</v>
      </c>
      <c r="C372" s="87">
        <v>2</v>
      </c>
      <c r="D372" s="110">
        <v>0.0011076065771920898</v>
      </c>
      <c r="E372" s="110">
        <v>3.209515014542631</v>
      </c>
      <c r="F372" s="87" t="s">
        <v>2060</v>
      </c>
      <c r="G372" s="87" t="b">
        <v>0</v>
      </c>
      <c r="H372" s="87" t="b">
        <v>0</v>
      </c>
      <c r="I372" s="87" t="b">
        <v>0</v>
      </c>
      <c r="J372" s="87" t="b">
        <v>0</v>
      </c>
      <c r="K372" s="87" t="b">
        <v>0</v>
      </c>
      <c r="L372" s="87" t="b">
        <v>0</v>
      </c>
    </row>
    <row r="373" spans="1:12" ht="15">
      <c r="A373" s="88" t="s">
        <v>1475</v>
      </c>
      <c r="B373" s="87" t="s">
        <v>1856</v>
      </c>
      <c r="C373" s="87">
        <v>2</v>
      </c>
      <c r="D373" s="110">
        <v>0.0011076065771920898</v>
      </c>
      <c r="E373" s="110">
        <v>1.7112044607530303</v>
      </c>
      <c r="F373" s="87" t="s">
        <v>2060</v>
      </c>
      <c r="G373" s="87" t="b">
        <v>0</v>
      </c>
      <c r="H373" s="87" t="b">
        <v>0</v>
      </c>
      <c r="I373" s="87" t="b">
        <v>0</v>
      </c>
      <c r="J373" s="87" t="b">
        <v>0</v>
      </c>
      <c r="K373" s="87" t="b">
        <v>0</v>
      </c>
      <c r="L373" s="87" t="b">
        <v>0</v>
      </c>
    </row>
    <row r="374" spans="1:12" ht="15">
      <c r="A374" s="88" t="s">
        <v>1856</v>
      </c>
      <c r="B374" s="87" t="s">
        <v>1993</v>
      </c>
      <c r="C374" s="87">
        <v>2</v>
      </c>
      <c r="D374" s="110">
        <v>0.0011076065771920898</v>
      </c>
      <c r="E374" s="110">
        <v>2.6654469701923555</v>
      </c>
      <c r="F374" s="87" t="s">
        <v>2060</v>
      </c>
      <c r="G374" s="87" t="b">
        <v>0</v>
      </c>
      <c r="H374" s="87" t="b">
        <v>0</v>
      </c>
      <c r="I374" s="87" t="b">
        <v>0</v>
      </c>
      <c r="J374" s="87" t="b">
        <v>0</v>
      </c>
      <c r="K374" s="87" t="b">
        <v>0</v>
      </c>
      <c r="L374" s="87" t="b">
        <v>0</v>
      </c>
    </row>
    <row r="375" spans="1:12" ht="15">
      <c r="A375" s="88" t="s">
        <v>1993</v>
      </c>
      <c r="B375" s="87" t="s">
        <v>1873</v>
      </c>
      <c r="C375" s="87">
        <v>2</v>
      </c>
      <c r="D375" s="110">
        <v>0.0011076065771920898</v>
      </c>
      <c r="E375" s="110">
        <v>2.8115750058705933</v>
      </c>
      <c r="F375" s="87" t="s">
        <v>2060</v>
      </c>
      <c r="G375" s="87" t="b">
        <v>0</v>
      </c>
      <c r="H375" s="87" t="b">
        <v>0</v>
      </c>
      <c r="I375" s="87" t="b">
        <v>0</v>
      </c>
      <c r="J375" s="87" t="b">
        <v>0</v>
      </c>
      <c r="K375" s="87" t="b">
        <v>0</v>
      </c>
      <c r="L375" s="87" t="b">
        <v>0</v>
      </c>
    </row>
    <row r="376" spans="1:12" ht="15">
      <c r="A376" s="88" t="s">
        <v>1873</v>
      </c>
      <c r="B376" s="87" t="s">
        <v>1994</v>
      </c>
      <c r="C376" s="87">
        <v>2</v>
      </c>
      <c r="D376" s="110">
        <v>0.0011076065771920898</v>
      </c>
      <c r="E376" s="110">
        <v>2.8115750058705933</v>
      </c>
      <c r="F376" s="87" t="s">
        <v>2060</v>
      </c>
      <c r="G376" s="87" t="b">
        <v>0</v>
      </c>
      <c r="H376" s="87" t="b">
        <v>0</v>
      </c>
      <c r="I376" s="87" t="b">
        <v>0</v>
      </c>
      <c r="J376" s="87" t="b">
        <v>0</v>
      </c>
      <c r="K376" s="87" t="b">
        <v>0</v>
      </c>
      <c r="L376" s="87" t="b">
        <v>0</v>
      </c>
    </row>
    <row r="377" spans="1:12" ht="15">
      <c r="A377" s="88" t="s">
        <v>1994</v>
      </c>
      <c r="B377" s="87" t="s">
        <v>1995</v>
      </c>
      <c r="C377" s="87">
        <v>2</v>
      </c>
      <c r="D377" s="110">
        <v>0.0011076065771920898</v>
      </c>
      <c r="E377" s="110">
        <v>3.209515014542631</v>
      </c>
      <c r="F377" s="87" t="s">
        <v>2060</v>
      </c>
      <c r="G377" s="87" t="b">
        <v>0</v>
      </c>
      <c r="H377" s="87" t="b">
        <v>0</v>
      </c>
      <c r="I377" s="87" t="b">
        <v>0</v>
      </c>
      <c r="J377" s="87" t="b">
        <v>0</v>
      </c>
      <c r="K377" s="87" t="b">
        <v>0</v>
      </c>
      <c r="L377" s="87" t="b">
        <v>0</v>
      </c>
    </row>
    <row r="378" spans="1:12" ht="15">
      <c r="A378" s="88" t="s">
        <v>1995</v>
      </c>
      <c r="B378" s="87" t="s">
        <v>1831</v>
      </c>
      <c r="C378" s="87">
        <v>2</v>
      </c>
      <c r="D378" s="110">
        <v>0.0011076065771920898</v>
      </c>
      <c r="E378" s="110">
        <v>2.3966016578997755</v>
      </c>
      <c r="F378" s="87" t="s">
        <v>2060</v>
      </c>
      <c r="G378" s="87" t="b">
        <v>0</v>
      </c>
      <c r="H378" s="87" t="b">
        <v>0</v>
      </c>
      <c r="I378" s="87" t="b">
        <v>0</v>
      </c>
      <c r="J378" s="87" t="b">
        <v>0</v>
      </c>
      <c r="K378" s="87" t="b">
        <v>0</v>
      </c>
      <c r="L378" s="87" t="b">
        <v>0</v>
      </c>
    </row>
    <row r="379" spans="1:12" ht="15">
      <c r="A379" s="88" t="s">
        <v>1935</v>
      </c>
      <c r="B379" s="87" t="s">
        <v>1437</v>
      </c>
      <c r="C379" s="87">
        <v>2</v>
      </c>
      <c r="D379" s="110">
        <v>0.0012851530211106868</v>
      </c>
      <c r="E379" s="110">
        <v>1.0163904161881694</v>
      </c>
      <c r="F379" s="87" t="s">
        <v>2060</v>
      </c>
      <c r="G379" s="87" t="b">
        <v>0</v>
      </c>
      <c r="H379" s="87" t="b">
        <v>0</v>
      </c>
      <c r="I379" s="87" t="b">
        <v>0</v>
      </c>
      <c r="J379" s="87" t="b">
        <v>0</v>
      </c>
      <c r="K379" s="87" t="b">
        <v>0</v>
      </c>
      <c r="L379" s="87" t="b">
        <v>0</v>
      </c>
    </row>
    <row r="380" spans="1:12" ht="15">
      <c r="A380" s="88" t="s">
        <v>1828</v>
      </c>
      <c r="B380" s="87" t="s">
        <v>1997</v>
      </c>
      <c r="C380" s="87">
        <v>2</v>
      </c>
      <c r="D380" s="110">
        <v>0.0011076065771920898</v>
      </c>
      <c r="E380" s="110">
        <v>2.2095150145426308</v>
      </c>
      <c r="F380" s="87" t="s">
        <v>2060</v>
      </c>
      <c r="G380" s="87" t="b">
        <v>0</v>
      </c>
      <c r="H380" s="87" t="b">
        <v>0</v>
      </c>
      <c r="I380" s="87" t="b">
        <v>0</v>
      </c>
      <c r="J380" s="87" t="b">
        <v>0</v>
      </c>
      <c r="K380" s="87" t="b">
        <v>0</v>
      </c>
      <c r="L380" s="87" t="b">
        <v>0</v>
      </c>
    </row>
    <row r="381" spans="1:12" ht="15">
      <c r="A381" s="88" t="s">
        <v>1998</v>
      </c>
      <c r="B381" s="87" t="s">
        <v>1437</v>
      </c>
      <c r="C381" s="87">
        <v>2</v>
      </c>
      <c r="D381" s="110">
        <v>0.0011076065771920898</v>
      </c>
      <c r="E381" s="110">
        <v>1.1924816752438505</v>
      </c>
      <c r="F381" s="87" t="s">
        <v>2060</v>
      </c>
      <c r="G381" s="87" t="b">
        <v>0</v>
      </c>
      <c r="H381" s="87" t="b">
        <v>0</v>
      </c>
      <c r="I381" s="87" t="b">
        <v>0</v>
      </c>
      <c r="J381" s="87" t="b">
        <v>0</v>
      </c>
      <c r="K381" s="87" t="b">
        <v>0</v>
      </c>
      <c r="L381" s="87" t="b">
        <v>0</v>
      </c>
    </row>
    <row r="382" spans="1:12" ht="15">
      <c r="A382" s="88" t="s">
        <v>1826</v>
      </c>
      <c r="B382" s="87" t="s">
        <v>1859</v>
      </c>
      <c r="C382" s="87">
        <v>2</v>
      </c>
      <c r="D382" s="110">
        <v>0.0011076065771920898</v>
      </c>
      <c r="E382" s="110">
        <v>1.6240542850341304</v>
      </c>
      <c r="F382" s="87" t="s">
        <v>2060</v>
      </c>
      <c r="G382" s="87" t="b">
        <v>0</v>
      </c>
      <c r="H382" s="87" t="b">
        <v>0</v>
      </c>
      <c r="I382" s="87" t="b">
        <v>0</v>
      </c>
      <c r="J382" s="87" t="b">
        <v>0</v>
      </c>
      <c r="K382" s="87" t="b">
        <v>0</v>
      </c>
      <c r="L382" s="87" t="b">
        <v>0</v>
      </c>
    </row>
    <row r="383" spans="1:12" ht="15">
      <c r="A383" s="88" t="s">
        <v>1859</v>
      </c>
      <c r="B383" s="87" t="s">
        <v>282</v>
      </c>
      <c r="C383" s="87">
        <v>2</v>
      </c>
      <c r="D383" s="110">
        <v>0.0011076065771920898</v>
      </c>
      <c r="E383" s="110">
        <v>2.6654469701923555</v>
      </c>
      <c r="F383" s="87" t="s">
        <v>2060</v>
      </c>
      <c r="G383" s="87" t="b">
        <v>0</v>
      </c>
      <c r="H383" s="87" t="b">
        <v>0</v>
      </c>
      <c r="I383" s="87" t="b">
        <v>0</v>
      </c>
      <c r="J383" s="87" t="b">
        <v>0</v>
      </c>
      <c r="K383" s="87" t="b">
        <v>0</v>
      </c>
      <c r="L383" s="87" t="b">
        <v>0</v>
      </c>
    </row>
    <row r="384" spans="1:12" ht="15">
      <c r="A384" s="88" t="s">
        <v>282</v>
      </c>
      <c r="B384" s="87" t="s">
        <v>324</v>
      </c>
      <c r="C384" s="87">
        <v>2</v>
      </c>
      <c r="D384" s="110">
        <v>0.0011076065771920898</v>
      </c>
      <c r="E384" s="110">
        <v>2.6074550232146687</v>
      </c>
      <c r="F384" s="87" t="s">
        <v>2060</v>
      </c>
      <c r="G384" s="87" t="b">
        <v>0</v>
      </c>
      <c r="H384" s="87" t="b">
        <v>0</v>
      </c>
      <c r="I384" s="87" t="b">
        <v>0</v>
      </c>
      <c r="J384" s="87" t="b">
        <v>0</v>
      </c>
      <c r="K384" s="87" t="b">
        <v>0</v>
      </c>
      <c r="L384" s="87" t="b">
        <v>0</v>
      </c>
    </row>
    <row r="385" spans="1:12" ht="15">
      <c r="A385" s="88" t="s">
        <v>324</v>
      </c>
      <c r="B385" s="87" t="s">
        <v>1905</v>
      </c>
      <c r="C385" s="87">
        <v>2</v>
      </c>
      <c r="D385" s="110">
        <v>0.0011076065771920898</v>
      </c>
      <c r="E385" s="110">
        <v>2.3064250275506875</v>
      </c>
      <c r="F385" s="87" t="s">
        <v>2060</v>
      </c>
      <c r="G385" s="87" t="b">
        <v>0</v>
      </c>
      <c r="H385" s="87" t="b">
        <v>0</v>
      </c>
      <c r="I385" s="87" t="b">
        <v>0</v>
      </c>
      <c r="J385" s="87" t="b">
        <v>0</v>
      </c>
      <c r="K385" s="87" t="b">
        <v>0</v>
      </c>
      <c r="L385" s="87" t="b">
        <v>0</v>
      </c>
    </row>
    <row r="386" spans="1:12" ht="15">
      <c r="A386" s="88" t="s">
        <v>1905</v>
      </c>
      <c r="B386" s="87" t="s">
        <v>1999</v>
      </c>
      <c r="C386" s="87">
        <v>2</v>
      </c>
      <c r="D386" s="110">
        <v>0.0011076065771920898</v>
      </c>
      <c r="E386" s="110">
        <v>2.90848501887865</v>
      </c>
      <c r="F386" s="87" t="s">
        <v>2060</v>
      </c>
      <c r="G386" s="87" t="b">
        <v>0</v>
      </c>
      <c r="H386" s="87" t="b">
        <v>0</v>
      </c>
      <c r="I386" s="87" t="b">
        <v>0</v>
      </c>
      <c r="J386" s="87" t="b">
        <v>0</v>
      </c>
      <c r="K386" s="87" t="b">
        <v>0</v>
      </c>
      <c r="L386" s="87" t="b">
        <v>0</v>
      </c>
    </row>
    <row r="387" spans="1:12" ht="15">
      <c r="A387" s="88" t="s">
        <v>1999</v>
      </c>
      <c r="B387" s="87" t="s">
        <v>324</v>
      </c>
      <c r="C387" s="87">
        <v>2</v>
      </c>
      <c r="D387" s="110">
        <v>0.0011076065771920898</v>
      </c>
      <c r="E387" s="110">
        <v>2.6074550232146687</v>
      </c>
      <c r="F387" s="87" t="s">
        <v>2060</v>
      </c>
      <c r="G387" s="87" t="b">
        <v>0</v>
      </c>
      <c r="H387" s="87" t="b">
        <v>0</v>
      </c>
      <c r="I387" s="87" t="b">
        <v>0</v>
      </c>
      <c r="J387" s="87" t="b">
        <v>0</v>
      </c>
      <c r="K387" s="87" t="b">
        <v>0</v>
      </c>
      <c r="L387" s="87" t="b">
        <v>0</v>
      </c>
    </row>
    <row r="388" spans="1:12" ht="15">
      <c r="A388" s="88" t="s">
        <v>324</v>
      </c>
      <c r="B388" s="87" t="s">
        <v>1824</v>
      </c>
      <c r="C388" s="87">
        <v>2</v>
      </c>
      <c r="D388" s="110">
        <v>0.0011076065771920898</v>
      </c>
      <c r="E388" s="110">
        <v>1.4771212547196624</v>
      </c>
      <c r="F388" s="87" t="s">
        <v>2060</v>
      </c>
      <c r="G388" s="87" t="b">
        <v>0</v>
      </c>
      <c r="H388" s="87" t="b">
        <v>0</v>
      </c>
      <c r="I388" s="87" t="b">
        <v>0</v>
      </c>
      <c r="J388" s="87" t="b">
        <v>0</v>
      </c>
      <c r="K388" s="87" t="b">
        <v>0</v>
      </c>
      <c r="L388" s="87" t="b">
        <v>0</v>
      </c>
    </row>
    <row r="389" spans="1:12" ht="15">
      <c r="A389" s="88" t="s">
        <v>1824</v>
      </c>
      <c r="B389" s="87" t="s">
        <v>283</v>
      </c>
      <c r="C389" s="87">
        <v>2</v>
      </c>
      <c r="D389" s="110">
        <v>0.0011076065771920898</v>
      </c>
      <c r="E389" s="110">
        <v>1.7781512503836436</v>
      </c>
      <c r="F389" s="87" t="s">
        <v>2060</v>
      </c>
      <c r="G389" s="87" t="b">
        <v>0</v>
      </c>
      <c r="H389" s="87" t="b">
        <v>0</v>
      </c>
      <c r="I389" s="87" t="b">
        <v>0</v>
      </c>
      <c r="J389" s="87" t="b">
        <v>0</v>
      </c>
      <c r="K389" s="87" t="b">
        <v>0</v>
      </c>
      <c r="L389" s="87" t="b">
        <v>0</v>
      </c>
    </row>
    <row r="390" spans="1:12" ht="15">
      <c r="A390" s="88" t="s">
        <v>283</v>
      </c>
      <c r="B390" s="87" t="s">
        <v>1455</v>
      </c>
      <c r="C390" s="87">
        <v>2</v>
      </c>
      <c r="D390" s="110">
        <v>0.0011076065771920898</v>
      </c>
      <c r="E390" s="110">
        <v>1.105711293586674</v>
      </c>
      <c r="F390" s="87" t="s">
        <v>2060</v>
      </c>
      <c r="G390" s="87" t="b">
        <v>0</v>
      </c>
      <c r="H390" s="87" t="b">
        <v>0</v>
      </c>
      <c r="I390" s="87" t="b">
        <v>0</v>
      </c>
      <c r="J390" s="87" t="b">
        <v>0</v>
      </c>
      <c r="K390" s="87" t="b">
        <v>0</v>
      </c>
      <c r="L390" s="87" t="b">
        <v>0</v>
      </c>
    </row>
    <row r="391" spans="1:12" ht="15">
      <c r="A391" s="88" t="s">
        <v>2000</v>
      </c>
      <c r="B391" s="87" t="s">
        <v>2001</v>
      </c>
      <c r="C391" s="87">
        <v>2</v>
      </c>
      <c r="D391" s="110">
        <v>0.0011076065771920898</v>
      </c>
      <c r="E391" s="110">
        <v>3.209515014542631</v>
      </c>
      <c r="F391" s="87" t="s">
        <v>2060</v>
      </c>
      <c r="G391" s="87" t="b">
        <v>0</v>
      </c>
      <c r="H391" s="87" t="b">
        <v>0</v>
      </c>
      <c r="I391" s="87" t="b">
        <v>0</v>
      </c>
      <c r="J391" s="87" t="b">
        <v>0</v>
      </c>
      <c r="K391" s="87" t="b">
        <v>0</v>
      </c>
      <c r="L391" s="87" t="b">
        <v>0</v>
      </c>
    </row>
    <row r="392" spans="1:12" ht="15">
      <c r="A392" s="88" t="s">
        <v>2001</v>
      </c>
      <c r="B392" s="87" t="s">
        <v>1871</v>
      </c>
      <c r="C392" s="87">
        <v>2</v>
      </c>
      <c r="D392" s="110">
        <v>0.0011076065771920898</v>
      </c>
      <c r="E392" s="110">
        <v>3.209515014542631</v>
      </c>
      <c r="F392" s="87" t="s">
        <v>2060</v>
      </c>
      <c r="G392" s="87" t="b">
        <v>0</v>
      </c>
      <c r="H392" s="87" t="b">
        <v>0</v>
      </c>
      <c r="I392" s="87" t="b">
        <v>0</v>
      </c>
      <c r="J392" s="87" t="b">
        <v>0</v>
      </c>
      <c r="K392" s="87" t="b">
        <v>0</v>
      </c>
      <c r="L392" s="87" t="b">
        <v>0</v>
      </c>
    </row>
    <row r="393" spans="1:12" ht="15">
      <c r="A393" s="88" t="s">
        <v>1872</v>
      </c>
      <c r="B393" s="87" t="s">
        <v>2002</v>
      </c>
      <c r="C393" s="87">
        <v>2</v>
      </c>
      <c r="D393" s="110">
        <v>0.0011076065771920898</v>
      </c>
      <c r="E393" s="110">
        <v>2.8115750058705933</v>
      </c>
      <c r="F393" s="87" t="s">
        <v>2060</v>
      </c>
      <c r="G393" s="87" t="b">
        <v>0</v>
      </c>
      <c r="H393" s="87" t="b">
        <v>0</v>
      </c>
      <c r="I393" s="87" t="b">
        <v>0</v>
      </c>
      <c r="J393" s="87" t="b">
        <v>0</v>
      </c>
      <c r="K393" s="87" t="b">
        <v>0</v>
      </c>
      <c r="L393" s="87" t="b">
        <v>0</v>
      </c>
    </row>
    <row r="394" spans="1:12" ht="15">
      <c r="A394" s="88" t="s">
        <v>2002</v>
      </c>
      <c r="B394" s="87" t="s">
        <v>1453</v>
      </c>
      <c r="C394" s="87">
        <v>2</v>
      </c>
      <c r="D394" s="110">
        <v>0.0011076065771920898</v>
      </c>
      <c r="E394" s="110">
        <v>1.7181533207083584</v>
      </c>
      <c r="F394" s="87" t="s">
        <v>2060</v>
      </c>
      <c r="G394" s="87" t="b">
        <v>0</v>
      </c>
      <c r="H394" s="87" t="b">
        <v>0</v>
      </c>
      <c r="I394" s="87" t="b">
        <v>0</v>
      </c>
      <c r="J394" s="87" t="b">
        <v>0</v>
      </c>
      <c r="K394" s="87" t="b">
        <v>0</v>
      </c>
      <c r="L394" s="87" t="b">
        <v>0</v>
      </c>
    </row>
    <row r="395" spans="1:12" ht="15">
      <c r="A395" s="88" t="s">
        <v>1453</v>
      </c>
      <c r="B395" s="87" t="s">
        <v>1454</v>
      </c>
      <c r="C395" s="87">
        <v>2</v>
      </c>
      <c r="D395" s="110">
        <v>0.0011076065771920898</v>
      </c>
      <c r="E395" s="110">
        <v>-0.45700296601224993</v>
      </c>
      <c r="F395" s="87" t="s">
        <v>2060</v>
      </c>
      <c r="G395" s="87" t="b">
        <v>0</v>
      </c>
      <c r="H395" s="87" t="b">
        <v>0</v>
      </c>
      <c r="I395" s="87" t="b">
        <v>0</v>
      </c>
      <c r="J395" s="87" t="b">
        <v>0</v>
      </c>
      <c r="K395" s="87" t="b">
        <v>0</v>
      </c>
      <c r="L395" s="87" t="b">
        <v>0</v>
      </c>
    </row>
    <row r="396" spans="1:12" ht="15">
      <c r="A396" s="88" t="s">
        <v>1458</v>
      </c>
      <c r="B396" s="87" t="s">
        <v>271</v>
      </c>
      <c r="C396" s="87">
        <v>2</v>
      </c>
      <c r="D396" s="110">
        <v>0.0011076065771920898</v>
      </c>
      <c r="E396" s="110">
        <v>2.1583624920952498</v>
      </c>
      <c r="F396" s="87" t="s">
        <v>2060</v>
      </c>
      <c r="G396" s="87" t="b">
        <v>0</v>
      </c>
      <c r="H396" s="87" t="b">
        <v>0</v>
      </c>
      <c r="I396" s="87" t="b">
        <v>0</v>
      </c>
      <c r="J396" s="87" t="b">
        <v>0</v>
      </c>
      <c r="K396" s="87" t="b">
        <v>0</v>
      </c>
      <c r="L396" s="87" t="b">
        <v>0</v>
      </c>
    </row>
    <row r="397" spans="1:12" ht="15">
      <c r="A397" s="88" t="s">
        <v>271</v>
      </c>
      <c r="B397" s="87" t="s">
        <v>283</v>
      </c>
      <c r="C397" s="87">
        <v>2</v>
      </c>
      <c r="D397" s="110">
        <v>0.0011076065771920898</v>
      </c>
      <c r="E397" s="110">
        <v>2.7323937598229686</v>
      </c>
      <c r="F397" s="87" t="s">
        <v>2060</v>
      </c>
      <c r="G397" s="87" t="b">
        <v>0</v>
      </c>
      <c r="H397" s="87" t="b">
        <v>0</v>
      </c>
      <c r="I397" s="87" t="b">
        <v>0</v>
      </c>
      <c r="J397" s="87" t="b">
        <v>0</v>
      </c>
      <c r="K397" s="87" t="b">
        <v>0</v>
      </c>
      <c r="L397" s="87" t="b">
        <v>0</v>
      </c>
    </row>
    <row r="398" spans="1:12" ht="15">
      <c r="A398" s="88" t="s">
        <v>283</v>
      </c>
      <c r="B398" s="87" t="s">
        <v>2003</v>
      </c>
      <c r="C398" s="87">
        <v>2</v>
      </c>
      <c r="D398" s="110">
        <v>0.0011076065771920898</v>
      </c>
      <c r="E398" s="110">
        <v>2.90848501887865</v>
      </c>
      <c r="F398" s="87" t="s">
        <v>2060</v>
      </c>
      <c r="G398" s="87" t="b">
        <v>0</v>
      </c>
      <c r="H398" s="87" t="b">
        <v>0</v>
      </c>
      <c r="I398" s="87" t="b">
        <v>0</v>
      </c>
      <c r="J398" s="87" t="b">
        <v>0</v>
      </c>
      <c r="K398" s="87" t="b">
        <v>0</v>
      </c>
      <c r="L398" s="87" t="b">
        <v>0</v>
      </c>
    </row>
    <row r="399" spans="1:12" ht="15">
      <c r="A399" s="88" t="s">
        <v>2003</v>
      </c>
      <c r="B399" s="87" t="s">
        <v>2004</v>
      </c>
      <c r="C399" s="87">
        <v>2</v>
      </c>
      <c r="D399" s="110">
        <v>0.0011076065771920898</v>
      </c>
      <c r="E399" s="110">
        <v>3.209515014542631</v>
      </c>
      <c r="F399" s="87" t="s">
        <v>2060</v>
      </c>
      <c r="G399" s="87" t="b">
        <v>0</v>
      </c>
      <c r="H399" s="87" t="b">
        <v>0</v>
      </c>
      <c r="I399" s="87" t="b">
        <v>0</v>
      </c>
      <c r="J399" s="87" t="b">
        <v>0</v>
      </c>
      <c r="K399" s="87" t="b">
        <v>0</v>
      </c>
      <c r="L399" s="87" t="b">
        <v>0</v>
      </c>
    </row>
    <row r="400" spans="1:12" ht="15">
      <c r="A400" s="88" t="s">
        <v>2004</v>
      </c>
      <c r="B400" s="87" t="s">
        <v>2005</v>
      </c>
      <c r="C400" s="87">
        <v>2</v>
      </c>
      <c r="D400" s="110">
        <v>0.0011076065771920898</v>
      </c>
      <c r="E400" s="110">
        <v>3.209515014542631</v>
      </c>
      <c r="F400" s="87" t="s">
        <v>2060</v>
      </c>
      <c r="G400" s="87" t="b">
        <v>0</v>
      </c>
      <c r="H400" s="87" t="b">
        <v>0</v>
      </c>
      <c r="I400" s="87" t="b">
        <v>0</v>
      </c>
      <c r="J400" s="87" t="b">
        <v>0</v>
      </c>
      <c r="K400" s="87" t="b">
        <v>0</v>
      </c>
      <c r="L400" s="87" t="b">
        <v>0</v>
      </c>
    </row>
    <row r="401" spans="1:12" ht="15">
      <c r="A401" s="88" t="s">
        <v>2005</v>
      </c>
      <c r="B401" s="87" t="s">
        <v>2006</v>
      </c>
      <c r="C401" s="87">
        <v>2</v>
      </c>
      <c r="D401" s="110">
        <v>0.0011076065771920898</v>
      </c>
      <c r="E401" s="110">
        <v>3.209515014542631</v>
      </c>
      <c r="F401" s="87" t="s">
        <v>2060</v>
      </c>
      <c r="G401" s="87" t="b">
        <v>0</v>
      </c>
      <c r="H401" s="87" t="b">
        <v>0</v>
      </c>
      <c r="I401" s="87" t="b">
        <v>0</v>
      </c>
      <c r="J401" s="87" t="b">
        <v>0</v>
      </c>
      <c r="K401" s="87" t="b">
        <v>0</v>
      </c>
      <c r="L401" s="87" t="b">
        <v>0</v>
      </c>
    </row>
    <row r="402" spans="1:12" ht="15">
      <c r="A402" s="88" t="s">
        <v>2006</v>
      </c>
      <c r="B402" s="87" t="s">
        <v>2007</v>
      </c>
      <c r="C402" s="87">
        <v>2</v>
      </c>
      <c r="D402" s="110">
        <v>0.0011076065771920898</v>
      </c>
      <c r="E402" s="110">
        <v>3.209515014542631</v>
      </c>
      <c r="F402" s="87" t="s">
        <v>2060</v>
      </c>
      <c r="G402" s="87" t="b">
        <v>0</v>
      </c>
      <c r="H402" s="87" t="b">
        <v>0</v>
      </c>
      <c r="I402" s="87" t="b">
        <v>0</v>
      </c>
      <c r="J402" s="87" t="b">
        <v>0</v>
      </c>
      <c r="K402" s="87" t="b">
        <v>0</v>
      </c>
      <c r="L402" s="87" t="b">
        <v>0</v>
      </c>
    </row>
    <row r="403" spans="1:12" ht="15">
      <c r="A403" s="88" t="s">
        <v>2007</v>
      </c>
      <c r="B403" s="87" t="s">
        <v>1437</v>
      </c>
      <c r="C403" s="87">
        <v>2</v>
      </c>
      <c r="D403" s="110">
        <v>0.0011076065771920898</v>
      </c>
      <c r="E403" s="110">
        <v>1.1924816752438505</v>
      </c>
      <c r="F403" s="87" t="s">
        <v>2060</v>
      </c>
      <c r="G403" s="87" t="b">
        <v>0</v>
      </c>
      <c r="H403" s="87" t="b">
        <v>0</v>
      </c>
      <c r="I403" s="87" t="b">
        <v>0</v>
      </c>
      <c r="J403" s="87" t="b">
        <v>0</v>
      </c>
      <c r="K403" s="87" t="b">
        <v>0</v>
      </c>
      <c r="L403" s="87" t="b">
        <v>0</v>
      </c>
    </row>
    <row r="404" spans="1:12" ht="15">
      <c r="A404" s="88" t="s">
        <v>1437</v>
      </c>
      <c r="B404" s="87" t="s">
        <v>2008</v>
      </c>
      <c r="C404" s="87">
        <v>2</v>
      </c>
      <c r="D404" s="110">
        <v>0.0011076065771920898</v>
      </c>
      <c r="E404" s="110">
        <v>1.1924816752438505</v>
      </c>
      <c r="F404" s="87" t="s">
        <v>2060</v>
      </c>
      <c r="G404" s="87" t="b">
        <v>0</v>
      </c>
      <c r="H404" s="87" t="b">
        <v>0</v>
      </c>
      <c r="I404" s="87" t="b">
        <v>0</v>
      </c>
      <c r="J404" s="87" t="b">
        <v>0</v>
      </c>
      <c r="K404" s="87" t="b">
        <v>0</v>
      </c>
      <c r="L404" s="87" t="b">
        <v>0</v>
      </c>
    </row>
    <row r="405" spans="1:12" ht="15">
      <c r="A405" s="88" t="s">
        <v>2008</v>
      </c>
      <c r="B405" s="87" t="s">
        <v>2009</v>
      </c>
      <c r="C405" s="87">
        <v>2</v>
      </c>
      <c r="D405" s="110">
        <v>0.0011076065771920898</v>
      </c>
      <c r="E405" s="110">
        <v>3.209515014542631</v>
      </c>
      <c r="F405" s="87" t="s">
        <v>2060</v>
      </c>
      <c r="G405" s="87" t="b">
        <v>0</v>
      </c>
      <c r="H405" s="87" t="b">
        <v>0</v>
      </c>
      <c r="I405" s="87" t="b">
        <v>0</v>
      </c>
      <c r="J405" s="87" t="b">
        <v>0</v>
      </c>
      <c r="K405" s="87" t="b">
        <v>0</v>
      </c>
      <c r="L405" s="87" t="b">
        <v>0</v>
      </c>
    </row>
    <row r="406" spans="1:12" ht="15">
      <c r="A406" s="88" t="s">
        <v>1826</v>
      </c>
      <c r="B406" s="87" t="s">
        <v>1883</v>
      </c>
      <c r="C406" s="87">
        <v>2</v>
      </c>
      <c r="D406" s="110">
        <v>0.0011076065771920898</v>
      </c>
      <c r="E406" s="110">
        <v>1.7701823207123684</v>
      </c>
      <c r="F406" s="87" t="s">
        <v>2060</v>
      </c>
      <c r="G406" s="87" t="b">
        <v>0</v>
      </c>
      <c r="H406" s="87" t="b">
        <v>0</v>
      </c>
      <c r="I406" s="87" t="b">
        <v>0</v>
      </c>
      <c r="J406" s="87" t="b">
        <v>0</v>
      </c>
      <c r="K406" s="87" t="b">
        <v>0</v>
      </c>
      <c r="L406" s="87" t="b">
        <v>0</v>
      </c>
    </row>
    <row r="407" spans="1:12" ht="15">
      <c r="A407" s="88" t="s">
        <v>1884</v>
      </c>
      <c r="B407" s="87" t="s">
        <v>1472</v>
      </c>
      <c r="C407" s="87">
        <v>2</v>
      </c>
      <c r="D407" s="110">
        <v>0.0011076065771920898</v>
      </c>
      <c r="E407" s="110">
        <v>1.6976316535637566</v>
      </c>
      <c r="F407" s="87" t="s">
        <v>2060</v>
      </c>
      <c r="G407" s="87" t="b">
        <v>0</v>
      </c>
      <c r="H407" s="87" t="b">
        <v>0</v>
      </c>
      <c r="I407" s="87" t="b">
        <v>0</v>
      </c>
      <c r="J407" s="87" t="b">
        <v>0</v>
      </c>
      <c r="K407" s="87" t="b">
        <v>0</v>
      </c>
      <c r="L407" s="87" t="b">
        <v>0</v>
      </c>
    </row>
    <row r="408" spans="1:12" ht="15">
      <c r="A408" s="88" t="s">
        <v>1884</v>
      </c>
      <c r="B408" s="87" t="s">
        <v>1490</v>
      </c>
      <c r="C408" s="87">
        <v>2</v>
      </c>
      <c r="D408" s="110">
        <v>0.0011076065771920898</v>
      </c>
      <c r="E408" s="110">
        <v>1.4313637641589874</v>
      </c>
      <c r="F408" s="87" t="s">
        <v>2060</v>
      </c>
      <c r="G408" s="87" t="b">
        <v>0</v>
      </c>
      <c r="H408" s="87" t="b">
        <v>0</v>
      </c>
      <c r="I408" s="87" t="b">
        <v>0</v>
      </c>
      <c r="J408" s="87" t="b">
        <v>0</v>
      </c>
      <c r="K408" s="87" t="b">
        <v>0</v>
      </c>
      <c r="L408" s="87" t="b">
        <v>0</v>
      </c>
    </row>
    <row r="409" spans="1:12" ht="15">
      <c r="A409" s="88" t="s">
        <v>1939</v>
      </c>
      <c r="B409" s="87" t="s">
        <v>2016</v>
      </c>
      <c r="C409" s="87">
        <v>2</v>
      </c>
      <c r="D409" s="110">
        <v>0.0011076065771920898</v>
      </c>
      <c r="E409" s="110">
        <v>3.03342375548695</v>
      </c>
      <c r="F409" s="87" t="s">
        <v>2060</v>
      </c>
      <c r="G409" s="87" t="b">
        <v>1</v>
      </c>
      <c r="H409" s="87" t="b">
        <v>0</v>
      </c>
      <c r="I409" s="87" t="b">
        <v>0</v>
      </c>
      <c r="J409" s="87" t="b">
        <v>0</v>
      </c>
      <c r="K409" s="87" t="b">
        <v>0</v>
      </c>
      <c r="L409" s="87" t="b">
        <v>0</v>
      </c>
    </row>
    <row r="410" spans="1:12" ht="15">
      <c r="A410" s="88" t="s">
        <v>2016</v>
      </c>
      <c r="B410" s="87" t="s">
        <v>2017</v>
      </c>
      <c r="C410" s="87">
        <v>2</v>
      </c>
      <c r="D410" s="110">
        <v>0.0011076065771920898</v>
      </c>
      <c r="E410" s="110">
        <v>3.209515014542631</v>
      </c>
      <c r="F410" s="87" t="s">
        <v>2060</v>
      </c>
      <c r="G410" s="87" t="b">
        <v>0</v>
      </c>
      <c r="H410" s="87" t="b">
        <v>0</v>
      </c>
      <c r="I410" s="87" t="b">
        <v>0</v>
      </c>
      <c r="J410" s="87" t="b">
        <v>0</v>
      </c>
      <c r="K410" s="87" t="b">
        <v>0</v>
      </c>
      <c r="L410" s="87" t="b">
        <v>0</v>
      </c>
    </row>
    <row r="411" spans="1:12" ht="15">
      <c r="A411" s="88" t="s">
        <v>2017</v>
      </c>
      <c r="B411" s="87" t="s">
        <v>1437</v>
      </c>
      <c r="C411" s="87">
        <v>2</v>
      </c>
      <c r="D411" s="110">
        <v>0.0011076065771920898</v>
      </c>
      <c r="E411" s="110">
        <v>1.1924816752438505</v>
      </c>
      <c r="F411" s="87" t="s">
        <v>2060</v>
      </c>
      <c r="G411" s="87" t="b">
        <v>0</v>
      </c>
      <c r="H411" s="87" t="b">
        <v>0</v>
      </c>
      <c r="I411" s="87" t="b">
        <v>0</v>
      </c>
      <c r="J411" s="87" t="b">
        <v>0</v>
      </c>
      <c r="K411" s="87" t="b">
        <v>0</v>
      </c>
      <c r="L411" s="87" t="b">
        <v>0</v>
      </c>
    </row>
    <row r="412" spans="1:12" ht="15">
      <c r="A412" s="88" t="s">
        <v>1828</v>
      </c>
      <c r="B412" s="87" t="s">
        <v>2019</v>
      </c>
      <c r="C412" s="87">
        <v>2</v>
      </c>
      <c r="D412" s="110">
        <v>0.0011076065771920898</v>
      </c>
      <c r="E412" s="110">
        <v>2.2095150145426308</v>
      </c>
      <c r="F412" s="87" t="s">
        <v>2060</v>
      </c>
      <c r="G412" s="87" t="b">
        <v>0</v>
      </c>
      <c r="H412" s="87" t="b">
        <v>0</v>
      </c>
      <c r="I412" s="87" t="b">
        <v>0</v>
      </c>
      <c r="J412" s="87" t="b">
        <v>0</v>
      </c>
      <c r="K412" s="87" t="b">
        <v>0</v>
      </c>
      <c r="L412" s="87" t="b">
        <v>0</v>
      </c>
    </row>
    <row r="413" spans="1:12" ht="15">
      <c r="A413" s="88" t="s">
        <v>2019</v>
      </c>
      <c r="B413" s="87" t="s">
        <v>2020</v>
      </c>
      <c r="C413" s="87">
        <v>2</v>
      </c>
      <c r="D413" s="110">
        <v>0.0011076065771920898</v>
      </c>
      <c r="E413" s="110">
        <v>3.209515014542631</v>
      </c>
      <c r="F413" s="87" t="s">
        <v>2060</v>
      </c>
      <c r="G413" s="87" t="b">
        <v>0</v>
      </c>
      <c r="H413" s="87" t="b">
        <v>0</v>
      </c>
      <c r="I413" s="87" t="b">
        <v>0</v>
      </c>
      <c r="J413" s="87" t="b">
        <v>0</v>
      </c>
      <c r="K413" s="87" t="b">
        <v>0</v>
      </c>
      <c r="L413" s="87" t="b">
        <v>0</v>
      </c>
    </row>
    <row r="414" spans="1:12" ht="15">
      <c r="A414" s="88" t="s">
        <v>2020</v>
      </c>
      <c r="B414" s="87" t="s">
        <v>2021</v>
      </c>
      <c r="C414" s="87">
        <v>2</v>
      </c>
      <c r="D414" s="110">
        <v>0.0011076065771920898</v>
      </c>
      <c r="E414" s="110">
        <v>3.209515014542631</v>
      </c>
      <c r="F414" s="87" t="s">
        <v>2060</v>
      </c>
      <c r="G414" s="87" t="b">
        <v>0</v>
      </c>
      <c r="H414" s="87" t="b">
        <v>0</v>
      </c>
      <c r="I414" s="87" t="b">
        <v>0</v>
      </c>
      <c r="J414" s="87" t="b">
        <v>0</v>
      </c>
      <c r="K414" s="87" t="b">
        <v>0</v>
      </c>
      <c r="L414" s="87" t="b">
        <v>0</v>
      </c>
    </row>
    <row r="415" spans="1:12" ht="15">
      <c r="A415" s="88" t="s">
        <v>2021</v>
      </c>
      <c r="B415" s="87" t="s">
        <v>2022</v>
      </c>
      <c r="C415" s="87">
        <v>2</v>
      </c>
      <c r="D415" s="110">
        <v>0.0011076065771920898</v>
      </c>
      <c r="E415" s="110">
        <v>3.209515014542631</v>
      </c>
      <c r="F415" s="87" t="s">
        <v>2060</v>
      </c>
      <c r="G415" s="87" t="b">
        <v>0</v>
      </c>
      <c r="H415" s="87" t="b">
        <v>0</v>
      </c>
      <c r="I415" s="87" t="b">
        <v>0</v>
      </c>
      <c r="J415" s="87" t="b">
        <v>0</v>
      </c>
      <c r="K415" s="87" t="b">
        <v>0</v>
      </c>
      <c r="L415" s="87" t="b">
        <v>0</v>
      </c>
    </row>
    <row r="416" spans="1:12" ht="15">
      <c r="A416" s="88" t="s">
        <v>2022</v>
      </c>
      <c r="B416" s="87" t="s">
        <v>1904</v>
      </c>
      <c r="C416" s="87">
        <v>2</v>
      </c>
      <c r="D416" s="110">
        <v>0.0011076065771920898</v>
      </c>
      <c r="E416" s="110">
        <v>2.90848501887865</v>
      </c>
      <c r="F416" s="87" t="s">
        <v>2060</v>
      </c>
      <c r="G416" s="87" t="b">
        <v>0</v>
      </c>
      <c r="H416" s="87" t="b">
        <v>0</v>
      </c>
      <c r="I416" s="87" t="b">
        <v>0</v>
      </c>
      <c r="J416" s="87" t="b">
        <v>0</v>
      </c>
      <c r="K416" s="87" t="b">
        <v>0</v>
      </c>
      <c r="L416" s="87" t="b">
        <v>0</v>
      </c>
    </row>
    <row r="417" spans="1:12" ht="15">
      <c r="A417" s="88" t="s">
        <v>1904</v>
      </c>
      <c r="B417" s="87" t="s">
        <v>1824</v>
      </c>
      <c r="C417" s="87">
        <v>2</v>
      </c>
      <c r="D417" s="110">
        <v>0.0011076065771920898</v>
      </c>
      <c r="E417" s="110">
        <v>1.7781512503836436</v>
      </c>
      <c r="F417" s="87" t="s">
        <v>2060</v>
      </c>
      <c r="G417" s="87" t="b">
        <v>0</v>
      </c>
      <c r="H417" s="87" t="b">
        <v>0</v>
      </c>
      <c r="I417" s="87" t="b">
        <v>0</v>
      </c>
      <c r="J417" s="87" t="b">
        <v>0</v>
      </c>
      <c r="K417" s="87" t="b">
        <v>0</v>
      </c>
      <c r="L417" s="87" t="b">
        <v>0</v>
      </c>
    </row>
    <row r="418" spans="1:12" ht="15">
      <c r="A418" s="88" t="s">
        <v>1824</v>
      </c>
      <c r="B418" s="87" t="s">
        <v>280</v>
      </c>
      <c r="C418" s="87">
        <v>2</v>
      </c>
      <c r="D418" s="110">
        <v>0.0011076065771920898</v>
      </c>
      <c r="E418" s="110">
        <v>2.0791812460476247</v>
      </c>
      <c r="F418" s="87" t="s">
        <v>2060</v>
      </c>
      <c r="G418" s="87" t="b">
        <v>0</v>
      </c>
      <c r="H418" s="87" t="b">
        <v>0</v>
      </c>
      <c r="I418" s="87" t="b">
        <v>0</v>
      </c>
      <c r="J418" s="87" t="b">
        <v>0</v>
      </c>
      <c r="K418" s="87" t="b">
        <v>0</v>
      </c>
      <c r="L418" s="87" t="b">
        <v>0</v>
      </c>
    </row>
    <row r="419" spans="1:12" ht="15">
      <c r="A419" s="88" t="s">
        <v>280</v>
      </c>
      <c r="B419" s="87" t="s">
        <v>1455</v>
      </c>
      <c r="C419" s="87">
        <v>2</v>
      </c>
      <c r="D419" s="110">
        <v>0.0011076065771920898</v>
      </c>
      <c r="E419" s="110">
        <v>1.4067412892506552</v>
      </c>
      <c r="F419" s="87" t="s">
        <v>2060</v>
      </c>
      <c r="G419" s="87" t="b">
        <v>0</v>
      </c>
      <c r="H419" s="87" t="b">
        <v>0</v>
      </c>
      <c r="I419" s="87" t="b">
        <v>0</v>
      </c>
      <c r="J419" s="87" t="b">
        <v>0</v>
      </c>
      <c r="K419" s="87" t="b">
        <v>0</v>
      </c>
      <c r="L419" s="87" t="b">
        <v>0</v>
      </c>
    </row>
    <row r="420" spans="1:12" ht="15">
      <c r="A420" s="88" t="s">
        <v>1458</v>
      </c>
      <c r="B420" s="87" t="s">
        <v>1453</v>
      </c>
      <c r="C420" s="87">
        <v>2</v>
      </c>
      <c r="D420" s="110">
        <v>0.0011076065771920898</v>
      </c>
      <c r="E420" s="110">
        <v>0.8430920573166583</v>
      </c>
      <c r="F420" s="87" t="s">
        <v>2060</v>
      </c>
      <c r="G420" s="87" t="b">
        <v>0</v>
      </c>
      <c r="H420" s="87" t="b">
        <v>0</v>
      </c>
      <c r="I420" s="87" t="b">
        <v>0</v>
      </c>
      <c r="J420" s="87" t="b">
        <v>0</v>
      </c>
      <c r="K420" s="87" t="b">
        <v>0</v>
      </c>
      <c r="L420" s="87" t="b">
        <v>0</v>
      </c>
    </row>
    <row r="421" spans="1:12" ht="15">
      <c r="A421" s="88" t="s">
        <v>1456</v>
      </c>
      <c r="B421" s="87" t="s">
        <v>2023</v>
      </c>
      <c r="C421" s="87">
        <v>2</v>
      </c>
      <c r="D421" s="110">
        <v>0.0011076065771920898</v>
      </c>
      <c r="E421" s="110">
        <v>1.4613269875364305</v>
      </c>
      <c r="F421" s="87" t="s">
        <v>2060</v>
      </c>
      <c r="G421" s="87" t="b">
        <v>0</v>
      </c>
      <c r="H421" s="87" t="b">
        <v>0</v>
      </c>
      <c r="I421" s="87" t="b">
        <v>0</v>
      </c>
      <c r="J421" s="87" t="b">
        <v>0</v>
      </c>
      <c r="K421" s="87" t="b">
        <v>0</v>
      </c>
      <c r="L421" s="87" t="b">
        <v>0</v>
      </c>
    </row>
    <row r="422" spans="1:12" ht="15">
      <c r="A422" s="88" t="s">
        <v>2023</v>
      </c>
      <c r="B422" s="87" t="s">
        <v>1891</v>
      </c>
      <c r="C422" s="87">
        <v>2</v>
      </c>
      <c r="D422" s="110">
        <v>0.0011076065771920898</v>
      </c>
      <c r="E422" s="110">
        <v>2.90848501887865</v>
      </c>
      <c r="F422" s="87" t="s">
        <v>2060</v>
      </c>
      <c r="G422" s="87" t="b">
        <v>0</v>
      </c>
      <c r="H422" s="87" t="b">
        <v>0</v>
      </c>
      <c r="I422" s="87" t="b">
        <v>0</v>
      </c>
      <c r="J422" s="87" t="b">
        <v>0</v>
      </c>
      <c r="K422" s="87" t="b">
        <v>0</v>
      </c>
      <c r="L422" s="87" t="b">
        <v>0</v>
      </c>
    </row>
    <row r="423" spans="1:12" ht="15">
      <c r="A423" s="88" t="s">
        <v>1891</v>
      </c>
      <c r="B423" s="87" t="s">
        <v>2024</v>
      </c>
      <c r="C423" s="87">
        <v>2</v>
      </c>
      <c r="D423" s="110">
        <v>0.0011076065771920898</v>
      </c>
      <c r="E423" s="110">
        <v>2.90848501887865</v>
      </c>
      <c r="F423" s="87" t="s">
        <v>2060</v>
      </c>
      <c r="G423" s="87" t="b">
        <v>0</v>
      </c>
      <c r="H423" s="87" t="b">
        <v>0</v>
      </c>
      <c r="I423" s="87" t="b">
        <v>0</v>
      </c>
      <c r="J423" s="87" t="b">
        <v>0</v>
      </c>
      <c r="K423" s="87" t="b">
        <v>0</v>
      </c>
      <c r="L423" s="87" t="b">
        <v>0</v>
      </c>
    </row>
    <row r="424" spans="1:12" ht="15">
      <c r="A424" s="88" t="s">
        <v>2024</v>
      </c>
      <c r="B424" s="87" t="s">
        <v>2025</v>
      </c>
      <c r="C424" s="87">
        <v>2</v>
      </c>
      <c r="D424" s="110">
        <v>0.0011076065771920898</v>
      </c>
      <c r="E424" s="110">
        <v>3.209515014542631</v>
      </c>
      <c r="F424" s="87" t="s">
        <v>2060</v>
      </c>
      <c r="G424" s="87" t="b">
        <v>0</v>
      </c>
      <c r="H424" s="87" t="b">
        <v>0</v>
      </c>
      <c r="I424" s="87" t="b">
        <v>0</v>
      </c>
      <c r="J424" s="87" t="b">
        <v>0</v>
      </c>
      <c r="K424" s="87" t="b">
        <v>0</v>
      </c>
      <c r="L424" s="87" t="b">
        <v>0</v>
      </c>
    </row>
    <row r="425" spans="1:12" ht="15">
      <c r="A425" s="88" t="s">
        <v>2025</v>
      </c>
      <c r="B425" s="87" t="s">
        <v>1522</v>
      </c>
      <c r="C425" s="87">
        <v>2</v>
      </c>
      <c r="D425" s="110">
        <v>0.0011076065771920898</v>
      </c>
      <c r="E425" s="110">
        <v>2.469152325048387</v>
      </c>
      <c r="F425" s="87" t="s">
        <v>2060</v>
      </c>
      <c r="G425" s="87" t="b">
        <v>0</v>
      </c>
      <c r="H425" s="87" t="b">
        <v>0</v>
      </c>
      <c r="I425" s="87" t="b">
        <v>0</v>
      </c>
      <c r="J425" s="87" t="b">
        <v>1</v>
      </c>
      <c r="K425" s="87" t="b">
        <v>0</v>
      </c>
      <c r="L425" s="87" t="b">
        <v>0</v>
      </c>
    </row>
    <row r="426" spans="1:12" ht="15">
      <c r="A426" s="88" t="s">
        <v>1523</v>
      </c>
      <c r="B426" s="87" t="s">
        <v>1513</v>
      </c>
      <c r="C426" s="87">
        <v>2</v>
      </c>
      <c r="D426" s="110">
        <v>0.0011076065771920898</v>
      </c>
      <c r="E426" s="110">
        <v>1.119609903103233</v>
      </c>
      <c r="F426" s="87" t="s">
        <v>2060</v>
      </c>
      <c r="G426" s="87" t="b">
        <v>0</v>
      </c>
      <c r="H426" s="87" t="b">
        <v>0</v>
      </c>
      <c r="I426" s="87" t="b">
        <v>0</v>
      </c>
      <c r="J426" s="87" t="b">
        <v>0</v>
      </c>
      <c r="K426" s="87" t="b">
        <v>0</v>
      </c>
      <c r="L426" s="87" t="b">
        <v>0</v>
      </c>
    </row>
    <row r="427" spans="1:12" ht="15">
      <c r="A427" s="88" t="s">
        <v>1823</v>
      </c>
      <c r="B427" s="87" t="s">
        <v>1830</v>
      </c>
      <c r="C427" s="87">
        <v>2</v>
      </c>
      <c r="D427" s="110">
        <v>0.0011076065771920898</v>
      </c>
      <c r="E427" s="110">
        <v>1.2030489722933992</v>
      </c>
      <c r="F427" s="87" t="s">
        <v>2060</v>
      </c>
      <c r="G427" s="87" t="b">
        <v>0</v>
      </c>
      <c r="H427" s="87" t="b">
        <v>0</v>
      </c>
      <c r="I427" s="87" t="b">
        <v>0</v>
      </c>
      <c r="J427" s="87" t="b">
        <v>0</v>
      </c>
      <c r="K427" s="87" t="b">
        <v>0</v>
      </c>
      <c r="L427" s="87" t="b">
        <v>0</v>
      </c>
    </row>
    <row r="428" spans="1:12" ht="15">
      <c r="A428" s="88" t="s">
        <v>1437</v>
      </c>
      <c r="B428" s="87" t="s">
        <v>1819</v>
      </c>
      <c r="C428" s="87">
        <v>2</v>
      </c>
      <c r="D428" s="110">
        <v>0.0011076065771920898</v>
      </c>
      <c r="E428" s="110">
        <v>-0.17858618702788567</v>
      </c>
      <c r="F428" s="87" t="s">
        <v>2060</v>
      </c>
      <c r="G428" s="87" t="b">
        <v>0</v>
      </c>
      <c r="H428" s="87" t="b">
        <v>0</v>
      </c>
      <c r="I428" s="87" t="b">
        <v>0</v>
      </c>
      <c r="J428" s="87" t="b">
        <v>0</v>
      </c>
      <c r="K428" s="87" t="b">
        <v>0</v>
      </c>
      <c r="L428" s="87" t="b">
        <v>0</v>
      </c>
    </row>
    <row r="429" spans="1:12" ht="15">
      <c r="A429" s="88" t="s">
        <v>1819</v>
      </c>
      <c r="B429" s="87" t="s">
        <v>1890</v>
      </c>
      <c r="C429" s="87">
        <v>2</v>
      </c>
      <c r="D429" s="110">
        <v>0.0011076065771920898</v>
      </c>
      <c r="E429" s="110">
        <v>1.8384471522708947</v>
      </c>
      <c r="F429" s="87" t="s">
        <v>2060</v>
      </c>
      <c r="G429" s="87" t="b">
        <v>0</v>
      </c>
      <c r="H429" s="87" t="b">
        <v>0</v>
      </c>
      <c r="I429" s="87" t="b">
        <v>0</v>
      </c>
      <c r="J429" s="87" t="b">
        <v>0</v>
      </c>
      <c r="K429" s="87" t="b">
        <v>0</v>
      </c>
      <c r="L429" s="87" t="b">
        <v>0</v>
      </c>
    </row>
    <row r="430" spans="1:12" ht="15">
      <c r="A430" s="88" t="s">
        <v>1890</v>
      </c>
      <c r="B430" s="87" t="s">
        <v>1490</v>
      </c>
      <c r="C430" s="87">
        <v>2</v>
      </c>
      <c r="D430" s="110">
        <v>0.0011076065771920898</v>
      </c>
      <c r="E430" s="110">
        <v>1.5282737771670438</v>
      </c>
      <c r="F430" s="87" t="s">
        <v>2060</v>
      </c>
      <c r="G430" s="87" t="b">
        <v>0</v>
      </c>
      <c r="H430" s="87" t="b">
        <v>0</v>
      </c>
      <c r="I430" s="87" t="b">
        <v>0</v>
      </c>
      <c r="J430" s="87" t="b">
        <v>0</v>
      </c>
      <c r="K430" s="87" t="b">
        <v>0</v>
      </c>
      <c r="L430" s="87" t="b">
        <v>0</v>
      </c>
    </row>
    <row r="431" spans="1:12" ht="15">
      <c r="A431" s="88" t="s">
        <v>1490</v>
      </c>
      <c r="B431" s="87" t="s">
        <v>244</v>
      </c>
      <c r="C431" s="87">
        <v>2</v>
      </c>
      <c r="D431" s="110">
        <v>0.0011076065771920898</v>
      </c>
      <c r="E431" s="110">
        <v>1.8293037728310249</v>
      </c>
      <c r="F431" s="87" t="s">
        <v>2060</v>
      </c>
      <c r="G431" s="87" t="b">
        <v>0</v>
      </c>
      <c r="H431" s="87" t="b">
        <v>0</v>
      </c>
      <c r="I431" s="87" t="b">
        <v>0</v>
      </c>
      <c r="J431" s="87" t="b">
        <v>0</v>
      </c>
      <c r="K431" s="87" t="b">
        <v>0</v>
      </c>
      <c r="L431" s="87" t="b">
        <v>0</v>
      </c>
    </row>
    <row r="432" spans="1:12" ht="15">
      <c r="A432" s="88" t="s">
        <v>244</v>
      </c>
      <c r="B432" s="87" t="s">
        <v>1479</v>
      </c>
      <c r="C432" s="87">
        <v>2</v>
      </c>
      <c r="D432" s="110">
        <v>0.0011076065771920898</v>
      </c>
      <c r="E432" s="110">
        <v>2.5563025007672873</v>
      </c>
      <c r="F432" s="87" t="s">
        <v>2060</v>
      </c>
      <c r="G432" s="87" t="b">
        <v>0</v>
      </c>
      <c r="H432" s="87" t="b">
        <v>0</v>
      </c>
      <c r="I432" s="87" t="b">
        <v>0</v>
      </c>
      <c r="J432" s="87" t="b">
        <v>0</v>
      </c>
      <c r="K432" s="87" t="b">
        <v>0</v>
      </c>
      <c r="L432" s="87" t="b">
        <v>0</v>
      </c>
    </row>
    <row r="433" spans="1:12" ht="15">
      <c r="A433" s="88" t="s">
        <v>1479</v>
      </c>
      <c r="B433" s="87" t="s">
        <v>1467</v>
      </c>
      <c r="C433" s="87">
        <v>2</v>
      </c>
      <c r="D433" s="110">
        <v>0.0011076065771920898</v>
      </c>
      <c r="E433" s="110">
        <v>1.5563025007672873</v>
      </c>
      <c r="F433" s="87" t="s">
        <v>2060</v>
      </c>
      <c r="G433" s="87" t="b">
        <v>0</v>
      </c>
      <c r="H433" s="87" t="b">
        <v>0</v>
      </c>
      <c r="I433" s="87" t="b">
        <v>0</v>
      </c>
      <c r="J433" s="87" t="b">
        <v>0</v>
      </c>
      <c r="K433" s="87" t="b">
        <v>0</v>
      </c>
      <c r="L433" s="87" t="b">
        <v>0</v>
      </c>
    </row>
    <row r="434" spans="1:12" ht="15">
      <c r="A434" s="88" t="s">
        <v>1467</v>
      </c>
      <c r="B434" s="87" t="s">
        <v>278</v>
      </c>
      <c r="C434" s="87">
        <v>2</v>
      </c>
      <c r="D434" s="110">
        <v>0.0011076065771920898</v>
      </c>
      <c r="E434" s="110">
        <v>2.2095150145426308</v>
      </c>
      <c r="F434" s="87" t="s">
        <v>2060</v>
      </c>
      <c r="G434" s="87" t="b">
        <v>0</v>
      </c>
      <c r="H434" s="87" t="b">
        <v>0</v>
      </c>
      <c r="I434" s="87" t="b">
        <v>0</v>
      </c>
      <c r="J434" s="87" t="b">
        <v>0</v>
      </c>
      <c r="K434" s="87" t="b">
        <v>0</v>
      </c>
      <c r="L434" s="87" t="b">
        <v>0</v>
      </c>
    </row>
    <row r="435" spans="1:12" ht="15">
      <c r="A435" s="88" t="s">
        <v>278</v>
      </c>
      <c r="B435" s="87" t="s">
        <v>1824</v>
      </c>
      <c r="C435" s="87">
        <v>2</v>
      </c>
      <c r="D435" s="110">
        <v>0.0011076065771920898</v>
      </c>
      <c r="E435" s="110">
        <v>2.0791812460476247</v>
      </c>
      <c r="F435" s="87" t="s">
        <v>2060</v>
      </c>
      <c r="G435" s="87" t="b">
        <v>0</v>
      </c>
      <c r="H435" s="87" t="b">
        <v>0</v>
      </c>
      <c r="I435" s="87" t="b">
        <v>0</v>
      </c>
      <c r="J435" s="87" t="b">
        <v>0</v>
      </c>
      <c r="K435" s="87" t="b">
        <v>0</v>
      </c>
      <c r="L435" s="87" t="b">
        <v>0</v>
      </c>
    </row>
    <row r="436" spans="1:12" ht="15">
      <c r="A436" s="88" t="s">
        <v>1824</v>
      </c>
      <c r="B436" s="87" t="s">
        <v>2026</v>
      </c>
      <c r="C436" s="87">
        <v>2</v>
      </c>
      <c r="D436" s="110">
        <v>0.0011076065771920898</v>
      </c>
      <c r="E436" s="110">
        <v>2.0791812460476247</v>
      </c>
      <c r="F436" s="87" t="s">
        <v>2060</v>
      </c>
      <c r="G436" s="87" t="b">
        <v>0</v>
      </c>
      <c r="H436" s="87" t="b">
        <v>0</v>
      </c>
      <c r="I436" s="87" t="b">
        <v>0</v>
      </c>
      <c r="J436" s="87" t="b">
        <v>0</v>
      </c>
      <c r="K436" s="87" t="b">
        <v>0</v>
      </c>
      <c r="L436" s="87" t="b">
        <v>0</v>
      </c>
    </row>
    <row r="437" spans="1:12" ht="15">
      <c r="A437" s="88" t="s">
        <v>2026</v>
      </c>
      <c r="B437" s="87" t="s">
        <v>1820</v>
      </c>
      <c r="C437" s="87">
        <v>2</v>
      </c>
      <c r="D437" s="110">
        <v>0.0011076065771920898</v>
      </c>
      <c r="E437" s="110">
        <v>1.8477871785250382</v>
      </c>
      <c r="F437" s="87" t="s">
        <v>2060</v>
      </c>
      <c r="G437" s="87" t="b">
        <v>0</v>
      </c>
      <c r="H437" s="87" t="b">
        <v>0</v>
      </c>
      <c r="I437" s="87" t="b">
        <v>0</v>
      </c>
      <c r="J437" s="87" t="b">
        <v>0</v>
      </c>
      <c r="K437" s="87" t="b">
        <v>0</v>
      </c>
      <c r="L437" s="87" t="b">
        <v>0</v>
      </c>
    </row>
    <row r="438" spans="1:12" ht="15">
      <c r="A438" s="88" t="s">
        <v>1459</v>
      </c>
      <c r="B438" s="87" t="s">
        <v>1455</v>
      </c>
      <c r="C438" s="87">
        <v>2</v>
      </c>
      <c r="D438" s="110">
        <v>0.0011076065771920898</v>
      </c>
      <c r="E438" s="110">
        <v>-0.07755855009613068</v>
      </c>
      <c r="F438" s="87" t="s">
        <v>2060</v>
      </c>
      <c r="G438" s="87" t="b">
        <v>0</v>
      </c>
      <c r="H438" s="87" t="b">
        <v>0</v>
      </c>
      <c r="I438" s="87" t="b">
        <v>0</v>
      </c>
      <c r="J438" s="87" t="b">
        <v>0</v>
      </c>
      <c r="K438" s="87" t="b">
        <v>0</v>
      </c>
      <c r="L438" s="87" t="b">
        <v>0</v>
      </c>
    </row>
    <row r="439" spans="1:12" ht="15">
      <c r="A439" s="88" t="s">
        <v>1453</v>
      </c>
      <c r="B439" s="87" t="s">
        <v>2027</v>
      </c>
      <c r="C439" s="87">
        <v>2</v>
      </c>
      <c r="D439" s="110">
        <v>0.0011076065771920898</v>
      </c>
      <c r="E439" s="110">
        <v>1.3491770079716372</v>
      </c>
      <c r="F439" s="87" t="s">
        <v>2060</v>
      </c>
      <c r="G439" s="87" t="b">
        <v>0</v>
      </c>
      <c r="H439" s="87" t="b">
        <v>0</v>
      </c>
      <c r="I439" s="87" t="b">
        <v>0</v>
      </c>
      <c r="J439" s="87" t="b">
        <v>0</v>
      </c>
      <c r="K439" s="87" t="b">
        <v>0</v>
      </c>
      <c r="L439" s="87" t="b">
        <v>0</v>
      </c>
    </row>
    <row r="440" spans="1:12" ht="15">
      <c r="A440" s="88" t="s">
        <v>2027</v>
      </c>
      <c r="B440" s="87" t="s">
        <v>1469</v>
      </c>
      <c r="C440" s="87">
        <v>2</v>
      </c>
      <c r="D440" s="110">
        <v>0.0011076065771920898</v>
      </c>
      <c r="E440" s="110">
        <v>1.8977611534868766</v>
      </c>
      <c r="F440" s="87" t="s">
        <v>2060</v>
      </c>
      <c r="G440" s="87" t="b">
        <v>0</v>
      </c>
      <c r="H440" s="87" t="b">
        <v>0</v>
      </c>
      <c r="I440" s="87" t="b">
        <v>0</v>
      </c>
      <c r="J440" s="87" t="b">
        <v>0</v>
      </c>
      <c r="K440" s="87" t="b">
        <v>0</v>
      </c>
      <c r="L440" s="87" t="b">
        <v>0</v>
      </c>
    </row>
    <row r="441" spans="1:12" ht="15">
      <c r="A441" s="88" t="s">
        <v>1863</v>
      </c>
      <c r="B441" s="87" t="s">
        <v>1940</v>
      </c>
      <c r="C441" s="87">
        <v>2</v>
      </c>
      <c r="D441" s="110">
        <v>0.0011076065771920898</v>
      </c>
      <c r="E441" s="110">
        <v>2.5563025007672873</v>
      </c>
      <c r="F441" s="87" t="s">
        <v>2060</v>
      </c>
      <c r="G441" s="87" t="b">
        <v>0</v>
      </c>
      <c r="H441" s="87" t="b">
        <v>0</v>
      </c>
      <c r="I441" s="87" t="b">
        <v>0</v>
      </c>
      <c r="J441" s="87" t="b">
        <v>0</v>
      </c>
      <c r="K441" s="87" t="b">
        <v>1</v>
      </c>
      <c r="L441" s="87" t="b">
        <v>0</v>
      </c>
    </row>
    <row r="442" spans="1:12" ht="15">
      <c r="A442" s="88" t="s">
        <v>1940</v>
      </c>
      <c r="B442" s="87" t="s">
        <v>1456</v>
      </c>
      <c r="C442" s="87">
        <v>2</v>
      </c>
      <c r="D442" s="110">
        <v>0.0011076065771920898</v>
      </c>
      <c r="E442" s="110">
        <v>1.3949344985323122</v>
      </c>
      <c r="F442" s="87" t="s">
        <v>2060</v>
      </c>
      <c r="G442" s="87" t="b">
        <v>0</v>
      </c>
      <c r="H442" s="87" t="b">
        <v>1</v>
      </c>
      <c r="I442" s="87" t="b">
        <v>0</v>
      </c>
      <c r="J442" s="87" t="b">
        <v>0</v>
      </c>
      <c r="K442" s="87" t="b">
        <v>0</v>
      </c>
      <c r="L442" s="87" t="b">
        <v>0</v>
      </c>
    </row>
    <row r="443" spans="1:12" ht="15">
      <c r="A443" s="88" t="s">
        <v>1828</v>
      </c>
      <c r="B443" s="87" t="s">
        <v>2028</v>
      </c>
      <c r="C443" s="87">
        <v>2</v>
      </c>
      <c r="D443" s="110">
        <v>0.0011076065771920898</v>
      </c>
      <c r="E443" s="110">
        <v>2.2095150145426308</v>
      </c>
      <c r="F443" s="87" t="s">
        <v>2060</v>
      </c>
      <c r="G443" s="87" t="b">
        <v>0</v>
      </c>
      <c r="H443" s="87" t="b">
        <v>0</v>
      </c>
      <c r="I443" s="87" t="b">
        <v>0</v>
      </c>
      <c r="J443" s="87" t="b">
        <v>0</v>
      </c>
      <c r="K443" s="87" t="b">
        <v>0</v>
      </c>
      <c r="L443" s="87" t="b">
        <v>0</v>
      </c>
    </row>
    <row r="444" spans="1:12" ht="15">
      <c r="A444" s="88" t="s">
        <v>2028</v>
      </c>
      <c r="B444" s="87" t="s">
        <v>2029</v>
      </c>
      <c r="C444" s="87">
        <v>2</v>
      </c>
      <c r="D444" s="110">
        <v>0.0011076065771920898</v>
      </c>
      <c r="E444" s="110">
        <v>3.209515014542631</v>
      </c>
      <c r="F444" s="87" t="s">
        <v>2060</v>
      </c>
      <c r="G444" s="87" t="b">
        <v>0</v>
      </c>
      <c r="H444" s="87" t="b">
        <v>0</v>
      </c>
      <c r="I444" s="87" t="b">
        <v>0</v>
      </c>
      <c r="J444" s="87" t="b">
        <v>0</v>
      </c>
      <c r="K444" s="87" t="b">
        <v>0</v>
      </c>
      <c r="L444" s="87" t="b">
        <v>0</v>
      </c>
    </row>
    <row r="445" spans="1:12" ht="15">
      <c r="A445" s="88" t="s">
        <v>2029</v>
      </c>
      <c r="B445" s="87" t="s">
        <v>276</v>
      </c>
      <c r="C445" s="87">
        <v>2</v>
      </c>
      <c r="D445" s="110">
        <v>0.0011076065771920898</v>
      </c>
      <c r="E445" s="110">
        <v>3.209515014542631</v>
      </c>
      <c r="F445" s="87" t="s">
        <v>2060</v>
      </c>
      <c r="G445" s="87" t="b">
        <v>0</v>
      </c>
      <c r="H445" s="87" t="b">
        <v>0</v>
      </c>
      <c r="I445" s="87" t="b">
        <v>0</v>
      </c>
      <c r="J445" s="87" t="b">
        <v>0</v>
      </c>
      <c r="K445" s="87" t="b">
        <v>0</v>
      </c>
      <c r="L445" s="87" t="b">
        <v>0</v>
      </c>
    </row>
    <row r="446" spans="1:12" ht="15">
      <c r="A446" s="88" t="s">
        <v>276</v>
      </c>
      <c r="B446" s="87" t="s">
        <v>1475</v>
      </c>
      <c r="C446" s="87">
        <v>2</v>
      </c>
      <c r="D446" s="110">
        <v>0.0011076065771920898</v>
      </c>
      <c r="E446" s="110">
        <v>2.255272505103306</v>
      </c>
      <c r="F446" s="87" t="s">
        <v>2060</v>
      </c>
      <c r="G446" s="87" t="b">
        <v>0</v>
      </c>
      <c r="H446" s="87" t="b">
        <v>0</v>
      </c>
      <c r="I446" s="87" t="b">
        <v>0</v>
      </c>
      <c r="J446" s="87" t="b">
        <v>0</v>
      </c>
      <c r="K446" s="87" t="b">
        <v>0</v>
      </c>
      <c r="L446" s="87" t="b">
        <v>0</v>
      </c>
    </row>
    <row r="447" spans="1:12" ht="15">
      <c r="A447" s="88" t="s">
        <v>1475</v>
      </c>
      <c r="B447" s="87" t="s">
        <v>316</v>
      </c>
      <c r="C447" s="87">
        <v>2</v>
      </c>
      <c r="D447" s="110">
        <v>0.0011076065771920898</v>
      </c>
      <c r="E447" s="110">
        <v>2.255272505103306</v>
      </c>
      <c r="F447" s="87" t="s">
        <v>2060</v>
      </c>
      <c r="G447" s="87" t="b">
        <v>0</v>
      </c>
      <c r="H447" s="87" t="b">
        <v>0</v>
      </c>
      <c r="I447" s="87" t="b">
        <v>0</v>
      </c>
      <c r="J447" s="87" t="b">
        <v>0</v>
      </c>
      <c r="K447" s="87" t="b">
        <v>0</v>
      </c>
      <c r="L447" s="87" t="b">
        <v>0</v>
      </c>
    </row>
    <row r="448" spans="1:12" ht="15">
      <c r="A448" s="88" t="s">
        <v>316</v>
      </c>
      <c r="B448" s="87" t="s">
        <v>2030</v>
      </c>
      <c r="C448" s="87">
        <v>2</v>
      </c>
      <c r="D448" s="110">
        <v>0.0011076065771920898</v>
      </c>
      <c r="E448" s="110">
        <v>3.209515014542631</v>
      </c>
      <c r="F448" s="87" t="s">
        <v>2060</v>
      </c>
      <c r="G448" s="87" t="b">
        <v>0</v>
      </c>
      <c r="H448" s="87" t="b">
        <v>0</v>
      </c>
      <c r="I448" s="87" t="b">
        <v>0</v>
      </c>
      <c r="J448" s="87" t="b">
        <v>0</v>
      </c>
      <c r="K448" s="87" t="b">
        <v>0</v>
      </c>
      <c r="L448" s="87" t="b">
        <v>0</v>
      </c>
    </row>
    <row r="449" spans="1:12" ht="15">
      <c r="A449" s="88" t="s">
        <v>2030</v>
      </c>
      <c r="B449" s="87" t="s">
        <v>2031</v>
      </c>
      <c r="C449" s="87">
        <v>2</v>
      </c>
      <c r="D449" s="110">
        <v>0.0011076065771920898</v>
      </c>
      <c r="E449" s="110">
        <v>3.209515014542631</v>
      </c>
      <c r="F449" s="87" t="s">
        <v>2060</v>
      </c>
      <c r="G449" s="87" t="b">
        <v>0</v>
      </c>
      <c r="H449" s="87" t="b">
        <v>0</v>
      </c>
      <c r="I449" s="87" t="b">
        <v>0</v>
      </c>
      <c r="J449" s="87" t="b">
        <v>0</v>
      </c>
      <c r="K449" s="87" t="b">
        <v>0</v>
      </c>
      <c r="L449" s="87" t="b">
        <v>0</v>
      </c>
    </row>
    <row r="450" spans="1:12" ht="15">
      <c r="A450" s="88" t="s">
        <v>2031</v>
      </c>
      <c r="B450" s="87" t="s">
        <v>1831</v>
      </c>
      <c r="C450" s="87">
        <v>2</v>
      </c>
      <c r="D450" s="110">
        <v>0.0011076065771920898</v>
      </c>
      <c r="E450" s="110">
        <v>2.3966016578997755</v>
      </c>
      <c r="F450" s="87" t="s">
        <v>2060</v>
      </c>
      <c r="G450" s="87" t="b">
        <v>0</v>
      </c>
      <c r="H450" s="87" t="b">
        <v>0</v>
      </c>
      <c r="I450" s="87" t="b">
        <v>0</v>
      </c>
      <c r="J450" s="87" t="b">
        <v>0</v>
      </c>
      <c r="K450" s="87" t="b">
        <v>0</v>
      </c>
      <c r="L450" s="87" t="b">
        <v>0</v>
      </c>
    </row>
    <row r="451" spans="1:12" ht="15">
      <c r="A451" s="88" t="s">
        <v>1437</v>
      </c>
      <c r="B451" s="87" t="s">
        <v>1513</v>
      </c>
      <c r="C451" s="87">
        <v>2</v>
      </c>
      <c r="D451" s="110">
        <v>0.0011076065771920898</v>
      </c>
      <c r="E451" s="110">
        <v>-0.11927218581190377</v>
      </c>
      <c r="F451" s="87" t="s">
        <v>2060</v>
      </c>
      <c r="G451" s="87" t="b">
        <v>0</v>
      </c>
      <c r="H451" s="87" t="b">
        <v>0</v>
      </c>
      <c r="I451" s="87" t="b">
        <v>0</v>
      </c>
      <c r="J451" s="87" t="b">
        <v>0</v>
      </c>
      <c r="K451" s="87" t="b">
        <v>0</v>
      </c>
      <c r="L451" s="87" t="b">
        <v>0</v>
      </c>
    </row>
    <row r="452" spans="1:12" ht="15">
      <c r="A452" s="88" t="s">
        <v>1513</v>
      </c>
      <c r="B452" s="87" t="s">
        <v>1941</v>
      </c>
      <c r="C452" s="87">
        <v>2</v>
      </c>
      <c r="D452" s="110">
        <v>0.0011076065771920898</v>
      </c>
      <c r="E452" s="110">
        <v>1.7216698944311954</v>
      </c>
      <c r="F452" s="87" t="s">
        <v>2060</v>
      </c>
      <c r="G452" s="87" t="b">
        <v>0</v>
      </c>
      <c r="H452" s="87" t="b">
        <v>0</v>
      </c>
      <c r="I452" s="87" t="b">
        <v>0</v>
      </c>
      <c r="J452" s="87" t="b">
        <v>0</v>
      </c>
      <c r="K452" s="87" t="b">
        <v>0</v>
      </c>
      <c r="L452" s="87" t="b">
        <v>0</v>
      </c>
    </row>
    <row r="453" spans="1:12" ht="15">
      <c r="A453" s="88" t="s">
        <v>1942</v>
      </c>
      <c r="B453" s="87" t="s">
        <v>1459</v>
      </c>
      <c r="C453" s="87">
        <v>2</v>
      </c>
      <c r="D453" s="110">
        <v>0.0011076065771920898</v>
      </c>
      <c r="E453" s="110">
        <v>1.5491239161401638</v>
      </c>
      <c r="F453" s="87" t="s">
        <v>2060</v>
      </c>
      <c r="G453" s="87" t="b">
        <v>0</v>
      </c>
      <c r="H453" s="87" t="b">
        <v>0</v>
      </c>
      <c r="I453" s="87" t="b">
        <v>0</v>
      </c>
      <c r="J453" s="87" t="b">
        <v>0</v>
      </c>
      <c r="K453" s="87" t="b">
        <v>0</v>
      </c>
      <c r="L453" s="87" t="b">
        <v>0</v>
      </c>
    </row>
    <row r="454" spans="1:12" ht="15">
      <c r="A454" s="88" t="s">
        <v>1509</v>
      </c>
      <c r="B454" s="87" t="s">
        <v>1510</v>
      </c>
      <c r="C454" s="87">
        <v>2</v>
      </c>
      <c r="D454" s="110">
        <v>0.0011076065771920898</v>
      </c>
      <c r="E454" s="110">
        <v>3.209515014542631</v>
      </c>
      <c r="F454" s="87" t="s">
        <v>2060</v>
      </c>
      <c r="G454" s="87" t="b">
        <v>1</v>
      </c>
      <c r="H454" s="87" t="b">
        <v>0</v>
      </c>
      <c r="I454" s="87" t="b">
        <v>0</v>
      </c>
      <c r="J454" s="87" t="b">
        <v>0</v>
      </c>
      <c r="K454" s="87" t="b">
        <v>0</v>
      </c>
      <c r="L454" s="87" t="b">
        <v>0</v>
      </c>
    </row>
    <row r="455" spans="1:12" ht="15">
      <c r="A455" s="88" t="s">
        <v>1510</v>
      </c>
      <c r="B455" s="87" t="s">
        <v>1511</v>
      </c>
      <c r="C455" s="87">
        <v>2</v>
      </c>
      <c r="D455" s="110">
        <v>0.0011076065771920898</v>
      </c>
      <c r="E455" s="110">
        <v>3.209515014542631</v>
      </c>
      <c r="F455" s="87" t="s">
        <v>2060</v>
      </c>
      <c r="G455" s="87" t="b">
        <v>0</v>
      </c>
      <c r="H455" s="87" t="b">
        <v>0</v>
      </c>
      <c r="I455" s="87" t="b">
        <v>0</v>
      </c>
      <c r="J455" s="87" t="b">
        <v>0</v>
      </c>
      <c r="K455" s="87" t="b">
        <v>0</v>
      </c>
      <c r="L455" s="87" t="b">
        <v>0</v>
      </c>
    </row>
    <row r="456" spans="1:12" ht="15">
      <c r="A456" s="88" t="s">
        <v>1511</v>
      </c>
      <c r="B456" s="87" t="s">
        <v>1512</v>
      </c>
      <c r="C456" s="87">
        <v>2</v>
      </c>
      <c r="D456" s="110">
        <v>0.0011076065771920898</v>
      </c>
      <c r="E456" s="110">
        <v>3.209515014542631</v>
      </c>
      <c r="F456" s="87" t="s">
        <v>2060</v>
      </c>
      <c r="G456" s="87" t="b">
        <v>0</v>
      </c>
      <c r="H456" s="87" t="b">
        <v>0</v>
      </c>
      <c r="I456" s="87" t="b">
        <v>0</v>
      </c>
      <c r="J456" s="87" t="b">
        <v>0</v>
      </c>
      <c r="K456" s="87" t="b">
        <v>0</v>
      </c>
      <c r="L456" s="87" t="b">
        <v>0</v>
      </c>
    </row>
    <row r="457" spans="1:12" ht="15">
      <c r="A457" s="88" t="s">
        <v>1512</v>
      </c>
      <c r="B457" s="87" t="s">
        <v>1513</v>
      </c>
      <c r="C457" s="87">
        <v>2</v>
      </c>
      <c r="D457" s="110">
        <v>0.0011076065771920898</v>
      </c>
      <c r="E457" s="110">
        <v>1.8977611534868766</v>
      </c>
      <c r="F457" s="87" t="s">
        <v>2060</v>
      </c>
      <c r="G457" s="87" t="b">
        <v>0</v>
      </c>
      <c r="H457" s="87" t="b">
        <v>0</v>
      </c>
      <c r="I457" s="87" t="b">
        <v>0</v>
      </c>
      <c r="J457" s="87" t="b">
        <v>0</v>
      </c>
      <c r="K457" s="87" t="b">
        <v>0</v>
      </c>
      <c r="L457" s="87" t="b">
        <v>0</v>
      </c>
    </row>
    <row r="458" spans="1:12" ht="15">
      <c r="A458" s="88" t="s">
        <v>1819</v>
      </c>
      <c r="B458" s="87" t="s">
        <v>1821</v>
      </c>
      <c r="C458" s="87">
        <v>2</v>
      </c>
      <c r="D458" s="110">
        <v>0.0011076065771920898</v>
      </c>
      <c r="E458" s="110">
        <v>0.4960244714486884</v>
      </c>
      <c r="F458" s="87" t="s">
        <v>2060</v>
      </c>
      <c r="G458" s="87" t="b">
        <v>0</v>
      </c>
      <c r="H458" s="87" t="b">
        <v>0</v>
      </c>
      <c r="I458" s="87" t="b">
        <v>0</v>
      </c>
      <c r="J458" s="87" t="b">
        <v>0</v>
      </c>
      <c r="K458" s="87" t="b">
        <v>0</v>
      </c>
      <c r="L458" s="87" t="b">
        <v>0</v>
      </c>
    </row>
    <row r="459" spans="1:12" ht="15">
      <c r="A459" s="88" t="s">
        <v>1446</v>
      </c>
      <c r="B459" s="87" t="s">
        <v>1459</v>
      </c>
      <c r="C459" s="87">
        <v>2</v>
      </c>
      <c r="D459" s="110">
        <v>0.0011076065771920898</v>
      </c>
      <c r="E459" s="110">
        <v>0.2553931592176821</v>
      </c>
      <c r="F459" s="87" t="s">
        <v>2060</v>
      </c>
      <c r="G459" s="87" t="b">
        <v>0</v>
      </c>
      <c r="H459" s="87" t="b">
        <v>0</v>
      </c>
      <c r="I459" s="87" t="b">
        <v>0</v>
      </c>
      <c r="J459" s="87" t="b">
        <v>0</v>
      </c>
      <c r="K459" s="87" t="b">
        <v>0</v>
      </c>
      <c r="L459" s="87" t="b">
        <v>0</v>
      </c>
    </row>
    <row r="460" spans="1:12" ht="15">
      <c r="A460" s="88" t="s">
        <v>1459</v>
      </c>
      <c r="B460" s="87" t="s">
        <v>1508</v>
      </c>
      <c r="C460" s="87">
        <v>2</v>
      </c>
      <c r="D460" s="110">
        <v>0.0011076065771920898</v>
      </c>
      <c r="E460" s="110">
        <v>1.5491239161401638</v>
      </c>
      <c r="F460" s="87" t="s">
        <v>2060</v>
      </c>
      <c r="G460" s="87" t="b">
        <v>0</v>
      </c>
      <c r="H460" s="87" t="b">
        <v>0</v>
      </c>
      <c r="I460" s="87" t="b">
        <v>0</v>
      </c>
      <c r="J460" s="87" t="b">
        <v>0</v>
      </c>
      <c r="K460" s="87" t="b">
        <v>0</v>
      </c>
      <c r="L460" s="87" t="b">
        <v>0</v>
      </c>
    </row>
    <row r="461" spans="1:12" ht="15">
      <c r="A461" s="88" t="s">
        <v>1453</v>
      </c>
      <c r="B461" s="87" t="s">
        <v>2034</v>
      </c>
      <c r="C461" s="87">
        <v>2</v>
      </c>
      <c r="D461" s="110">
        <v>0.0011076065771920898</v>
      </c>
      <c r="E461" s="110">
        <v>1.3491770079716372</v>
      </c>
      <c r="F461" s="87" t="s">
        <v>2060</v>
      </c>
      <c r="G461" s="87" t="b">
        <v>0</v>
      </c>
      <c r="H461" s="87" t="b">
        <v>0</v>
      </c>
      <c r="I461" s="87" t="b">
        <v>0</v>
      </c>
      <c r="J461" s="87" t="b">
        <v>0</v>
      </c>
      <c r="K461" s="87" t="b">
        <v>0</v>
      </c>
      <c r="L461" s="87" t="b">
        <v>0</v>
      </c>
    </row>
    <row r="462" spans="1:12" ht="15">
      <c r="A462" s="88" t="s">
        <v>2034</v>
      </c>
      <c r="B462" s="87" t="s">
        <v>2035</v>
      </c>
      <c r="C462" s="87">
        <v>2</v>
      </c>
      <c r="D462" s="110">
        <v>0.0011076065771920898</v>
      </c>
      <c r="E462" s="110">
        <v>3.209515014542631</v>
      </c>
      <c r="F462" s="87" t="s">
        <v>2060</v>
      </c>
      <c r="G462" s="87" t="b">
        <v>0</v>
      </c>
      <c r="H462" s="87" t="b">
        <v>0</v>
      </c>
      <c r="I462" s="87" t="b">
        <v>0</v>
      </c>
      <c r="J462" s="87" t="b">
        <v>0</v>
      </c>
      <c r="K462" s="87" t="b">
        <v>0</v>
      </c>
      <c r="L462" s="87" t="b">
        <v>0</v>
      </c>
    </row>
    <row r="463" spans="1:12" ht="15">
      <c r="A463" s="88" t="s">
        <v>2036</v>
      </c>
      <c r="B463" s="87" t="s">
        <v>2037</v>
      </c>
      <c r="C463" s="87">
        <v>2</v>
      </c>
      <c r="D463" s="110">
        <v>0.0011076065771920898</v>
      </c>
      <c r="E463" s="110">
        <v>3.209515014542631</v>
      </c>
      <c r="F463" s="87" t="s">
        <v>2060</v>
      </c>
      <c r="G463" s="87" t="b">
        <v>0</v>
      </c>
      <c r="H463" s="87" t="b">
        <v>0</v>
      </c>
      <c r="I463" s="87" t="b">
        <v>0</v>
      </c>
      <c r="J463" s="87" t="b">
        <v>0</v>
      </c>
      <c r="K463" s="87" t="b">
        <v>0</v>
      </c>
      <c r="L463" s="87" t="b">
        <v>0</v>
      </c>
    </row>
    <row r="464" spans="1:12" ht="15">
      <c r="A464" s="88" t="s">
        <v>2037</v>
      </c>
      <c r="B464" s="87" t="s">
        <v>1853</v>
      </c>
      <c r="C464" s="87">
        <v>2</v>
      </c>
      <c r="D464" s="110">
        <v>0.0011076065771920898</v>
      </c>
      <c r="E464" s="110">
        <v>2.6074550232146687</v>
      </c>
      <c r="F464" s="87" t="s">
        <v>2060</v>
      </c>
      <c r="G464" s="87" t="b">
        <v>0</v>
      </c>
      <c r="H464" s="87" t="b">
        <v>0</v>
      </c>
      <c r="I464" s="87" t="b">
        <v>0</v>
      </c>
      <c r="J464" s="87" t="b">
        <v>0</v>
      </c>
      <c r="K464" s="87" t="b">
        <v>0</v>
      </c>
      <c r="L464" s="87" t="b">
        <v>0</v>
      </c>
    </row>
    <row r="465" spans="1:12" ht="15">
      <c r="A465" s="88" t="s">
        <v>1853</v>
      </c>
      <c r="B465" s="87" t="s">
        <v>1855</v>
      </c>
      <c r="C465" s="87">
        <v>2</v>
      </c>
      <c r="D465" s="110">
        <v>0.0011076065771920898</v>
      </c>
      <c r="E465" s="110">
        <v>2.063386978864393</v>
      </c>
      <c r="F465" s="87" t="s">
        <v>2060</v>
      </c>
      <c r="G465" s="87" t="b">
        <v>0</v>
      </c>
      <c r="H465" s="87" t="b">
        <v>0</v>
      </c>
      <c r="I465" s="87" t="b">
        <v>0</v>
      </c>
      <c r="J465" s="87" t="b">
        <v>0</v>
      </c>
      <c r="K465" s="87" t="b">
        <v>0</v>
      </c>
      <c r="L465" s="87" t="b">
        <v>0</v>
      </c>
    </row>
    <row r="466" spans="1:12" ht="15">
      <c r="A466" s="88" t="s">
        <v>1482</v>
      </c>
      <c r="B466" s="87" t="s">
        <v>2039</v>
      </c>
      <c r="C466" s="87">
        <v>2</v>
      </c>
      <c r="D466" s="110">
        <v>0.0011076065771920898</v>
      </c>
      <c r="E466" s="110">
        <v>2.5563025007672873</v>
      </c>
      <c r="F466" s="87" t="s">
        <v>2060</v>
      </c>
      <c r="G466" s="87" t="b">
        <v>0</v>
      </c>
      <c r="H466" s="87" t="b">
        <v>0</v>
      </c>
      <c r="I466" s="87" t="b">
        <v>0</v>
      </c>
      <c r="J466" s="87" t="b">
        <v>0</v>
      </c>
      <c r="K466" s="87" t="b">
        <v>0</v>
      </c>
      <c r="L466" s="87" t="b">
        <v>0</v>
      </c>
    </row>
    <row r="467" spans="1:12" ht="15">
      <c r="A467" s="88" t="s">
        <v>2039</v>
      </c>
      <c r="B467" s="87" t="s">
        <v>1453</v>
      </c>
      <c r="C467" s="87">
        <v>2</v>
      </c>
      <c r="D467" s="110">
        <v>0.0011076065771920898</v>
      </c>
      <c r="E467" s="110">
        <v>1.7181533207083584</v>
      </c>
      <c r="F467" s="87" t="s">
        <v>2060</v>
      </c>
      <c r="G467" s="87" t="b">
        <v>0</v>
      </c>
      <c r="H467" s="87" t="b">
        <v>0</v>
      </c>
      <c r="I467" s="87" t="b">
        <v>0</v>
      </c>
      <c r="J467" s="87" t="b">
        <v>0</v>
      </c>
      <c r="K467" s="87" t="b">
        <v>0</v>
      </c>
      <c r="L467" s="87" t="b">
        <v>0</v>
      </c>
    </row>
    <row r="468" spans="1:12" ht="15">
      <c r="A468" s="88" t="s">
        <v>1484</v>
      </c>
      <c r="B468" s="87" t="s">
        <v>1455</v>
      </c>
      <c r="C468" s="87">
        <v>2</v>
      </c>
      <c r="D468" s="110">
        <v>0.0011076065771920898</v>
      </c>
      <c r="E468" s="110">
        <v>0.7077712849146365</v>
      </c>
      <c r="F468" s="87" t="s">
        <v>2060</v>
      </c>
      <c r="G468" s="87" t="b">
        <v>0</v>
      </c>
      <c r="H468" s="87" t="b">
        <v>0</v>
      </c>
      <c r="I468" s="87" t="b">
        <v>0</v>
      </c>
      <c r="J468" s="87" t="b">
        <v>0</v>
      </c>
      <c r="K468" s="87" t="b">
        <v>0</v>
      </c>
      <c r="L468" s="87" t="b">
        <v>0</v>
      </c>
    </row>
    <row r="469" spans="1:12" ht="15">
      <c r="A469" s="88" t="s">
        <v>1453</v>
      </c>
      <c r="B469" s="87" t="s">
        <v>2040</v>
      </c>
      <c r="C469" s="87">
        <v>2</v>
      </c>
      <c r="D469" s="110">
        <v>0.0011076065771920898</v>
      </c>
      <c r="E469" s="110">
        <v>1.3491770079716372</v>
      </c>
      <c r="F469" s="87" t="s">
        <v>2060</v>
      </c>
      <c r="G469" s="87" t="b">
        <v>0</v>
      </c>
      <c r="H469" s="87" t="b">
        <v>0</v>
      </c>
      <c r="I469" s="87" t="b">
        <v>0</v>
      </c>
      <c r="J469" s="87" t="b">
        <v>1</v>
      </c>
      <c r="K469" s="87" t="b">
        <v>0</v>
      </c>
      <c r="L469" s="87" t="b">
        <v>0</v>
      </c>
    </row>
    <row r="470" spans="1:12" ht="15">
      <c r="A470" s="88" t="s">
        <v>2040</v>
      </c>
      <c r="B470" s="87" t="s">
        <v>1516</v>
      </c>
      <c r="C470" s="87">
        <v>2</v>
      </c>
      <c r="D470" s="110">
        <v>0.0011076065771920898</v>
      </c>
      <c r="E470" s="110">
        <v>2.048147012307656</v>
      </c>
      <c r="F470" s="87" t="s">
        <v>2060</v>
      </c>
      <c r="G470" s="87" t="b">
        <v>1</v>
      </c>
      <c r="H470" s="87" t="b">
        <v>0</v>
      </c>
      <c r="I470" s="87" t="b">
        <v>0</v>
      </c>
      <c r="J470" s="87" t="b">
        <v>0</v>
      </c>
      <c r="K470" s="87" t="b">
        <v>0</v>
      </c>
      <c r="L470" s="87" t="b">
        <v>0</v>
      </c>
    </row>
    <row r="471" spans="1:12" ht="15">
      <c r="A471" s="88" t="s">
        <v>1490</v>
      </c>
      <c r="B471" s="87" t="s">
        <v>2041</v>
      </c>
      <c r="C471" s="87">
        <v>2</v>
      </c>
      <c r="D471" s="110">
        <v>0.0011076065771920898</v>
      </c>
      <c r="E471" s="110">
        <v>1.8293037728310249</v>
      </c>
      <c r="F471" s="87" t="s">
        <v>2060</v>
      </c>
      <c r="G471" s="87" t="b">
        <v>0</v>
      </c>
      <c r="H471" s="87" t="b">
        <v>0</v>
      </c>
      <c r="I471" s="87" t="b">
        <v>0</v>
      </c>
      <c r="J471" s="87" t="b">
        <v>0</v>
      </c>
      <c r="K471" s="87" t="b">
        <v>0</v>
      </c>
      <c r="L471" s="87" t="b">
        <v>0</v>
      </c>
    </row>
    <row r="472" spans="1:12" ht="15">
      <c r="A472" s="88" t="s">
        <v>2041</v>
      </c>
      <c r="B472" s="87" t="s">
        <v>2042</v>
      </c>
      <c r="C472" s="87">
        <v>2</v>
      </c>
      <c r="D472" s="110">
        <v>0.0011076065771920898</v>
      </c>
      <c r="E472" s="110">
        <v>3.209515014542631</v>
      </c>
      <c r="F472" s="87" t="s">
        <v>2060</v>
      </c>
      <c r="G472" s="87" t="b">
        <v>0</v>
      </c>
      <c r="H472" s="87" t="b">
        <v>0</v>
      </c>
      <c r="I472" s="87" t="b">
        <v>0</v>
      </c>
      <c r="J472" s="87" t="b">
        <v>0</v>
      </c>
      <c r="K472" s="87" t="b">
        <v>0</v>
      </c>
      <c r="L472" s="87" t="b">
        <v>0</v>
      </c>
    </row>
    <row r="473" spans="1:12" ht="15">
      <c r="A473" s="88" t="s">
        <v>2042</v>
      </c>
      <c r="B473" s="87" t="s">
        <v>1840</v>
      </c>
      <c r="C473" s="87">
        <v>2</v>
      </c>
      <c r="D473" s="110">
        <v>0.0011076065771920898</v>
      </c>
      <c r="E473" s="110">
        <v>2.5563025007672873</v>
      </c>
      <c r="F473" s="87" t="s">
        <v>2060</v>
      </c>
      <c r="G473" s="87" t="b">
        <v>0</v>
      </c>
      <c r="H473" s="87" t="b">
        <v>0</v>
      </c>
      <c r="I473" s="87" t="b">
        <v>0</v>
      </c>
      <c r="J473" s="87" t="b">
        <v>0</v>
      </c>
      <c r="K473" s="87" t="b">
        <v>0</v>
      </c>
      <c r="L473" s="87" t="b">
        <v>0</v>
      </c>
    </row>
    <row r="474" spans="1:12" ht="15">
      <c r="A474" s="88" t="s">
        <v>1840</v>
      </c>
      <c r="B474" s="87" t="s">
        <v>1898</v>
      </c>
      <c r="C474" s="87">
        <v>2</v>
      </c>
      <c r="D474" s="110">
        <v>0.0011076065771920898</v>
      </c>
      <c r="E474" s="110">
        <v>2.255272505103306</v>
      </c>
      <c r="F474" s="87" t="s">
        <v>2060</v>
      </c>
      <c r="G474" s="87" t="b">
        <v>0</v>
      </c>
      <c r="H474" s="87" t="b">
        <v>0</v>
      </c>
      <c r="I474" s="87" t="b">
        <v>0</v>
      </c>
      <c r="J474" s="87" t="b">
        <v>0</v>
      </c>
      <c r="K474" s="87" t="b">
        <v>0</v>
      </c>
      <c r="L474" s="87" t="b">
        <v>0</v>
      </c>
    </row>
    <row r="475" spans="1:12" ht="15">
      <c r="A475" s="88" t="s">
        <v>1898</v>
      </c>
      <c r="B475" s="87" t="s">
        <v>1437</v>
      </c>
      <c r="C475" s="87">
        <v>2</v>
      </c>
      <c r="D475" s="110">
        <v>0.0011076065771920898</v>
      </c>
      <c r="E475" s="110">
        <v>0.8914516795798694</v>
      </c>
      <c r="F475" s="87" t="s">
        <v>2060</v>
      </c>
      <c r="G475" s="87" t="b">
        <v>0</v>
      </c>
      <c r="H475" s="87" t="b">
        <v>0</v>
      </c>
      <c r="I475" s="87" t="b">
        <v>0</v>
      </c>
      <c r="J475" s="87" t="b">
        <v>0</v>
      </c>
      <c r="K475" s="87" t="b">
        <v>0</v>
      </c>
      <c r="L475" s="87" t="b">
        <v>0</v>
      </c>
    </row>
    <row r="476" spans="1:12" ht="15">
      <c r="A476" s="88" t="s">
        <v>1881</v>
      </c>
      <c r="B476" s="87" t="s">
        <v>1835</v>
      </c>
      <c r="C476" s="87">
        <v>2</v>
      </c>
      <c r="D476" s="110">
        <v>0.0011076065771920898</v>
      </c>
      <c r="E476" s="110">
        <v>2.03342375548695</v>
      </c>
      <c r="F476" s="87" t="s">
        <v>2060</v>
      </c>
      <c r="G476" s="87" t="b">
        <v>0</v>
      </c>
      <c r="H476" s="87" t="b">
        <v>0</v>
      </c>
      <c r="I476" s="87" t="b">
        <v>0</v>
      </c>
      <c r="J476" s="87" t="b">
        <v>0</v>
      </c>
      <c r="K476" s="87" t="b">
        <v>0</v>
      </c>
      <c r="L476" s="87" t="b">
        <v>0</v>
      </c>
    </row>
    <row r="477" spans="1:12" ht="15">
      <c r="A477" s="88" t="s">
        <v>1835</v>
      </c>
      <c r="B477" s="87" t="s">
        <v>1922</v>
      </c>
      <c r="C477" s="87">
        <v>2</v>
      </c>
      <c r="D477" s="110">
        <v>0.0011076065771920898</v>
      </c>
      <c r="E477" s="110">
        <v>2.130333768495006</v>
      </c>
      <c r="F477" s="87" t="s">
        <v>2060</v>
      </c>
      <c r="G477" s="87" t="b">
        <v>0</v>
      </c>
      <c r="H477" s="87" t="b">
        <v>0</v>
      </c>
      <c r="I477" s="87" t="b">
        <v>0</v>
      </c>
      <c r="J477" s="87" t="b">
        <v>0</v>
      </c>
      <c r="K477" s="87" t="b">
        <v>0</v>
      </c>
      <c r="L477" s="87" t="b">
        <v>0</v>
      </c>
    </row>
    <row r="478" spans="1:12" ht="15">
      <c r="A478" s="88" t="s">
        <v>1922</v>
      </c>
      <c r="B478" s="87" t="s">
        <v>1922</v>
      </c>
      <c r="C478" s="87">
        <v>2</v>
      </c>
      <c r="D478" s="110">
        <v>0.0011076065771920898</v>
      </c>
      <c r="E478" s="110">
        <v>2.6074550232146687</v>
      </c>
      <c r="F478" s="87" t="s">
        <v>2060</v>
      </c>
      <c r="G478" s="87" t="b">
        <v>0</v>
      </c>
      <c r="H478" s="87" t="b">
        <v>0</v>
      </c>
      <c r="I478" s="87" t="b">
        <v>0</v>
      </c>
      <c r="J478" s="87" t="b">
        <v>0</v>
      </c>
      <c r="K478" s="87" t="b">
        <v>0</v>
      </c>
      <c r="L478" s="87" t="b">
        <v>0</v>
      </c>
    </row>
    <row r="479" spans="1:12" ht="15">
      <c r="A479" s="88" t="s">
        <v>1922</v>
      </c>
      <c r="B479" s="87" t="s">
        <v>1455</v>
      </c>
      <c r="C479" s="87">
        <v>2</v>
      </c>
      <c r="D479" s="110">
        <v>0.0011076065771920898</v>
      </c>
      <c r="E479" s="110">
        <v>1.105711293586674</v>
      </c>
      <c r="F479" s="87" t="s">
        <v>2060</v>
      </c>
      <c r="G479" s="87" t="b">
        <v>0</v>
      </c>
      <c r="H479" s="87" t="b">
        <v>0</v>
      </c>
      <c r="I479" s="87" t="b">
        <v>0</v>
      </c>
      <c r="J479" s="87" t="b">
        <v>0</v>
      </c>
      <c r="K479" s="87" t="b">
        <v>0</v>
      </c>
      <c r="L479" s="87" t="b">
        <v>0</v>
      </c>
    </row>
    <row r="480" spans="1:12" ht="15">
      <c r="A480" s="88" t="s">
        <v>1453</v>
      </c>
      <c r="B480" s="87" t="s">
        <v>2045</v>
      </c>
      <c r="C480" s="87">
        <v>2</v>
      </c>
      <c r="D480" s="110">
        <v>0.0011076065771920898</v>
      </c>
      <c r="E480" s="110">
        <v>1.3491770079716372</v>
      </c>
      <c r="F480" s="87" t="s">
        <v>2060</v>
      </c>
      <c r="G480" s="87" t="b">
        <v>0</v>
      </c>
      <c r="H480" s="87" t="b">
        <v>0</v>
      </c>
      <c r="I480" s="87" t="b">
        <v>0</v>
      </c>
      <c r="J480" s="87" t="b">
        <v>0</v>
      </c>
      <c r="K480" s="87" t="b">
        <v>0</v>
      </c>
      <c r="L480" s="87" t="b">
        <v>0</v>
      </c>
    </row>
    <row r="481" spans="1:12" ht="15">
      <c r="A481" s="88" t="s">
        <v>2045</v>
      </c>
      <c r="B481" s="87" t="s">
        <v>2046</v>
      </c>
      <c r="C481" s="87">
        <v>2</v>
      </c>
      <c r="D481" s="110">
        <v>0.0011076065771920898</v>
      </c>
      <c r="E481" s="110">
        <v>3.209515014542631</v>
      </c>
      <c r="F481" s="87" t="s">
        <v>2060</v>
      </c>
      <c r="G481" s="87" t="b">
        <v>0</v>
      </c>
      <c r="H481" s="87" t="b">
        <v>0</v>
      </c>
      <c r="I481" s="87" t="b">
        <v>0</v>
      </c>
      <c r="J481" s="87" t="b">
        <v>0</v>
      </c>
      <c r="K481" s="87" t="b">
        <v>0</v>
      </c>
      <c r="L481" s="87" t="b">
        <v>0</v>
      </c>
    </row>
    <row r="482" spans="1:12" ht="15">
      <c r="A482" s="88" t="s">
        <v>2046</v>
      </c>
      <c r="B482" s="87" t="s">
        <v>1844</v>
      </c>
      <c r="C482" s="87">
        <v>2</v>
      </c>
      <c r="D482" s="110">
        <v>0.0011076065771920898</v>
      </c>
      <c r="E482" s="110">
        <v>2.5563025007672873</v>
      </c>
      <c r="F482" s="87" t="s">
        <v>2060</v>
      </c>
      <c r="G482" s="87" t="b">
        <v>0</v>
      </c>
      <c r="H482" s="87" t="b">
        <v>0</v>
      </c>
      <c r="I482" s="87" t="b">
        <v>0</v>
      </c>
      <c r="J482" s="87" t="b">
        <v>1</v>
      </c>
      <c r="K482" s="87" t="b">
        <v>0</v>
      </c>
      <c r="L482" s="87" t="b">
        <v>0</v>
      </c>
    </row>
    <row r="483" spans="1:12" ht="15">
      <c r="A483" s="88" t="s">
        <v>1852</v>
      </c>
      <c r="B483" s="87" t="s">
        <v>2047</v>
      </c>
      <c r="C483" s="87">
        <v>2</v>
      </c>
      <c r="D483" s="110">
        <v>0.0011076065771920898</v>
      </c>
      <c r="E483" s="110">
        <v>2.5563025007672873</v>
      </c>
      <c r="F483" s="87" t="s">
        <v>2060</v>
      </c>
      <c r="G483" s="87" t="b">
        <v>0</v>
      </c>
      <c r="H483" s="87" t="b">
        <v>0</v>
      </c>
      <c r="I483" s="87" t="b">
        <v>0</v>
      </c>
      <c r="J483" s="87" t="b">
        <v>0</v>
      </c>
      <c r="K483" s="87" t="b">
        <v>0</v>
      </c>
      <c r="L483" s="87" t="b">
        <v>0</v>
      </c>
    </row>
    <row r="484" spans="1:12" ht="15">
      <c r="A484" s="88" t="s">
        <v>2047</v>
      </c>
      <c r="B484" s="87" t="s">
        <v>2048</v>
      </c>
      <c r="C484" s="87">
        <v>2</v>
      </c>
      <c r="D484" s="110">
        <v>0.0011076065771920898</v>
      </c>
      <c r="E484" s="110">
        <v>3.209515014542631</v>
      </c>
      <c r="F484" s="87" t="s">
        <v>2060</v>
      </c>
      <c r="G484" s="87" t="b">
        <v>0</v>
      </c>
      <c r="H484" s="87" t="b">
        <v>0</v>
      </c>
      <c r="I484" s="87" t="b">
        <v>0</v>
      </c>
      <c r="J484" s="87" t="b">
        <v>0</v>
      </c>
      <c r="K484" s="87" t="b">
        <v>0</v>
      </c>
      <c r="L484" s="87" t="b">
        <v>0</v>
      </c>
    </row>
    <row r="485" spans="1:12" ht="15">
      <c r="A485" s="88" t="s">
        <v>2048</v>
      </c>
      <c r="B485" s="87" t="s">
        <v>1865</v>
      </c>
      <c r="C485" s="87">
        <v>2</v>
      </c>
      <c r="D485" s="110">
        <v>0.0011076065771920898</v>
      </c>
      <c r="E485" s="110">
        <v>2.7323937598229686</v>
      </c>
      <c r="F485" s="87" t="s">
        <v>2060</v>
      </c>
      <c r="G485" s="87" t="b">
        <v>0</v>
      </c>
      <c r="H485" s="87" t="b">
        <v>0</v>
      </c>
      <c r="I485" s="87" t="b">
        <v>0</v>
      </c>
      <c r="J485" s="87" t="b">
        <v>0</v>
      </c>
      <c r="K485" s="87" t="b">
        <v>0</v>
      </c>
      <c r="L485" s="87" t="b">
        <v>0</v>
      </c>
    </row>
    <row r="486" spans="1:12" ht="15">
      <c r="A486" s="88" t="s">
        <v>1460</v>
      </c>
      <c r="B486" s="87" t="s">
        <v>1883</v>
      </c>
      <c r="C486" s="87">
        <v>2</v>
      </c>
      <c r="D486" s="110">
        <v>0.0011076065771920898</v>
      </c>
      <c r="E486" s="110">
        <v>1.3417529898924303</v>
      </c>
      <c r="F486" s="87" t="s">
        <v>2060</v>
      </c>
      <c r="G486" s="87" t="b">
        <v>0</v>
      </c>
      <c r="H486" s="87" t="b">
        <v>0</v>
      </c>
      <c r="I486" s="87" t="b">
        <v>0</v>
      </c>
      <c r="J486" s="87" t="b">
        <v>0</v>
      </c>
      <c r="K486" s="87" t="b">
        <v>0</v>
      </c>
      <c r="L486" s="87" t="b">
        <v>0</v>
      </c>
    </row>
    <row r="487" spans="1:12" ht="15">
      <c r="A487" s="88" t="s">
        <v>2049</v>
      </c>
      <c r="B487" s="87" t="s">
        <v>1899</v>
      </c>
      <c r="C487" s="87">
        <v>2</v>
      </c>
      <c r="D487" s="110">
        <v>0.0011076065771920898</v>
      </c>
      <c r="E487" s="110">
        <v>2.90848501887865</v>
      </c>
      <c r="F487" s="87" t="s">
        <v>2060</v>
      </c>
      <c r="G487" s="87" t="b">
        <v>0</v>
      </c>
      <c r="H487" s="87" t="b">
        <v>0</v>
      </c>
      <c r="I487" s="87" t="b">
        <v>0</v>
      </c>
      <c r="J487" s="87" t="b">
        <v>0</v>
      </c>
      <c r="K487" s="87" t="b">
        <v>0</v>
      </c>
      <c r="L487" s="87" t="b">
        <v>0</v>
      </c>
    </row>
    <row r="488" spans="1:12" ht="15">
      <c r="A488" s="88" t="s">
        <v>1885</v>
      </c>
      <c r="B488" s="87" t="s">
        <v>1455</v>
      </c>
      <c r="C488" s="87">
        <v>2</v>
      </c>
      <c r="D488" s="110">
        <v>0.0011076065771920898</v>
      </c>
      <c r="E488" s="110">
        <v>1.0088012805786177</v>
      </c>
      <c r="F488" s="87" t="s">
        <v>2060</v>
      </c>
      <c r="G488" s="87" t="b">
        <v>0</v>
      </c>
      <c r="H488" s="87" t="b">
        <v>0</v>
      </c>
      <c r="I488" s="87" t="b">
        <v>0</v>
      </c>
      <c r="J488" s="87" t="b">
        <v>0</v>
      </c>
      <c r="K488" s="87" t="b">
        <v>0</v>
      </c>
      <c r="L488" s="87" t="b">
        <v>0</v>
      </c>
    </row>
    <row r="489" spans="1:12" ht="15">
      <c r="A489" s="88" t="s">
        <v>2052</v>
      </c>
      <c r="B489" s="87" t="s">
        <v>2053</v>
      </c>
      <c r="C489" s="87">
        <v>2</v>
      </c>
      <c r="D489" s="110">
        <v>0.0012851530211106868</v>
      </c>
      <c r="E489" s="110">
        <v>3.209515014542631</v>
      </c>
      <c r="F489" s="87" t="s">
        <v>2060</v>
      </c>
      <c r="G489" s="87" t="b">
        <v>0</v>
      </c>
      <c r="H489" s="87" t="b">
        <v>0</v>
      </c>
      <c r="I489" s="87" t="b">
        <v>0</v>
      </c>
      <c r="J489" s="87" t="b">
        <v>0</v>
      </c>
      <c r="K489" s="87" t="b">
        <v>0</v>
      </c>
      <c r="L489" s="87" t="b">
        <v>0</v>
      </c>
    </row>
    <row r="490" spans="1:12" ht="15">
      <c r="A490" s="88" t="s">
        <v>1455</v>
      </c>
      <c r="B490" s="87" t="s">
        <v>1457</v>
      </c>
      <c r="C490" s="87">
        <v>83</v>
      </c>
      <c r="D490" s="110">
        <v>0.002066388844569718</v>
      </c>
      <c r="E490" s="110">
        <v>1.3729538243849304</v>
      </c>
      <c r="F490" s="87" t="s">
        <v>1330</v>
      </c>
      <c r="G490" s="87" t="b">
        <v>0</v>
      </c>
      <c r="H490" s="87" t="b">
        <v>0</v>
      </c>
      <c r="I490" s="87" t="b">
        <v>0</v>
      </c>
      <c r="J490" s="87" t="b">
        <v>0</v>
      </c>
      <c r="K490" s="87" t="b">
        <v>0</v>
      </c>
      <c r="L490" s="87" t="b">
        <v>0</v>
      </c>
    </row>
    <row r="491" spans="1:12" ht="15">
      <c r="A491" s="88" t="s">
        <v>1457</v>
      </c>
      <c r="B491" s="87" t="s">
        <v>1454</v>
      </c>
      <c r="C491" s="87">
        <v>67</v>
      </c>
      <c r="D491" s="110">
        <v>0.004538256292134703</v>
      </c>
      <c r="E491" s="110">
        <v>1.3493719434681517</v>
      </c>
      <c r="F491" s="87" t="s">
        <v>1330</v>
      </c>
      <c r="G491" s="87" t="b">
        <v>0</v>
      </c>
      <c r="H491" s="87" t="b">
        <v>0</v>
      </c>
      <c r="I491" s="87" t="b">
        <v>0</v>
      </c>
      <c r="J491" s="87" t="b">
        <v>0</v>
      </c>
      <c r="K491" s="87" t="b">
        <v>0</v>
      </c>
      <c r="L491" s="87" t="b">
        <v>0</v>
      </c>
    </row>
    <row r="492" spans="1:12" ht="15">
      <c r="A492" s="88" t="s">
        <v>1454</v>
      </c>
      <c r="B492" s="87" t="s">
        <v>1458</v>
      </c>
      <c r="C492" s="87">
        <v>62</v>
      </c>
      <c r="D492" s="110">
        <v>0.005363186159610207</v>
      </c>
      <c r="E492" s="110">
        <v>1.511256522551212</v>
      </c>
      <c r="F492" s="87" t="s">
        <v>1330</v>
      </c>
      <c r="G492" s="87" t="b">
        <v>0</v>
      </c>
      <c r="H492" s="87" t="b">
        <v>0</v>
      </c>
      <c r="I492" s="87" t="b">
        <v>0</v>
      </c>
      <c r="J492" s="87" t="b">
        <v>0</v>
      </c>
      <c r="K492" s="87" t="b">
        <v>0</v>
      </c>
      <c r="L492" s="87" t="b">
        <v>0</v>
      </c>
    </row>
    <row r="493" spans="1:12" ht="15">
      <c r="A493" s="88" t="s">
        <v>1456</v>
      </c>
      <c r="B493" s="87" t="s">
        <v>1460</v>
      </c>
      <c r="C493" s="87">
        <v>36</v>
      </c>
      <c r="D493" s="110">
        <v>0.006911889775203506</v>
      </c>
      <c r="E493" s="110">
        <v>1.4074646755130944</v>
      </c>
      <c r="F493" s="87" t="s">
        <v>1330</v>
      </c>
      <c r="G493" s="87" t="b">
        <v>0</v>
      </c>
      <c r="H493" s="87" t="b">
        <v>0</v>
      </c>
      <c r="I493" s="87" t="b">
        <v>0</v>
      </c>
      <c r="J493" s="87" t="b">
        <v>0</v>
      </c>
      <c r="K493" s="87" t="b">
        <v>0</v>
      </c>
      <c r="L493" s="87" t="b">
        <v>0</v>
      </c>
    </row>
    <row r="494" spans="1:12" ht="15">
      <c r="A494" s="88" t="s">
        <v>1459</v>
      </c>
      <c r="B494" s="87" t="s">
        <v>1437</v>
      </c>
      <c r="C494" s="87">
        <v>25</v>
      </c>
      <c r="D494" s="110">
        <v>0.006623535754579238</v>
      </c>
      <c r="E494" s="110">
        <v>1.0136358727699242</v>
      </c>
      <c r="F494" s="87" t="s">
        <v>1330</v>
      </c>
      <c r="G494" s="87" t="b">
        <v>0</v>
      </c>
      <c r="H494" s="87" t="b">
        <v>0</v>
      </c>
      <c r="I494" s="87" t="b">
        <v>0</v>
      </c>
      <c r="J494" s="87" t="b">
        <v>0</v>
      </c>
      <c r="K494" s="87" t="b">
        <v>0</v>
      </c>
      <c r="L494" s="87" t="b">
        <v>0</v>
      </c>
    </row>
    <row r="495" spans="1:12" ht="15">
      <c r="A495" s="88" t="s">
        <v>1821</v>
      </c>
      <c r="B495" s="87" t="s">
        <v>1437</v>
      </c>
      <c r="C495" s="87">
        <v>24</v>
      </c>
      <c r="D495" s="110">
        <v>0.006554582535842572</v>
      </c>
      <c r="E495" s="110">
        <v>1.0589588515565815</v>
      </c>
      <c r="F495" s="87" t="s">
        <v>1330</v>
      </c>
      <c r="G495" s="87" t="b">
        <v>0</v>
      </c>
      <c r="H495" s="87" t="b">
        <v>0</v>
      </c>
      <c r="I495" s="87" t="b">
        <v>0</v>
      </c>
      <c r="J495" s="87" t="b">
        <v>0</v>
      </c>
      <c r="K495" s="87" t="b">
        <v>0</v>
      </c>
      <c r="L495" s="87" t="b">
        <v>0</v>
      </c>
    </row>
    <row r="496" spans="1:12" ht="15">
      <c r="A496" s="88" t="s">
        <v>1437</v>
      </c>
      <c r="B496" s="87" t="s">
        <v>1446</v>
      </c>
      <c r="C496" s="87">
        <v>23</v>
      </c>
      <c r="D496" s="110">
        <v>0.006477291756973023</v>
      </c>
      <c r="E496" s="110">
        <v>1.0685041694628121</v>
      </c>
      <c r="F496" s="87" t="s">
        <v>1330</v>
      </c>
      <c r="G496" s="87" t="b">
        <v>0</v>
      </c>
      <c r="H496" s="87" t="b">
        <v>0</v>
      </c>
      <c r="I496" s="87" t="b">
        <v>0</v>
      </c>
      <c r="J496" s="87" t="b">
        <v>0</v>
      </c>
      <c r="K496" s="87" t="b">
        <v>0</v>
      </c>
      <c r="L496" s="87" t="b">
        <v>0</v>
      </c>
    </row>
    <row r="497" spans="1:12" ht="15">
      <c r="A497" s="88" t="s">
        <v>1446</v>
      </c>
      <c r="B497" s="87" t="s">
        <v>1819</v>
      </c>
      <c r="C497" s="87">
        <v>21</v>
      </c>
      <c r="D497" s="110">
        <v>0.00629621360487396</v>
      </c>
      <c r="E497" s="110">
        <v>1.8201118557271498</v>
      </c>
      <c r="F497" s="87" t="s">
        <v>1330</v>
      </c>
      <c r="G497" s="87" t="b">
        <v>0</v>
      </c>
      <c r="H497" s="87" t="b">
        <v>0</v>
      </c>
      <c r="I497" s="87" t="b">
        <v>0</v>
      </c>
      <c r="J497" s="87" t="b">
        <v>0</v>
      </c>
      <c r="K497" s="87" t="b">
        <v>0</v>
      </c>
      <c r="L497" s="87" t="b">
        <v>0</v>
      </c>
    </row>
    <row r="498" spans="1:12" ht="15">
      <c r="A498" s="88" t="s">
        <v>1456</v>
      </c>
      <c r="B498" s="87" t="s">
        <v>1826</v>
      </c>
      <c r="C498" s="87">
        <v>21</v>
      </c>
      <c r="D498" s="110">
        <v>0.00629621360487396</v>
      </c>
      <c r="E498" s="110">
        <v>1.4309457713626172</v>
      </c>
      <c r="F498" s="87" t="s">
        <v>1330</v>
      </c>
      <c r="G498" s="87" t="b">
        <v>0</v>
      </c>
      <c r="H498" s="87" t="b">
        <v>0</v>
      </c>
      <c r="I498" s="87" t="b">
        <v>0</v>
      </c>
      <c r="J498" s="87" t="b">
        <v>0</v>
      </c>
      <c r="K498" s="87" t="b">
        <v>0</v>
      </c>
      <c r="L498" s="87" t="b">
        <v>0</v>
      </c>
    </row>
    <row r="499" spans="1:12" ht="15">
      <c r="A499" s="88" t="s">
        <v>1453</v>
      </c>
      <c r="B499" s="87" t="s">
        <v>1456</v>
      </c>
      <c r="C499" s="87">
        <v>20</v>
      </c>
      <c r="D499" s="110">
        <v>0.006191597033032865</v>
      </c>
      <c r="E499" s="110">
        <v>0.8048855036308883</v>
      </c>
      <c r="F499" s="87" t="s">
        <v>1330</v>
      </c>
      <c r="G499" s="87" t="b">
        <v>0</v>
      </c>
      <c r="H499" s="87" t="b">
        <v>0</v>
      </c>
      <c r="I499" s="87" t="b">
        <v>0</v>
      </c>
      <c r="J499" s="87" t="b">
        <v>0</v>
      </c>
      <c r="K499" s="87" t="b">
        <v>0</v>
      </c>
      <c r="L499" s="87" t="b">
        <v>0</v>
      </c>
    </row>
    <row r="500" spans="1:12" ht="15">
      <c r="A500" s="88" t="s">
        <v>1513</v>
      </c>
      <c r="B500" s="87" t="s">
        <v>1822</v>
      </c>
      <c r="C500" s="87">
        <v>20</v>
      </c>
      <c r="D500" s="110">
        <v>0.006191597033032865</v>
      </c>
      <c r="E500" s="110">
        <v>1.9345193614475682</v>
      </c>
      <c r="F500" s="87" t="s">
        <v>1330</v>
      </c>
      <c r="G500" s="87" t="b">
        <v>0</v>
      </c>
      <c r="H500" s="87" t="b">
        <v>0</v>
      </c>
      <c r="I500" s="87" t="b">
        <v>0</v>
      </c>
      <c r="J500" s="87" t="b">
        <v>0</v>
      </c>
      <c r="K500" s="87" t="b">
        <v>0</v>
      </c>
      <c r="L500" s="87" t="b">
        <v>0</v>
      </c>
    </row>
    <row r="501" spans="1:12" ht="15">
      <c r="A501" s="88" t="s">
        <v>1820</v>
      </c>
      <c r="B501" s="87" t="s">
        <v>1459</v>
      </c>
      <c r="C501" s="87">
        <v>18</v>
      </c>
      <c r="D501" s="110">
        <v>0.005951817721296669</v>
      </c>
      <c r="E501" s="110">
        <v>1.662084596749204</v>
      </c>
      <c r="F501" s="87" t="s">
        <v>1330</v>
      </c>
      <c r="G501" s="87" t="b">
        <v>0</v>
      </c>
      <c r="H501" s="87" t="b">
        <v>0</v>
      </c>
      <c r="I501" s="87" t="b">
        <v>0</v>
      </c>
      <c r="J501" s="87" t="b">
        <v>0</v>
      </c>
      <c r="K501" s="87" t="b">
        <v>0</v>
      </c>
      <c r="L501" s="87" t="b">
        <v>0</v>
      </c>
    </row>
    <row r="502" spans="1:12" ht="15">
      <c r="A502" s="88" t="s">
        <v>1456</v>
      </c>
      <c r="B502" s="87" t="s">
        <v>1827</v>
      </c>
      <c r="C502" s="87">
        <v>18</v>
      </c>
      <c r="D502" s="110">
        <v>0.005951817721296669</v>
      </c>
      <c r="E502" s="110">
        <v>1.4309457713626172</v>
      </c>
      <c r="F502" s="87" t="s">
        <v>1330</v>
      </c>
      <c r="G502" s="87" t="b">
        <v>0</v>
      </c>
      <c r="H502" s="87" t="b">
        <v>0</v>
      </c>
      <c r="I502" s="87" t="b">
        <v>0</v>
      </c>
      <c r="J502" s="87" t="b">
        <v>0</v>
      </c>
      <c r="K502" s="87" t="b">
        <v>0</v>
      </c>
      <c r="L502" s="87" t="b">
        <v>0</v>
      </c>
    </row>
    <row r="503" spans="1:12" ht="15">
      <c r="A503" s="88" t="s">
        <v>1437</v>
      </c>
      <c r="B503" s="87" t="s">
        <v>1469</v>
      </c>
      <c r="C503" s="87">
        <v>18</v>
      </c>
      <c r="D503" s="110">
        <v>0.005951817721296669</v>
      </c>
      <c r="E503" s="110">
        <v>0.9767720953692316</v>
      </c>
      <c r="F503" s="87" t="s">
        <v>1330</v>
      </c>
      <c r="G503" s="87" t="b">
        <v>0</v>
      </c>
      <c r="H503" s="87" t="b">
        <v>0</v>
      </c>
      <c r="I503" s="87" t="b">
        <v>0</v>
      </c>
      <c r="J503" s="87" t="b">
        <v>0</v>
      </c>
      <c r="K503" s="87" t="b">
        <v>0</v>
      </c>
      <c r="L503" s="87" t="b">
        <v>0</v>
      </c>
    </row>
    <row r="504" spans="1:12" ht="15">
      <c r="A504" s="88" t="s">
        <v>1464</v>
      </c>
      <c r="B504" s="87" t="s">
        <v>1437</v>
      </c>
      <c r="C504" s="87">
        <v>16</v>
      </c>
      <c r="D504" s="110">
        <v>0.0056674923699218714</v>
      </c>
      <c r="E504" s="110">
        <v>1.1838975881648814</v>
      </c>
      <c r="F504" s="87" t="s">
        <v>1330</v>
      </c>
      <c r="G504" s="87" t="b">
        <v>0</v>
      </c>
      <c r="H504" s="87" t="b">
        <v>0</v>
      </c>
      <c r="I504" s="87" t="b">
        <v>0</v>
      </c>
      <c r="J504" s="87" t="b">
        <v>0</v>
      </c>
      <c r="K504" s="87" t="b">
        <v>0</v>
      </c>
      <c r="L504" s="87" t="b">
        <v>0</v>
      </c>
    </row>
    <row r="505" spans="1:12" ht="15">
      <c r="A505" s="88" t="s">
        <v>1460</v>
      </c>
      <c r="B505" s="87" t="s">
        <v>1490</v>
      </c>
      <c r="C505" s="87">
        <v>16</v>
      </c>
      <c r="D505" s="110">
        <v>0.0056674923699218714</v>
      </c>
      <c r="E505" s="110">
        <v>1.4232589426963262</v>
      </c>
      <c r="F505" s="87" t="s">
        <v>1330</v>
      </c>
      <c r="G505" s="87" t="b">
        <v>0</v>
      </c>
      <c r="H505" s="87" t="b">
        <v>0</v>
      </c>
      <c r="I505" s="87" t="b">
        <v>0</v>
      </c>
      <c r="J505" s="87" t="b">
        <v>0</v>
      </c>
      <c r="K505" s="87" t="b">
        <v>0</v>
      </c>
      <c r="L505" s="87" t="b">
        <v>0</v>
      </c>
    </row>
    <row r="506" spans="1:12" ht="15">
      <c r="A506" s="88" t="s">
        <v>1822</v>
      </c>
      <c r="B506" s="87" t="s">
        <v>1823</v>
      </c>
      <c r="C506" s="87">
        <v>16</v>
      </c>
      <c r="D506" s="110">
        <v>0.0056674923699218714</v>
      </c>
      <c r="E506" s="110">
        <v>1.9688882630788307</v>
      </c>
      <c r="F506" s="87" t="s">
        <v>1330</v>
      </c>
      <c r="G506" s="87" t="b">
        <v>0</v>
      </c>
      <c r="H506" s="87" t="b">
        <v>0</v>
      </c>
      <c r="I506" s="87" t="b">
        <v>0</v>
      </c>
      <c r="J506" s="87" t="b">
        <v>0</v>
      </c>
      <c r="K506" s="87" t="b">
        <v>0</v>
      </c>
      <c r="L506" s="87" t="b">
        <v>0</v>
      </c>
    </row>
    <row r="507" spans="1:12" ht="15">
      <c r="A507" s="88" t="s">
        <v>1516</v>
      </c>
      <c r="B507" s="87" t="s">
        <v>1456</v>
      </c>
      <c r="C507" s="87">
        <v>15</v>
      </c>
      <c r="D507" s="110">
        <v>0.005506931790953598</v>
      </c>
      <c r="E507" s="110">
        <v>1.2682184738649174</v>
      </c>
      <c r="F507" s="87" t="s">
        <v>1330</v>
      </c>
      <c r="G507" s="87" t="b">
        <v>0</v>
      </c>
      <c r="H507" s="87" t="b">
        <v>0</v>
      </c>
      <c r="I507" s="87" t="b">
        <v>0</v>
      </c>
      <c r="J507" s="87" t="b">
        <v>0</v>
      </c>
      <c r="K507" s="87" t="b">
        <v>0</v>
      </c>
      <c r="L507" s="87" t="b">
        <v>0</v>
      </c>
    </row>
    <row r="508" spans="1:12" ht="15">
      <c r="A508" s="88" t="s">
        <v>1462</v>
      </c>
      <c r="B508" s="87" t="s">
        <v>1437</v>
      </c>
      <c r="C508" s="87">
        <v>12</v>
      </c>
      <c r="D508" s="110">
        <v>0.004941206490384563</v>
      </c>
      <c r="E508" s="110">
        <v>0.6948771101455113</v>
      </c>
      <c r="F508" s="87" t="s">
        <v>1330</v>
      </c>
      <c r="G508" s="87" t="b">
        <v>0</v>
      </c>
      <c r="H508" s="87" t="b">
        <v>0</v>
      </c>
      <c r="I508" s="87" t="b">
        <v>0</v>
      </c>
      <c r="J508" s="87" t="b">
        <v>0</v>
      </c>
      <c r="K508" s="87" t="b">
        <v>0</v>
      </c>
      <c r="L508" s="87" t="b">
        <v>0</v>
      </c>
    </row>
    <row r="509" spans="1:12" ht="15">
      <c r="A509" s="88" t="s">
        <v>1833</v>
      </c>
      <c r="B509" s="87" t="s">
        <v>1821</v>
      </c>
      <c r="C509" s="87">
        <v>11</v>
      </c>
      <c r="D509" s="110">
        <v>0.00472090596630871</v>
      </c>
      <c r="E509" s="110">
        <v>1.7744979573257933</v>
      </c>
      <c r="F509" s="87" t="s">
        <v>1330</v>
      </c>
      <c r="G509" s="87" t="b">
        <v>1</v>
      </c>
      <c r="H509" s="87" t="b">
        <v>0</v>
      </c>
      <c r="I509" s="87" t="b">
        <v>0</v>
      </c>
      <c r="J509" s="87" t="b">
        <v>0</v>
      </c>
      <c r="K509" s="87" t="b">
        <v>0</v>
      </c>
      <c r="L509" s="87" t="b">
        <v>0</v>
      </c>
    </row>
    <row r="510" spans="1:12" ht="15">
      <c r="A510" s="88" t="s">
        <v>1469</v>
      </c>
      <c r="B510" s="87" t="s">
        <v>1456</v>
      </c>
      <c r="C510" s="87">
        <v>11</v>
      </c>
      <c r="D510" s="110">
        <v>0.00472090596630871</v>
      </c>
      <c r="E510" s="110">
        <v>1.0513331437801112</v>
      </c>
      <c r="F510" s="87" t="s">
        <v>1330</v>
      </c>
      <c r="G510" s="87" t="b">
        <v>0</v>
      </c>
      <c r="H510" s="87" t="b">
        <v>0</v>
      </c>
      <c r="I510" s="87" t="b">
        <v>0</v>
      </c>
      <c r="J510" s="87" t="b">
        <v>0</v>
      </c>
      <c r="K510" s="87" t="b">
        <v>0</v>
      </c>
      <c r="L510" s="87" t="b">
        <v>0</v>
      </c>
    </row>
    <row r="511" spans="1:12" ht="15">
      <c r="A511" s="88" t="s">
        <v>1837</v>
      </c>
      <c r="B511" s="87" t="s">
        <v>1516</v>
      </c>
      <c r="C511" s="87">
        <v>11</v>
      </c>
      <c r="D511" s="110">
        <v>0.00472090596630871</v>
      </c>
      <c r="E511" s="110">
        <v>1.9372252548234932</v>
      </c>
      <c r="F511" s="87" t="s">
        <v>1330</v>
      </c>
      <c r="G511" s="87" t="b">
        <v>1</v>
      </c>
      <c r="H511" s="87" t="b">
        <v>0</v>
      </c>
      <c r="I511" s="87" t="b">
        <v>0</v>
      </c>
      <c r="J511" s="87" t="b">
        <v>0</v>
      </c>
      <c r="K511" s="87" t="b">
        <v>0</v>
      </c>
      <c r="L511" s="87" t="b">
        <v>0</v>
      </c>
    </row>
    <row r="512" spans="1:12" ht="15">
      <c r="A512" s="88" t="s">
        <v>1823</v>
      </c>
      <c r="B512" s="87" t="s">
        <v>1820</v>
      </c>
      <c r="C512" s="87">
        <v>10</v>
      </c>
      <c r="D512" s="110">
        <v>0.004482394535235829</v>
      </c>
      <c r="E512" s="110">
        <v>1.744564894334619</v>
      </c>
      <c r="F512" s="87" t="s">
        <v>1330</v>
      </c>
      <c r="G512" s="87" t="b">
        <v>0</v>
      </c>
      <c r="H512" s="87" t="b">
        <v>0</v>
      </c>
      <c r="I512" s="87" t="b">
        <v>0</v>
      </c>
      <c r="J512" s="87" t="b">
        <v>0</v>
      </c>
      <c r="K512" s="87" t="b">
        <v>0</v>
      </c>
      <c r="L512" s="87" t="b">
        <v>0</v>
      </c>
    </row>
    <row r="513" spans="1:12" ht="15">
      <c r="A513" s="88" t="s">
        <v>1437</v>
      </c>
      <c r="B513" s="87" t="s">
        <v>1832</v>
      </c>
      <c r="C513" s="87">
        <v>10</v>
      </c>
      <c r="D513" s="110">
        <v>0.004482394535235829</v>
      </c>
      <c r="E513" s="110">
        <v>1.1838975881648817</v>
      </c>
      <c r="F513" s="87" t="s">
        <v>1330</v>
      </c>
      <c r="G513" s="87" t="b">
        <v>0</v>
      </c>
      <c r="H513" s="87" t="b">
        <v>0</v>
      </c>
      <c r="I513" s="87" t="b">
        <v>0</v>
      </c>
      <c r="J513" s="87" t="b">
        <v>1</v>
      </c>
      <c r="K513" s="87" t="b">
        <v>0</v>
      </c>
      <c r="L513" s="87" t="b">
        <v>0</v>
      </c>
    </row>
    <row r="514" spans="1:12" ht="15">
      <c r="A514" s="88" t="s">
        <v>1437</v>
      </c>
      <c r="B514" s="87" t="s">
        <v>1456</v>
      </c>
      <c r="C514" s="87">
        <v>10</v>
      </c>
      <c r="D514" s="110">
        <v>0.004482394535235829</v>
      </c>
      <c r="E514" s="110">
        <v>0.33879954815062474</v>
      </c>
      <c r="F514" s="87" t="s">
        <v>1330</v>
      </c>
      <c r="G514" s="87" t="b">
        <v>0</v>
      </c>
      <c r="H514" s="87" t="b">
        <v>0</v>
      </c>
      <c r="I514" s="87" t="b">
        <v>0</v>
      </c>
      <c r="J514" s="87" t="b">
        <v>0</v>
      </c>
      <c r="K514" s="87" t="b">
        <v>0</v>
      </c>
      <c r="L514" s="87" t="b">
        <v>0</v>
      </c>
    </row>
    <row r="515" spans="1:12" ht="15">
      <c r="A515" s="88" t="s">
        <v>1453</v>
      </c>
      <c r="B515" s="87" t="s">
        <v>1837</v>
      </c>
      <c r="C515" s="87">
        <v>10</v>
      </c>
      <c r="D515" s="110">
        <v>0.004482394535235829</v>
      </c>
      <c r="E515" s="110">
        <v>1.348953547981164</v>
      </c>
      <c r="F515" s="87" t="s">
        <v>1330</v>
      </c>
      <c r="G515" s="87" t="b">
        <v>0</v>
      </c>
      <c r="H515" s="87" t="b">
        <v>0</v>
      </c>
      <c r="I515" s="87" t="b">
        <v>0</v>
      </c>
      <c r="J515" s="87" t="b">
        <v>1</v>
      </c>
      <c r="K515" s="87" t="b">
        <v>0</v>
      </c>
      <c r="L515" s="87" t="b">
        <v>0</v>
      </c>
    </row>
    <row r="516" spans="1:12" ht="15">
      <c r="A516" s="88" t="s">
        <v>1824</v>
      </c>
      <c r="B516" s="87" t="s">
        <v>1455</v>
      </c>
      <c r="C516" s="87">
        <v>10</v>
      </c>
      <c r="D516" s="110">
        <v>0.004482394535235829</v>
      </c>
      <c r="E516" s="110">
        <v>1.0112259883673376</v>
      </c>
      <c r="F516" s="87" t="s">
        <v>1330</v>
      </c>
      <c r="G516" s="87" t="b">
        <v>0</v>
      </c>
      <c r="H516" s="87" t="b">
        <v>0</v>
      </c>
      <c r="I516" s="87" t="b">
        <v>0</v>
      </c>
      <c r="J516" s="87" t="b">
        <v>0</v>
      </c>
      <c r="K516" s="87" t="b">
        <v>0</v>
      </c>
      <c r="L516" s="87" t="b">
        <v>0</v>
      </c>
    </row>
    <row r="517" spans="1:12" ht="15">
      <c r="A517" s="88" t="s">
        <v>1453</v>
      </c>
      <c r="B517" s="87" t="s">
        <v>1513</v>
      </c>
      <c r="C517" s="87">
        <v>10</v>
      </c>
      <c r="D517" s="110">
        <v>0.004482394535235829</v>
      </c>
      <c r="E517" s="110">
        <v>0.9872257119635711</v>
      </c>
      <c r="F517" s="87" t="s">
        <v>1330</v>
      </c>
      <c r="G517" s="87" t="b">
        <v>0</v>
      </c>
      <c r="H517" s="87" t="b">
        <v>0</v>
      </c>
      <c r="I517" s="87" t="b">
        <v>0</v>
      </c>
      <c r="J517" s="87" t="b">
        <v>0</v>
      </c>
      <c r="K517" s="87" t="b">
        <v>0</v>
      </c>
      <c r="L517" s="87" t="b">
        <v>0</v>
      </c>
    </row>
    <row r="518" spans="1:12" ht="15">
      <c r="A518" s="88" t="s">
        <v>1516</v>
      </c>
      <c r="B518" s="87" t="s">
        <v>1825</v>
      </c>
      <c r="C518" s="87">
        <v>9</v>
      </c>
      <c r="D518" s="110">
        <v>0.004223845277495792</v>
      </c>
      <c r="E518" s="110">
        <v>1.612714163309989</v>
      </c>
      <c r="F518" s="87" t="s">
        <v>1330</v>
      </c>
      <c r="G518" s="87" t="b">
        <v>0</v>
      </c>
      <c r="H518" s="87" t="b">
        <v>0</v>
      </c>
      <c r="I518" s="87" t="b">
        <v>0</v>
      </c>
      <c r="J518" s="87" t="b">
        <v>0</v>
      </c>
      <c r="K518" s="87" t="b">
        <v>0</v>
      </c>
      <c r="L518" s="87" t="b">
        <v>0</v>
      </c>
    </row>
    <row r="519" spans="1:12" ht="15">
      <c r="A519" s="88" t="s">
        <v>1832</v>
      </c>
      <c r="B519" s="87" t="s">
        <v>1459</v>
      </c>
      <c r="C519" s="87">
        <v>9</v>
      </c>
      <c r="D519" s="110">
        <v>0.004223845277495792</v>
      </c>
      <c r="E519" s="110">
        <v>1.7034772819074289</v>
      </c>
      <c r="F519" s="87" t="s">
        <v>1330</v>
      </c>
      <c r="G519" s="87" t="b">
        <v>1</v>
      </c>
      <c r="H519" s="87" t="b">
        <v>0</v>
      </c>
      <c r="I519" s="87" t="b">
        <v>0</v>
      </c>
      <c r="J519" s="87" t="b">
        <v>0</v>
      </c>
      <c r="K519" s="87" t="b">
        <v>0</v>
      </c>
      <c r="L519" s="87" t="b">
        <v>0</v>
      </c>
    </row>
    <row r="520" spans="1:12" ht="15">
      <c r="A520" s="88" t="s">
        <v>1460</v>
      </c>
      <c r="B520" s="87" t="s">
        <v>1472</v>
      </c>
      <c r="C520" s="87">
        <v>9</v>
      </c>
      <c r="D520" s="110">
        <v>0.004223845277495792</v>
      </c>
      <c r="E520" s="110">
        <v>1.4131418084047849</v>
      </c>
      <c r="F520" s="87" t="s">
        <v>1330</v>
      </c>
      <c r="G520" s="87" t="b">
        <v>0</v>
      </c>
      <c r="H520" s="87" t="b">
        <v>0</v>
      </c>
      <c r="I520" s="87" t="b">
        <v>0</v>
      </c>
      <c r="J520" s="87" t="b">
        <v>0</v>
      </c>
      <c r="K520" s="87" t="b">
        <v>0</v>
      </c>
      <c r="L520" s="87" t="b">
        <v>0</v>
      </c>
    </row>
    <row r="521" spans="1:12" ht="15">
      <c r="A521" s="88" t="s">
        <v>1819</v>
      </c>
      <c r="B521" s="87" t="s">
        <v>1455</v>
      </c>
      <c r="C521" s="87">
        <v>9</v>
      </c>
      <c r="D521" s="110">
        <v>0.004223845277495792</v>
      </c>
      <c r="E521" s="110">
        <v>0.9847736530020492</v>
      </c>
      <c r="F521" s="87" t="s">
        <v>1330</v>
      </c>
      <c r="G521" s="87" t="b">
        <v>0</v>
      </c>
      <c r="H521" s="87" t="b">
        <v>0</v>
      </c>
      <c r="I521" s="87" t="b">
        <v>0</v>
      </c>
      <c r="J521" s="87" t="b">
        <v>0</v>
      </c>
      <c r="K521" s="87" t="b">
        <v>0</v>
      </c>
      <c r="L521" s="87" t="b">
        <v>0</v>
      </c>
    </row>
    <row r="522" spans="1:12" ht="15">
      <c r="A522" s="88" t="s">
        <v>1459</v>
      </c>
      <c r="B522" s="87" t="s">
        <v>1456</v>
      </c>
      <c r="C522" s="87">
        <v>8</v>
      </c>
      <c r="D522" s="110">
        <v>0.003943022999936453</v>
      </c>
      <c r="E522" s="110">
        <v>0.8072267194457908</v>
      </c>
      <c r="F522" s="87" t="s">
        <v>1330</v>
      </c>
      <c r="G522" s="87" t="b">
        <v>0</v>
      </c>
      <c r="H522" s="87" t="b">
        <v>0</v>
      </c>
      <c r="I522" s="87" t="b">
        <v>0</v>
      </c>
      <c r="J522" s="87" t="b">
        <v>0</v>
      </c>
      <c r="K522" s="87" t="b">
        <v>0</v>
      </c>
      <c r="L522" s="87" t="b">
        <v>0</v>
      </c>
    </row>
    <row r="523" spans="1:12" ht="15">
      <c r="A523" s="88" t="s">
        <v>1469</v>
      </c>
      <c r="B523" s="87" t="s">
        <v>1437</v>
      </c>
      <c r="C523" s="87">
        <v>8</v>
      </c>
      <c r="D523" s="110">
        <v>0.003943022999936453</v>
      </c>
      <c r="E523" s="110">
        <v>0.6245895772578691</v>
      </c>
      <c r="F523" s="87" t="s">
        <v>1330</v>
      </c>
      <c r="G523" s="87" t="b">
        <v>0</v>
      </c>
      <c r="H523" s="87" t="b">
        <v>0</v>
      </c>
      <c r="I523" s="87" t="b">
        <v>0</v>
      </c>
      <c r="J523" s="87" t="b">
        <v>0</v>
      </c>
      <c r="K523" s="87" t="b">
        <v>0</v>
      </c>
      <c r="L523" s="87" t="b">
        <v>0</v>
      </c>
    </row>
    <row r="524" spans="1:12" ht="15">
      <c r="A524" s="88" t="s">
        <v>1829</v>
      </c>
      <c r="B524" s="87" t="s">
        <v>1820</v>
      </c>
      <c r="C524" s="87">
        <v>7</v>
      </c>
      <c r="D524" s="110">
        <v>0.0036371297536149667</v>
      </c>
      <c r="E524" s="110">
        <v>1.917021868735206</v>
      </c>
      <c r="F524" s="87" t="s">
        <v>1330</v>
      </c>
      <c r="G524" s="87" t="b">
        <v>1</v>
      </c>
      <c r="H524" s="87" t="b">
        <v>0</v>
      </c>
      <c r="I524" s="87" t="b">
        <v>0</v>
      </c>
      <c r="J524" s="87" t="b">
        <v>0</v>
      </c>
      <c r="K524" s="87" t="b">
        <v>0</v>
      </c>
      <c r="L524" s="87" t="b">
        <v>0</v>
      </c>
    </row>
    <row r="525" spans="1:12" ht="15">
      <c r="A525" s="88" t="s">
        <v>1826</v>
      </c>
      <c r="B525" s="87" t="s">
        <v>1490</v>
      </c>
      <c r="C525" s="87">
        <v>7</v>
      </c>
      <c r="D525" s="110">
        <v>0.0036371297536149667</v>
      </c>
      <c r="E525" s="110">
        <v>1.3218013019375492</v>
      </c>
      <c r="F525" s="87" t="s">
        <v>1330</v>
      </c>
      <c r="G525" s="87" t="b">
        <v>0</v>
      </c>
      <c r="H525" s="87" t="b">
        <v>0</v>
      </c>
      <c r="I525" s="87" t="b">
        <v>0</v>
      </c>
      <c r="J525" s="87" t="b">
        <v>0</v>
      </c>
      <c r="K525" s="87" t="b">
        <v>0</v>
      </c>
      <c r="L525" s="87" t="b">
        <v>0</v>
      </c>
    </row>
    <row r="526" spans="1:12" ht="15">
      <c r="A526" s="88" t="s">
        <v>1522</v>
      </c>
      <c r="B526" s="87" t="s">
        <v>1523</v>
      </c>
      <c r="C526" s="87">
        <v>7</v>
      </c>
      <c r="D526" s="110">
        <v>0.0036371297536149667</v>
      </c>
      <c r="E526" s="110">
        <v>2.4143465095431553</v>
      </c>
      <c r="F526" s="87" t="s">
        <v>1330</v>
      </c>
      <c r="G526" s="87" t="b">
        <v>1</v>
      </c>
      <c r="H526" s="87" t="b">
        <v>0</v>
      </c>
      <c r="I526" s="87" t="b">
        <v>0</v>
      </c>
      <c r="J526" s="87" t="b">
        <v>0</v>
      </c>
      <c r="K526" s="87" t="b">
        <v>0</v>
      </c>
      <c r="L526" s="87" t="b">
        <v>0</v>
      </c>
    </row>
    <row r="527" spans="1:12" ht="15">
      <c r="A527" s="88" t="s">
        <v>1523</v>
      </c>
      <c r="B527" s="87" t="s">
        <v>1453</v>
      </c>
      <c r="C527" s="87">
        <v>7</v>
      </c>
      <c r="D527" s="110">
        <v>0.0036371297536149667</v>
      </c>
      <c r="E527" s="110">
        <v>1.8280807853984251</v>
      </c>
      <c r="F527" s="87" t="s">
        <v>1330</v>
      </c>
      <c r="G527" s="87" t="b">
        <v>0</v>
      </c>
      <c r="H527" s="87" t="b">
        <v>0</v>
      </c>
      <c r="I527" s="87" t="b">
        <v>0</v>
      </c>
      <c r="J527" s="87" t="b">
        <v>0</v>
      </c>
      <c r="K527" s="87" t="b">
        <v>0</v>
      </c>
      <c r="L527" s="87" t="b">
        <v>0</v>
      </c>
    </row>
    <row r="528" spans="1:12" ht="15">
      <c r="A528" s="88" t="s">
        <v>451</v>
      </c>
      <c r="B528" s="87" t="s">
        <v>1513</v>
      </c>
      <c r="C528" s="87">
        <v>7</v>
      </c>
      <c r="D528" s="110">
        <v>0.0036371297536149667</v>
      </c>
      <c r="E528" s="110">
        <v>1.9557086605175062</v>
      </c>
      <c r="F528" s="87" t="s">
        <v>1330</v>
      </c>
      <c r="G528" s="87" t="b">
        <v>0</v>
      </c>
      <c r="H528" s="87" t="b">
        <v>0</v>
      </c>
      <c r="I528" s="87" t="b">
        <v>0</v>
      </c>
      <c r="J528" s="87" t="b">
        <v>0</v>
      </c>
      <c r="K528" s="87" t="b">
        <v>0</v>
      </c>
      <c r="L528" s="87" t="b">
        <v>0</v>
      </c>
    </row>
    <row r="529" spans="1:12" ht="15">
      <c r="A529" s="88" t="s">
        <v>341</v>
      </c>
      <c r="B529" s="87" t="s">
        <v>1453</v>
      </c>
      <c r="C529" s="87">
        <v>7</v>
      </c>
      <c r="D529" s="110">
        <v>0.0036371297536149667</v>
      </c>
      <c r="E529" s="110">
        <v>1.3161974244195507</v>
      </c>
      <c r="F529" s="87" t="s">
        <v>1330</v>
      </c>
      <c r="G529" s="87" t="b">
        <v>0</v>
      </c>
      <c r="H529" s="87" t="b">
        <v>0</v>
      </c>
      <c r="I529" s="87" t="b">
        <v>0</v>
      </c>
      <c r="J529" s="87" t="b">
        <v>0</v>
      </c>
      <c r="K529" s="87" t="b">
        <v>0</v>
      </c>
      <c r="L529" s="87" t="b">
        <v>0</v>
      </c>
    </row>
    <row r="530" spans="1:12" ht="15">
      <c r="A530" s="88" t="s">
        <v>1841</v>
      </c>
      <c r="B530" s="87" t="s">
        <v>1437</v>
      </c>
      <c r="C530" s="87">
        <v>6</v>
      </c>
      <c r="D530" s="110">
        <v>0.0033025608564239196</v>
      </c>
      <c r="E530" s="110">
        <v>1.0078063291092003</v>
      </c>
      <c r="F530" s="87" t="s">
        <v>1330</v>
      </c>
      <c r="G530" s="87" t="b">
        <v>0</v>
      </c>
      <c r="H530" s="87" t="b">
        <v>0</v>
      </c>
      <c r="I530" s="87" t="b">
        <v>0</v>
      </c>
      <c r="J530" s="87" t="b">
        <v>0</v>
      </c>
      <c r="K530" s="87" t="b">
        <v>0</v>
      </c>
      <c r="L530" s="87" t="b">
        <v>0</v>
      </c>
    </row>
    <row r="531" spans="1:12" ht="15">
      <c r="A531" s="88" t="s">
        <v>1825</v>
      </c>
      <c r="B531" s="87" t="s">
        <v>1833</v>
      </c>
      <c r="C531" s="87">
        <v>6</v>
      </c>
      <c r="D531" s="110">
        <v>0.0033025608564239196</v>
      </c>
      <c r="E531" s="110">
        <v>1.6941872061371985</v>
      </c>
      <c r="F531" s="87" t="s">
        <v>1330</v>
      </c>
      <c r="G531" s="87" t="b">
        <v>0</v>
      </c>
      <c r="H531" s="87" t="b">
        <v>0</v>
      </c>
      <c r="I531" s="87" t="b">
        <v>0</v>
      </c>
      <c r="J531" s="87" t="b">
        <v>1</v>
      </c>
      <c r="K531" s="87" t="b">
        <v>0</v>
      </c>
      <c r="L531" s="87" t="b">
        <v>0</v>
      </c>
    </row>
    <row r="532" spans="1:12" ht="15">
      <c r="A532" s="88" t="s">
        <v>1453</v>
      </c>
      <c r="B532" s="87" t="s">
        <v>1821</v>
      </c>
      <c r="C532" s="87">
        <v>6</v>
      </c>
      <c r="D532" s="110">
        <v>0.0033025608564239196</v>
      </c>
      <c r="E532" s="110">
        <v>0.6219548200449017</v>
      </c>
      <c r="F532" s="87" t="s">
        <v>1330</v>
      </c>
      <c r="G532" s="87" t="b">
        <v>0</v>
      </c>
      <c r="H532" s="87" t="b">
        <v>0</v>
      </c>
      <c r="I532" s="87" t="b">
        <v>0</v>
      </c>
      <c r="J532" s="87" t="b">
        <v>0</v>
      </c>
      <c r="K532" s="87" t="b">
        <v>0</v>
      </c>
      <c r="L532" s="87" t="b">
        <v>0</v>
      </c>
    </row>
    <row r="533" spans="1:12" ht="15">
      <c r="A533" s="88" t="s">
        <v>1437</v>
      </c>
      <c r="B533" s="87" t="s">
        <v>1835</v>
      </c>
      <c r="C533" s="87">
        <v>6</v>
      </c>
      <c r="D533" s="110">
        <v>0.0033025608564239196</v>
      </c>
      <c r="E533" s="110">
        <v>0.8828675925009004</v>
      </c>
      <c r="F533" s="87" t="s">
        <v>1330</v>
      </c>
      <c r="G533" s="87" t="b">
        <v>0</v>
      </c>
      <c r="H533" s="87" t="b">
        <v>0</v>
      </c>
      <c r="I533" s="87" t="b">
        <v>0</v>
      </c>
      <c r="J533" s="87" t="b">
        <v>0</v>
      </c>
      <c r="K533" s="87" t="b">
        <v>0</v>
      </c>
      <c r="L533" s="87" t="b">
        <v>0</v>
      </c>
    </row>
    <row r="534" spans="1:12" ht="15">
      <c r="A534" s="88" t="s">
        <v>1453</v>
      </c>
      <c r="B534" s="87" t="s">
        <v>1462</v>
      </c>
      <c r="C534" s="87">
        <v>6</v>
      </c>
      <c r="D534" s="110">
        <v>0.0033025608564239196</v>
      </c>
      <c r="E534" s="110">
        <v>0.5589030742978127</v>
      </c>
      <c r="F534" s="87" t="s">
        <v>1330</v>
      </c>
      <c r="G534" s="87" t="b">
        <v>0</v>
      </c>
      <c r="H534" s="87" t="b">
        <v>0</v>
      </c>
      <c r="I534" s="87" t="b">
        <v>0</v>
      </c>
      <c r="J534" s="87" t="b">
        <v>0</v>
      </c>
      <c r="K534" s="87" t="b">
        <v>0</v>
      </c>
      <c r="L534" s="87" t="b">
        <v>0</v>
      </c>
    </row>
    <row r="535" spans="1:12" ht="15">
      <c r="A535" s="88" t="s">
        <v>1521</v>
      </c>
      <c r="B535" s="87" t="s">
        <v>1522</v>
      </c>
      <c r="C535" s="87">
        <v>6</v>
      </c>
      <c r="D535" s="110">
        <v>0.0033025608564239196</v>
      </c>
      <c r="E535" s="110">
        <v>2.472338456520842</v>
      </c>
      <c r="F535" s="87" t="s">
        <v>1330</v>
      </c>
      <c r="G535" s="87" t="b">
        <v>0</v>
      </c>
      <c r="H535" s="87" t="b">
        <v>0</v>
      </c>
      <c r="I535" s="87" t="b">
        <v>0</v>
      </c>
      <c r="J535" s="87" t="b">
        <v>1</v>
      </c>
      <c r="K535" s="87" t="b">
        <v>0</v>
      </c>
      <c r="L535" s="87" t="b">
        <v>0</v>
      </c>
    </row>
    <row r="536" spans="1:12" ht="15">
      <c r="A536" s="88" t="s">
        <v>1472</v>
      </c>
      <c r="B536" s="87" t="s">
        <v>279</v>
      </c>
      <c r="C536" s="87">
        <v>6</v>
      </c>
      <c r="D536" s="110">
        <v>0.0033025608564239196</v>
      </c>
      <c r="E536" s="110">
        <v>2.0386828955822702</v>
      </c>
      <c r="F536" s="87" t="s">
        <v>1330</v>
      </c>
      <c r="G536" s="87" t="b">
        <v>0</v>
      </c>
      <c r="H536" s="87" t="b">
        <v>0</v>
      </c>
      <c r="I536" s="87" t="b">
        <v>0</v>
      </c>
      <c r="J536" s="87" t="b">
        <v>0</v>
      </c>
      <c r="K536" s="87" t="b">
        <v>0</v>
      </c>
      <c r="L536" s="87" t="b">
        <v>0</v>
      </c>
    </row>
    <row r="537" spans="1:12" ht="15">
      <c r="A537" s="88" t="s">
        <v>279</v>
      </c>
      <c r="B537" s="87" t="s">
        <v>1867</v>
      </c>
      <c r="C537" s="87">
        <v>6</v>
      </c>
      <c r="D537" s="110">
        <v>0.0033025608564239196</v>
      </c>
      <c r="E537" s="110">
        <v>2.5392852461514552</v>
      </c>
      <c r="F537" s="87" t="s">
        <v>1330</v>
      </c>
      <c r="G537" s="87" t="b">
        <v>0</v>
      </c>
      <c r="H537" s="87" t="b">
        <v>0</v>
      </c>
      <c r="I537" s="87" t="b">
        <v>0</v>
      </c>
      <c r="J537" s="87" t="b">
        <v>0</v>
      </c>
      <c r="K537" s="87" t="b">
        <v>0</v>
      </c>
      <c r="L537" s="87" t="b">
        <v>0</v>
      </c>
    </row>
    <row r="538" spans="1:12" ht="15">
      <c r="A538" s="88" t="s">
        <v>1867</v>
      </c>
      <c r="B538" s="87" t="s">
        <v>1868</v>
      </c>
      <c r="C538" s="87">
        <v>6</v>
      </c>
      <c r="D538" s="110">
        <v>0.0033025608564239196</v>
      </c>
      <c r="E538" s="110">
        <v>2.5392852461514552</v>
      </c>
      <c r="F538" s="87" t="s">
        <v>1330</v>
      </c>
      <c r="G538" s="87" t="b">
        <v>0</v>
      </c>
      <c r="H538" s="87" t="b">
        <v>0</v>
      </c>
      <c r="I538" s="87" t="b">
        <v>0</v>
      </c>
      <c r="J538" s="87" t="b">
        <v>0</v>
      </c>
      <c r="K538" s="87" t="b">
        <v>0</v>
      </c>
      <c r="L538" s="87" t="b">
        <v>0</v>
      </c>
    </row>
    <row r="539" spans="1:12" ht="15">
      <c r="A539" s="88" t="s">
        <v>1868</v>
      </c>
      <c r="B539" s="87" t="s">
        <v>1858</v>
      </c>
      <c r="C539" s="87">
        <v>6</v>
      </c>
      <c r="D539" s="110">
        <v>0.0033025608564239196</v>
      </c>
      <c r="E539" s="110">
        <v>2.472338456520842</v>
      </c>
      <c r="F539" s="87" t="s">
        <v>1330</v>
      </c>
      <c r="G539" s="87" t="b">
        <v>0</v>
      </c>
      <c r="H539" s="87" t="b">
        <v>0</v>
      </c>
      <c r="I539" s="87" t="b">
        <v>0</v>
      </c>
      <c r="J539" s="87" t="b">
        <v>0</v>
      </c>
      <c r="K539" s="87" t="b">
        <v>0</v>
      </c>
      <c r="L539" s="87" t="b">
        <v>0</v>
      </c>
    </row>
    <row r="540" spans="1:12" ht="15">
      <c r="A540" s="88" t="s">
        <v>1858</v>
      </c>
      <c r="B540" s="87" t="s">
        <v>1446</v>
      </c>
      <c r="C540" s="87">
        <v>6</v>
      </c>
      <c r="D540" s="110">
        <v>0.0033025608564239196</v>
      </c>
      <c r="E540" s="110">
        <v>1.7733684521848234</v>
      </c>
      <c r="F540" s="87" t="s">
        <v>1330</v>
      </c>
      <c r="G540" s="87" t="b">
        <v>0</v>
      </c>
      <c r="H540" s="87" t="b">
        <v>0</v>
      </c>
      <c r="I540" s="87" t="b">
        <v>0</v>
      </c>
      <c r="J540" s="87" t="b">
        <v>0</v>
      </c>
      <c r="K540" s="87" t="b">
        <v>0</v>
      </c>
      <c r="L540" s="87" t="b">
        <v>0</v>
      </c>
    </row>
    <row r="541" spans="1:12" ht="15">
      <c r="A541" s="88" t="s">
        <v>1446</v>
      </c>
      <c r="B541" s="87" t="s">
        <v>341</v>
      </c>
      <c r="C541" s="87">
        <v>6</v>
      </c>
      <c r="D541" s="110">
        <v>0.0033025608564239196</v>
      </c>
      <c r="E541" s="110">
        <v>1.2034931442282624</v>
      </c>
      <c r="F541" s="87" t="s">
        <v>1330</v>
      </c>
      <c r="G541" s="87" t="b">
        <v>0</v>
      </c>
      <c r="H541" s="87" t="b">
        <v>0</v>
      </c>
      <c r="I541" s="87" t="b">
        <v>0</v>
      </c>
      <c r="J541" s="87" t="b">
        <v>0</v>
      </c>
      <c r="K541" s="87" t="b">
        <v>0</v>
      </c>
      <c r="L541" s="87" t="b">
        <v>0</v>
      </c>
    </row>
    <row r="542" spans="1:12" ht="15">
      <c r="A542" s="88" t="s">
        <v>341</v>
      </c>
      <c r="B542" s="87" t="s">
        <v>451</v>
      </c>
      <c r="C542" s="87">
        <v>6</v>
      </c>
      <c r="D542" s="110">
        <v>0.0033025608564239196</v>
      </c>
      <c r="E542" s="110">
        <v>1.835516358933668</v>
      </c>
      <c r="F542" s="87" t="s">
        <v>1330</v>
      </c>
      <c r="G542" s="87" t="b">
        <v>0</v>
      </c>
      <c r="H542" s="87" t="b">
        <v>0</v>
      </c>
      <c r="I542" s="87" t="b">
        <v>0</v>
      </c>
      <c r="J542" s="87" t="b">
        <v>0</v>
      </c>
      <c r="K542" s="87" t="b">
        <v>0</v>
      </c>
      <c r="L542" s="87" t="b">
        <v>0</v>
      </c>
    </row>
    <row r="543" spans="1:12" ht="15">
      <c r="A543" s="88" t="s">
        <v>1823</v>
      </c>
      <c r="B543" s="87" t="s">
        <v>1462</v>
      </c>
      <c r="C543" s="87">
        <v>6</v>
      </c>
      <c r="D543" s="110">
        <v>0.0033025608564239196</v>
      </c>
      <c r="E543" s="110">
        <v>1.2969371014734736</v>
      </c>
      <c r="F543" s="87" t="s">
        <v>1330</v>
      </c>
      <c r="G543" s="87" t="b">
        <v>0</v>
      </c>
      <c r="H543" s="87" t="b">
        <v>0</v>
      </c>
      <c r="I543" s="87" t="b">
        <v>0</v>
      </c>
      <c r="J543" s="87" t="b">
        <v>0</v>
      </c>
      <c r="K543" s="87" t="b">
        <v>0</v>
      </c>
      <c r="L543" s="87" t="b">
        <v>0</v>
      </c>
    </row>
    <row r="544" spans="1:12" ht="15">
      <c r="A544" s="88" t="s">
        <v>1462</v>
      </c>
      <c r="B544" s="87" t="s">
        <v>1459</v>
      </c>
      <c r="C544" s="87">
        <v>6</v>
      </c>
      <c r="D544" s="110">
        <v>0.0033025608564239196</v>
      </c>
      <c r="E544" s="110">
        <v>0.9591842987847526</v>
      </c>
      <c r="F544" s="87" t="s">
        <v>1330</v>
      </c>
      <c r="G544" s="87" t="b">
        <v>0</v>
      </c>
      <c r="H544" s="87" t="b">
        <v>0</v>
      </c>
      <c r="I544" s="87" t="b">
        <v>0</v>
      </c>
      <c r="J544" s="87" t="b">
        <v>0</v>
      </c>
      <c r="K544" s="87" t="b">
        <v>0</v>
      </c>
      <c r="L544" s="87" t="b">
        <v>0</v>
      </c>
    </row>
    <row r="545" spans="1:12" ht="15">
      <c r="A545" s="88" t="s">
        <v>1836</v>
      </c>
      <c r="B545" s="87" t="s">
        <v>341</v>
      </c>
      <c r="C545" s="87">
        <v>6</v>
      </c>
      <c r="D545" s="110">
        <v>0.0033025608564239196</v>
      </c>
      <c r="E545" s="110">
        <v>1.6014331529002999</v>
      </c>
      <c r="F545" s="87" t="s">
        <v>1330</v>
      </c>
      <c r="G545" s="87" t="b">
        <v>0</v>
      </c>
      <c r="H545" s="87" t="b">
        <v>0</v>
      </c>
      <c r="I545" s="87" t="b">
        <v>0</v>
      </c>
      <c r="J545" s="87" t="b">
        <v>0</v>
      </c>
      <c r="K545" s="87" t="b">
        <v>0</v>
      </c>
      <c r="L545" s="87" t="b">
        <v>0</v>
      </c>
    </row>
    <row r="546" spans="1:12" ht="15">
      <c r="A546" s="88" t="s">
        <v>1493</v>
      </c>
      <c r="B546" s="87" t="s">
        <v>1437</v>
      </c>
      <c r="C546" s="87">
        <v>5</v>
      </c>
      <c r="D546" s="110">
        <v>0.0029344952769776132</v>
      </c>
      <c r="E546" s="110">
        <v>0.5211397564833075</v>
      </c>
      <c r="F546" s="87" t="s">
        <v>1330</v>
      </c>
      <c r="G546" s="87" t="b">
        <v>0</v>
      </c>
      <c r="H546" s="87" t="b">
        <v>0</v>
      </c>
      <c r="I546" s="87" t="b">
        <v>0</v>
      </c>
      <c r="J546" s="87" t="b">
        <v>0</v>
      </c>
      <c r="K546" s="87" t="b">
        <v>0</v>
      </c>
      <c r="L546" s="87" t="b">
        <v>0</v>
      </c>
    </row>
    <row r="547" spans="1:12" ht="15">
      <c r="A547" s="88" t="s">
        <v>1842</v>
      </c>
      <c r="B547" s="87" t="s">
        <v>1843</v>
      </c>
      <c r="C547" s="87">
        <v>5</v>
      </c>
      <c r="D547" s="110">
        <v>0.0029344952769776132</v>
      </c>
      <c r="E547" s="110">
        <v>2.6184664921990803</v>
      </c>
      <c r="F547" s="87" t="s">
        <v>1330</v>
      </c>
      <c r="G547" s="87" t="b">
        <v>1</v>
      </c>
      <c r="H547" s="87" t="b">
        <v>0</v>
      </c>
      <c r="I547" s="87" t="b">
        <v>0</v>
      </c>
      <c r="J547" s="87" t="b">
        <v>0</v>
      </c>
      <c r="K547" s="87" t="b">
        <v>0</v>
      </c>
      <c r="L547" s="87" t="b">
        <v>0</v>
      </c>
    </row>
    <row r="548" spans="1:12" ht="15">
      <c r="A548" s="88" t="s">
        <v>1883</v>
      </c>
      <c r="B548" s="87" t="s">
        <v>1884</v>
      </c>
      <c r="C548" s="87">
        <v>5</v>
      </c>
      <c r="D548" s="110">
        <v>0.0029344952769776132</v>
      </c>
      <c r="E548" s="110">
        <v>2.6184664921990803</v>
      </c>
      <c r="F548" s="87" t="s">
        <v>1330</v>
      </c>
      <c r="G548" s="87" t="b">
        <v>0</v>
      </c>
      <c r="H548" s="87" t="b">
        <v>0</v>
      </c>
      <c r="I548" s="87" t="b">
        <v>0</v>
      </c>
      <c r="J548" s="87" t="b">
        <v>0</v>
      </c>
      <c r="K548" s="87" t="b">
        <v>0</v>
      </c>
      <c r="L548" s="87" t="b">
        <v>0</v>
      </c>
    </row>
    <row r="549" spans="1:12" ht="15">
      <c r="A549" s="88" t="s">
        <v>1437</v>
      </c>
      <c r="B549" s="87" t="s">
        <v>1833</v>
      </c>
      <c r="C549" s="87">
        <v>5</v>
      </c>
      <c r="D549" s="110">
        <v>0.0029344952769776132</v>
      </c>
      <c r="E549" s="110">
        <v>0.8036863464532755</v>
      </c>
      <c r="F549" s="87" t="s">
        <v>1330</v>
      </c>
      <c r="G549" s="87" t="b">
        <v>0</v>
      </c>
      <c r="H549" s="87" t="b">
        <v>0</v>
      </c>
      <c r="I549" s="87" t="b">
        <v>0</v>
      </c>
      <c r="J549" s="87" t="b">
        <v>1</v>
      </c>
      <c r="K549" s="87" t="b">
        <v>0</v>
      </c>
      <c r="L549" s="87" t="b">
        <v>0</v>
      </c>
    </row>
    <row r="550" spans="1:12" ht="15">
      <c r="A550" s="88" t="s">
        <v>1831</v>
      </c>
      <c r="B550" s="87" t="s">
        <v>1455</v>
      </c>
      <c r="C550" s="87">
        <v>5</v>
      </c>
      <c r="D550" s="110">
        <v>0.0029344952769776132</v>
      </c>
      <c r="E550" s="110">
        <v>1.0305311435627242</v>
      </c>
      <c r="F550" s="87" t="s">
        <v>1330</v>
      </c>
      <c r="G550" s="87" t="b">
        <v>0</v>
      </c>
      <c r="H550" s="87" t="b">
        <v>0</v>
      </c>
      <c r="I550" s="87" t="b">
        <v>0</v>
      </c>
      <c r="J550" s="87" t="b">
        <v>0</v>
      </c>
      <c r="K550" s="87" t="b">
        <v>0</v>
      </c>
      <c r="L550" s="87" t="b">
        <v>0</v>
      </c>
    </row>
    <row r="551" spans="1:12" ht="15">
      <c r="A551" s="88" t="s">
        <v>1462</v>
      </c>
      <c r="B551" s="87" t="s">
        <v>1469</v>
      </c>
      <c r="C551" s="87">
        <v>5</v>
      </c>
      <c r="D551" s="110">
        <v>0.0029344952769776132</v>
      </c>
      <c r="E551" s="110">
        <v>0.9858067789051668</v>
      </c>
      <c r="F551" s="87" t="s">
        <v>1330</v>
      </c>
      <c r="G551" s="87" t="b">
        <v>0</v>
      </c>
      <c r="H551" s="87" t="b">
        <v>0</v>
      </c>
      <c r="I551" s="87" t="b">
        <v>0</v>
      </c>
      <c r="J551" s="87" t="b">
        <v>0</v>
      </c>
      <c r="K551" s="87" t="b">
        <v>0</v>
      </c>
      <c r="L551" s="87" t="b">
        <v>0</v>
      </c>
    </row>
    <row r="552" spans="1:12" ht="15">
      <c r="A552" s="88" t="s">
        <v>1453</v>
      </c>
      <c r="B552" s="87" t="s">
        <v>1825</v>
      </c>
      <c r="C552" s="87">
        <v>5</v>
      </c>
      <c r="D552" s="110">
        <v>0.0029344952769776132</v>
      </c>
      <c r="E552" s="110">
        <v>0.7691699513643538</v>
      </c>
      <c r="F552" s="87" t="s">
        <v>1330</v>
      </c>
      <c r="G552" s="87" t="b">
        <v>0</v>
      </c>
      <c r="H552" s="87" t="b">
        <v>0</v>
      </c>
      <c r="I552" s="87" t="b">
        <v>0</v>
      </c>
      <c r="J552" s="87" t="b">
        <v>0</v>
      </c>
      <c r="K552" s="87" t="b">
        <v>0</v>
      </c>
      <c r="L552" s="87" t="b">
        <v>0</v>
      </c>
    </row>
    <row r="553" spans="1:12" ht="15">
      <c r="A553" s="88" t="s">
        <v>1455</v>
      </c>
      <c r="B553" s="87" t="s">
        <v>1454</v>
      </c>
      <c r="C553" s="87">
        <v>5</v>
      </c>
      <c r="D553" s="110">
        <v>0.0029344952769776132</v>
      </c>
      <c r="E553" s="110">
        <v>0.15284573634487542</v>
      </c>
      <c r="F553" s="87" t="s">
        <v>1330</v>
      </c>
      <c r="G553" s="87" t="b">
        <v>0</v>
      </c>
      <c r="H553" s="87" t="b">
        <v>0</v>
      </c>
      <c r="I553" s="87" t="b">
        <v>0</v>
      </c>
      <c r="J553" s="87" t="b">
        <v>0</v>
      </c>
      <c r="K553" s="87" t="b">
        <v>0</v>
      </c>
      <c r="L553" s="87" t="b">
        <v>0</v>
      </c>
    </row>
    <row r="554" spans="1:12" ht="15">
      <c r="A554" s="88" t="s">
        <v>1490</v>
      </c>
      <c r="B554" s="87" t="s">
        <v>1886</v>
      </c>
      <c r="C554" s="87">
        <v>5</v>
      </c>
      <c r="D554" s="110">
        <v>0.0029344952769776132</v>
      </c>
      <c r="E554" s="110">
        <v>1.7989225566572116</v>
      </c>
      <c r="F554" s="87" t="s">
        <v>1330</v>
      </c>
      <c r="G554" s="87" t="b">
        <v>0</v>
      </c>
      <c r="H554" s="87" t="b">
        <v>0</v>
      </c>
      <c r="I554" s="87" t="b">
        <v>0</v>
      </c>
      <c r="J554" s="87" t="b">
        <v>0</v>
      </c>
      <c r="K554" s="87" t="b">
        <v>0</v>
      </c>
      <c r="L554" s="87" t="b">
        <v>0</v>
      </c>
    </row>
    <row r="555" spans="1:12" ht="15">
      <c r="A555" s="88" t="s">
        <v>1886</v>
      </c>
      <c r="B555" s="87" t="s">
        <v>1887</v>
      </c>
      <c r="C555" s="87">
        <v>5</v>
      </c>
      <c r="D555" s="110">
        <v>0.0029344952769776132</v>
      </c>
      <c r="E555" s="110">
        <v>2.6184664921990803</v>
      </c>
      <c r="F555" s="87" t="s">
        <v>1330</v>
      </c>
      <c r="G555" s="87" t="b">
        <v>0</v>
      </c>
      <c r="H555" s="87" t="b">
        <v>0</v>
      </c>
      <c r="I555" s="87" t="b">
        <v>0</v>
      </c>
      <c r="J555" s="87" t="b">
        <v>0</v>
      </c>
      <c r="K555" s="87" t="b">
        <v>0</v>
      </c>
      <c r="L555" s="87" t="b">
        <v>0</v>
      </c>
    </row>
    <row r="556" spans="1:12" ht="15">
      <c r="A556" s="88" t="s">
        <v>1887</v>
      </c>
      <c r="B556" s="87" t="s">
        <v>1467</v>
      </c>
      <c r="C556" s="87">
        <v>5</v>
      </c>
      <c r="D556" s="110">
        <v>0.0029344952769776132</v>
      </c>
      <c r="E556" s="110">
        <v>2.171308460856861</v>
      </c>
      <c r="F556" s="87" t="s">
        <v>1330</v>
      </c>
      <c r="G556" s="87" t="b">
        <v>0</v>
      </c>
      <c r="H556" s="87" t="b">
        <v>0</v>
      </c>
      <c r="I556" s="87" t="b">
        <v>0</v>
      </c>
      <c r="J556" s="87" t="b">
        <v>0</v>
      </c>
      <c r="K556" s="87" t="b">
        <v>0</v>
      </c>
      <c r="L556" s="87" t="b">
        <v>0</v>
      </c>
    </row>
    <row r="557" spans="1:12" ht="15">
      <c r="A557" s="88" t="s">
        <v>1467</v>
      </c>
      <c r="B557" s="87" t="s">
        <v>1888</v>
      </c>
      <c r="C557" s="87">
        <v>5</v>
      </c>
      <c r="D557" s="110">
        <v>0.0029344952769776132</v>
      </c>
      <c r="E557" s="110">
        <v>2.171308460856861</v>
      </c>
      <c r="F557" s="87" t="s">
        <v>1330</v>
      </c>
      <c r="G557" s="87" t="b">
        <v>0</v>
      </c>
      <c r="H557" s="87" t="b">
        <v>0</v>
      </c>
      <c r="I557" s="87" t="b">
        <v>0</v>
      </c>
      <c r="J557" s="87" t="b">
        <v>0</v>
      </c>
      <c r="K557" s="87" t="b">
        <v>0</v>
      </c>
      <c r="L557" s="87" t="b">
        <v>0</v>
      </c>
    </row>
    <row r="558" spans="1:12" ht="15">
      <c r="A558" s="88" t="s">
        <v>1888</v>
      </c>
      <c r="B558" s="87" t="s">
        <v>1889</v>
      </c>
      <c r="C558" s="87">
        <v>5</v>
      </c>
      <c r="D558" s="110">
        <v>0.0029344952769776132</v>
      </c>
      <c r="E558" s="110">
        <v>2.6184664921990803</v>
      </c>
      <c r="F558" s="87" t="s">
        <v>1330</v>
      </c>
      <c r="G558" s="87" t="b">
        <v>0</v>
      </c>
      <c r="H558" s="87" t="b">
        <v>0</v>
      </c>
      <c r="I558" s="87" t="b">
        <v>0</v>
      </c>
      <c r="J558" s="87" t="b">
        <v>0</v>
      </c>
      <c r="K558" s="87" t="b">
        <v>0</v>
      </c>
      <c r="L558" s="87" t="b">
        <v>0</v>
      </c>
    </row>
    <row r="559" spans="1:12" ht="15">
      <c r="A559" s="88" t="s">
        <v>1889</v>
      </c>
      <c r="B559" s="87" t="s">
        <v>1821</v>
      </c>
      <c r="C559" s="87">
        <v>5</v>
      </c>
      <c r="D559" s="110">
        <v>0.0029344952769776132</v>
      </c>
      <c r="E559" s="110">
        <v>1.812286518215193</v>
      </c>
      <c r="F559" s="87" t="s">
        <v>1330</v>
      </c>
      <c r="G559" s="87" t="b">
        <v>0</v>
      </c>
      <c r="H559" s="87" t="b">
        <v>0</v>
      </c>
      <c r="I559" s="87" t="b">
        <v>0</v>
      </c>
      <c r="J559" s="87" t="b">
        <v>0</v>
      </c>
      <c r="K559" s="87" t="b">
        <v>0</v>
      </c>
      <c r="L559" s="87" t="b">
        <v>0</v>
      </c>
    </row>
    <row r="560" spans="1:12" ht="15">
      <c r="A560" s="88" t="s">
        <v>1821</v>
      </c>
      <c r="B560" s="87" t="s">
        <v>1836</v>
      </c>
      <c r="C560" s="87">
        <v>5</v>
      </c>
      <c r="D560" s="110">
        <v>0.0029344952769776132</v>
      </c>
      <c r="E560" s="110">
        <v>1.4320752765035871</v>
      </c>
      <c r="F560" s="87" t="s">
        <v>1330</v>
      </c>
      <c r="G560" s="87" t="b">
        <v>0</v>
      </c>
      <c r="H560" s="87" t="b">
        <v>0</v>
      </c>
      <c r="I560" s="87" t="b">
        <v>0</v>
      </c>
      <c r="J560" s="87" t="b">
        <v>0</v>
      </c>
      <c r="K560" s="87" t="b">
        <v>0</v>
      </c>
      <c r="L560" s="87" t="b">
        <v>0</v>
      </c>
    </row>
    <row r="561" spans="1:12" ht="15">
      <c r="A561" s="88" t="s">
        <v>1819</v>
      </c>
      <c r="B561" s="87" t="s">
        <v>284</v>
      </c>
      <c r="C561" s="87">
        <v>5</v>
      </c>
      <c r="D561" s="110">
        <v>0.0029344952769776132</v>
      </c>
      <c r="E561" s="110">
        <v>1.975013815712893</v>
      </c>
      <c r="F561" s="87" t="s">
        <v>1330</v>
      </c>
      <c r="G561" s="87" t="b">
        <v>0</v>
      </c>
      <c r="H561" s="87" t="b">
        <v>0</v>
      </c>
      <c r="I561" s="87" t="b">
        <v>0</v>
      </c>
      <c r="J561" s="87" t="b">
        <v>0</v>
      </c>
      <c r="K561" s="87" t="b">
        <v>0</v>
      </c>
      <c r="L561" s="87" t="b">
        <v>0</v>
      </c>
    </row>
    <row r="562" spans="1:12" ht="15">
      <c r="A562" s="88" t="s">
        <v>284</v>
      </c>
      <c r="B562" s="87" t="s">
        <v>1455</v>
      </c>
      <c r="C562" s="87">
        <v>5</v>
      </c>
      <c r="D562" s="110">
        <v>0.0029344952769776132</v>
      </c>
      <c r="E562" s="110">
        <v>1.3729538243849304</v>
      </c>
      <c r="F562" s="87" t="s">
        <v>1330</v>
      </c>
      <c r="G562" s="87" t="b">
        <v>0</v>
      </c>
      <c r="H562" s="87" t="b">
        <v>0</v>
      </c>
      <c r="I562" s="87" t="b">
        <v>0</v>
      </c>
      <c r="J562" s="87" t="b">
        <v>0</v>
      </c>
      <c r="K562" s="87" t="b">
        <v>0</v>
      </c>
      <c r="L562" s="87" t="b">
        <v>0</v>
      </c>
    </row>
    <row r="563" spans="1:12" ht="15">
      <c r="A563" s="88" t="s">
        <v>1827</v>
      </c>
      <c r="B563" s="87" t="s">
        <v>1828</v>
      </c>
      <c r="C563" s="87">
        <v>5</v>
      </c>
      <c r="D563" s="110">
        <v>0.0029344952769776132</v>
      </c>
      <c r="E563" s="110">
        <v>1.4601040001038306</v>
      </c>
      <c r="F563" s="87" t="s">
        <v>1330</v>
      </c>
      <c r="G563" s="87" t="b">
        <v>0</v>
      </c>
      <c r="H563" s="87" t="b">
        <v>0</v>
      </c>
      <c r="I563" s="87" t="b">
        <v>0</v>
      </c>
      <c r="J563" s="87" t="b">
        <v>0</v>
      </c>
      <c r="K563" s="87" t="b">
        <v>0</v>
      </c>
      <c r="L563" s="87" t="b">
        <v>0</v>
      </c>
    </row>
    <row r="564" spans="1:12" ht="15">
      <c r="A564" s="88" t="s">
        <v>1460</v>
      </c>
      <c r="B564" s="87" t="s">
        <v>1828</v>
      </c>
      <c r="C564" s="87">
        <v>4</v>
      </c>
      <c r="D564" s="110">
        <v>0.002526149907455986</v>
      </c>
      <c r="E564" s="110">
        <v>1.0386828955822702</v>
      </c>
      <c r="F564" s="87" t="s">
        <v>1330</v>
      </c>
      <c r="G564" s="87" t="b">
        <v>0</v>
      </c>
      <c r="H564" s="87" t="b">
        <v>0</v>
      </c>
      <c r="I564" s="87" t="b">
        <v>0</v>
      </c>
      <c r="J564" s="87" t="b">
        <v>0</v>
      </c>
      <c r="K564" s="87" t="b">
        <v>0</v>
      </c>
      <c r="L564" s="87" t="b">
        <v>0</v>
      </c>
    </row>
    <row r="565" spans="1:12" ht="15">
      <c r="A565" s="88" t="s">
        <v>1822</v>
      </c>
      <c r="B565" s="87" t="s">
        <v>1829</v>
      </c>
      <c r="C565" s="87">
        <v>4</v>
      </c>
      <c r="D565" s="110">
        <v>0.002526149907455986</v>
      </c>
      <c r="E565" s="110">
        <v>1.6941872061371985</v>
      </c>
      <c r="F565" s="87" t="s">
        <v>1330</v>
      </c>
      <c r="G565" s="87" t="b">
        <v>0</v>
      </c>
      <c r="H565" s="87" t="b">
        <v>0</v>
      </c>
      <c r="I565" s="87" t="b">
        <v>0</v>
      </c>
      <c r="J565" s="87" t="b">
        <v>1</v>
      </c>
      <c r="K565" s="87" t="b">
        <v>0</v>
      </c>
      <c r="L565" s="87" t="b">
        <v>0</v>
      </c>
    </row>
    <row r="566" spans="1:12" ht="15">
      <c r="A566" s="88" t="s">
        <v>1437</v>
      </c>
      <c r="B566" s="87" t="s">
        <v>1453</v>
      </c>
      <c r="C566" s="87">
        <v>4</v>
      </c>
      <c r="D566" s="110">
        <v>0.002526149907455986</v>
      </c>
      <c r="E566" s="110">
        <v>0.35459381533385664</v>
      </c>
      <c r="F566" s="87" t="s">
        <v>1330</v>
      </c>
      <c r="G566" s="87" t="b">
        <v>0</v>
      </c>
      <c r="H566" s="87" t="b">
        <v>0</v>
      </c>
      <c r="I566" s="87" t="b">
        <v>0</v>
      </c>
      <c r="J566" s="87" t="b">
        <v>0</v>
      </c>
      <c r="K566" s="87" t="b">
        <v>0</v>
      </c>
      <c r="L566" s="87" t="b">
        <v>0</v>
      </c>
    </row>
    <row r="567" spans="1:12" ht="15">
      <c r="A567" s="88" t="s">
        <v>1826</v>
      </c>
      <c r="B567" s="87" t="s">
        <v>1828</v>
      </c>
      <c r="C567" s="87">
        <v>4</v>
      </c>
      <c r="D567" s="110">
        <v>0.002526149907455986</v>
      </c>
      <c r="E567" s="110">
        <v>1.296247197465161</v>
      </c>
      <c r="F567" s="87" t="s">
        <v>1330</v>
      </c>
      <c r="G567" s="87" t="b">
        <v>0</v>
      </c>
      <c r="H567" s="87" t="b">
        <v>0</v>
      </c>
      <c r="I567" s="87" t="b">
        <v>0</v>
      </c>
      <c r="J567" s="87" t="b">
        <v>0</v>
      </c>
      <c r="K567" s="87" t="b">
        <v>0</v>
      </c>
      <c r="L567" s="87" t="b">
        <v>0</v>
      </c>
    </row>
    <row r="568" spans="1:12" ht="15">
      <c r="A568" s="88" t="s">
        <v>1826</v>
      </c>
      <c r="B568" s="87" t="s">
        <v>1472</v>
      </c>
      <c r="C568" s="87">
        <v>4</v>
      </c>
      <c r="D568" s="110">
        <v>0.002526149907455986</v>
      </c>
      <c r="E568" s="110">
        <v>1.3185235921763132</v>
      </c>
      <c r="F568" s="87" t="s">
        <v>1330</v>
      </c>
      <c r="G568" s="87" t="b">
        <v>0</v>
      </c>
      <c r="H568" s="87" t="b">
        <v>0</v>
      </c>
      <c r="I568" s="87" t="b">
        <v>0</v>
      </c>
      <c r="J568" s="87" t="b">
        <v>0</v>
      </c>
      <c r="K568" s="87" t="b">
        <v>0</v>
      </c>
      <c r="L568" s="87" t="b">
        <v>0</v>
      </c>
    </row>
    <row r="569" spans="1:12" ht="15">
      <c r="A569" s="88" t="s">
        <v>1844</v>
      </c>
      <c r="B569" s="87" t="s">
        <v>1834</v>
      </c>
      <c r="C569" s="87">
        <v>4</v>
      </c>
      <c r="D569" s="110">
        <v>0.002526149907455986</v>
      </c>
      <c r="E569" s="110">
        <v>2.6184664921990803</v>
      </c>
      <c r="F569" s="87" t="s">
        <v>1330</v>
      </c>
      <c r="G569" s="87" t="b">
        <v>1</v>
      </c>
      <c r="H569" s="87" t="b">
        <v>0</v>
      </c>
      <c r="I569" s="87" t="b">
        <v>0</v>
      </c>
      <c r="J569" s="87" t="b">
        <v>0</v>
      </c>
      <c r="K569" s="87" t="b">
        <v>0</v>
      </c>
      <c r="L569" s="87" t="b">
        <v>0</v>
      </c>
    </row>
    <row r="570" spans="1:12" ht="15">
      <c r="A570" s="88" t="s">
        <v>1834</v>
      </c>
      <c r="B570" s="87" t="s">
        <v>1845</v>
      </c>
      <c r="C570" s="87">
        <v>4</v>
      </c>
      <c r="D570" s="110">
        <v>0.002526149907455986</v>
      </c>
      <c r="E570" s="110">
        <v>2.472338456520842</v>
      </c>
      <c r="F570" s="87" t="s">
        <v>1330</v>
      </c>
      <c r="G570" s="87" t="b">
        <v>0</v>
      </c>
      <c r="H570" s="87" t="b">
        <v>0</v>
      </c>
      <c r="I570" s="87" t="b">
        <v>0</v>
      </c>
      <c r="J570" s="87" t="b">
        <v>1</v>
      </c>
      <c r="K570" s="87" t="b">
        <v>0</v>
      </c>
      <c r="L570" s="87" t="b">
        <v>0</v>
      </c>
    </row>
    <row r="571" spans="1:12" ht="15">
      <c r="A571" s="88" t="s">
        <v>1845</v>
      </c>
      <c r="B571" s="87" t="s">
        <v>1462</v>
      </c>
      <c r="C571" s="87">
        <v>4</v>
      </c>
      <c r="D571" s="110">
        <v>0.002526149907455986</v>
      </c>
      <c r="E571" s="110">
        <v>1.749234772468104</v>
      </c>
      <c r="F571" s="87" t="s">
        <v>1330</v>
      </c>
      <c r="G571" s="87" t="b">
        <v>1</v>
      </c>
      <c r="H571" s="87" t="b">
        <v>0</v>
      </c>
      <c r="I571" s="87" t="b">
        <v>0</v>
      </c>
      <c r="J571" s="87" t="b">
        <v>0</v>
      </c>
      <c r="K571" s="87" t="b">
        <v>0</v>
      </c>
      <c r="L571" s="87" t="b">
        <v>0</v>
      </c>
    </row>
    <row r="572" spans="1:12" ht="15">
      <c r="A572" s="88" t="s">
        <v>1437</v>
      </c>
      <c r="B572" s="87" t="s">
        <v>1846</v>
      </c>
      <c r="C572" s="87">
        <v>4</v>
      </c>
      <c r="D572" s="110">
        <v>0.002526149907455986</v>
      </c>
      <c r="E572" s="110">
        <v>1.1838975881648814</v>
      </c>
      <c r="F572" s="87" t="s">
        <v>1330</v>
      </c>
      <c r="G572" s="87" t="b">
        <v>0</v>
      </c>
      <c r="H572" s="87" t="b">
        <v>0</v>
      </c>
      <c r="I572" s="87" t="b">
        <v>0</v>
      </c>
      <c r="J572" s="87" t="b">
        <v>0</v>
      </c>
      <c r="K572" s="87" t="b">
        <v>0</v>
      </c>
      <c r="L572" s="87" t="b">
        <v>0</v>
      </c>
    </row>
    <row r="573" spans="1:12" ht="15">
      <c r="A573" s="88" t="s">
        <v>1846</v>
      </c>
      <c r="B573" s="87" t="s">
        <v>1847</v>
      </c>
      <c r="C573" s="87">
        <v>4</v>
      </c>
      <c r="D573" s="110">
        <v>0.002526149907455986</v>
      </c>
      <c r="E573" s="110">
        <v>2.7153765052071366</v>
      </c>
      <c r="F573" s="87" t="s">
        <v>1330</v>
      </c>
      <c r="G573" s="87" t="b">
        <v>0</v>
      </c>
      <c r="H573" s="87" t="b">
        <v>0</v>
      </c>
      <c r="I573" s="87" t="b">
        <v>0</v>
      </c>
      <c r="J573" s="87" t="b">
        <v>0</v>
      </c>
      <c r="K573" s="87" t="b">
        <v>0</v>
      </c>
      <c r="L573" s="87" t="b">
        <v>0</v>
      </c>
    </row>
    <row r="574" spans="1:12" ht="15">
      <c r="A574" s="88" t="s">
        <v>1847</v>
      </c>
      <c r="B574" s="87" t="s">
        <v>1848</v>
      </c>
      <c r="C574" s="87">
        <v>4</v>
      </c>
      <c r="D574" s="110">
        <v>0.002526149907455986</v>
      </c>
      <c r="E574" s="110">
        <v>2.7153765052071366</v>
      </c>
      <c r="F574" s="87" t="s">
        <v>1330</v>
      </c>
      <c r="G574" s="87" t="b">
        <v>0</v>
      </c>
      <c r="H574" s="87" t="b">
        <v>0</v>
      </c>
      <c r="I574" s="87" t="b">
        <v>0</v>
      </c>
      <c r="J574" s="87" t="b">
        <v>0</v>
      </c>
      <c r="K574" s="87" t="b">
        <v>0</v>
      </c>
      <c r="L574" s="87" t="b">
        <v>0</v>
      </c>
    </row>
    <row r="575" spans="1:12" ht="15">
      <c r="A575" s="88" t="s">
        <v>1848</v>
      </c>
      <c r="B575" s="87" t="s">
        <v>1849</v>
      </c>
      <c r="C575" s="87">
        <v>4</v>
      </c>
      <c r="D575" s="110">
        <v>0.002526149907455986</v>
      </c>
      <c r="E575" s="110">
        <v>2.7153765052071366</v>
      </c>
      <c r="F575" s="87" t="s">
        <v>1330</v>
      </c>
      <c r="G575" s="87" t="b">
        <v>0</v>
      </c>
      <c r="H575" s="87" t="b">
        <v>0</v>
      </c>
      <c r="I575" s="87" t="b">
        <v>0</v>
      </c>
      <c r="J575" s="87" t="b">
        <v>0</v>
      </c>
      <c r="K575" s="87" t="b">
        <v>0</v>
      </c>
      <c r="L575" s="87" t="b">
        <v>0</v>
      </c>
    </row>
    <row r="576" spans="1:12" ht="15">
      <c r="A576" s="88" t="s">
        <v>1849</v>
      </c>
      <c r="B576" s="87" t="s">
        <v>1850</v>
      </c>
      <c r="C576" s="87">
        <v>4</v>
      </c>
      <c r="D576" s="110">
        <v>0.002526149907455986</v>
      </c>
      <c r="E576" s="110">
        <v>2.7153765052071366</v>
      </c>
      <c r="F576" s="87" t="s">
        <v>1330</v>
      </c>
      <c r="G576" s="87" t="b">
        <v>0</v>
      </c>
      <c r="H576" s="87" t="b">
        <v>0</v>
      </c>
      <c r="I576" s="87" t="b">
        <v>0</v>
      </c>
      <c r="J576" s="87" t="b">
        <v>0</v>
      </c>
      <c r="K576" s="87" t="b">
        <v>0</v>
      </c>
      <c r="L576" s="87" t="b">
        <v>0</v>
      </c>
    </row>
    <row r="577" spans="1:12" ht="15">
      <c r="A577" s="88" t="s">
        <v>1850</v>
      </c>
      <c r="B577" s="87" t="s">
        <v>1851</v>
      </c>
      <c r="C577" s="87">
        <v>4</v>
      </c>
      <c r="D577" s="110">
        <v>0.002526149907455986</v>
      </c>
      <c r="E577" s="110">
        <v>2.7153765052071366</v>
      </c>
      <c r="F577" s="87" t="s">
        <v>1330</v>
      </c>
      <c r="G577" s="87" t="b">
        <v>0</v>
      </c>
      <c r="H577" s="87" t="b">
        <v>0</v>
      </c>
      <c r="I577" s="87" t="b">
        <v>0</v>
      </c>
      <c r="J577" s="87" t="b">
        <v>0</v>
      </c>
      <c r="K577" s="87" t="b">
        <v>0</v>
      </c>
      <c r="L577" s="87" t="b">
        <v>0</v>
      </c>
    </row>
    <row r="578" spans="1:12" ht="15">
      <c r="A578" s="88" t="s">
        <v>1851</v>
      </c>
      <c r="B578" s="87" t="s">
        <v>1852</v>
      </c>
      <c r="C578" s="87">
        <v>4</v>
      </c>
      <c r="D578" s="110">
        <v>0.002526149907455986</v>
      </c>
      <c r="E578" s="110">
        <v>2.7153765052071366</v>
      </c>
      <c r="F578" s="87" t="s">
        <v>1330</v>
      </c>
      <c r="G578" s="87" t="b">
        <v>0</v>
      </c>
      <c r="H578" s="87" t="b">
        <v>0</v>
      </c>
      <c r="I578" s="87" t="b">
        <v>0</v>
      </c>
      <c r="J578" s="87" t="b">
        <v>0</v>
      </c>
      <c r="K578" s="87" t="b">
        <v>0</v>
      </c>
      <c r="L578" s="87" t="b">
        <v>0</v>
      </c>
    </row>
    <row r="579" spans="1:12" ht="15">
      <c r="A579" s="88" t="s">
        <v>1453</v>
      </c>
      <c r="B579" s="87" t="s">
        <v>1516</v>
      </c>
      <c r="C579" s="87">
        <v>4</v>
      </c>
      <c r="D579" s="110">
        <v>0.002526149907455986</v>
      </c>
      <c r="E579" s="110">
        <v>0.5708022975975203</v>
      </c>
      <c r="F579" s="87" t="s">
        <v>1330</v>
      </c>
      <c r="G579" s="87" t="b">
        <v>0</v>
      </c>
      <c r="H579" s="87" t="b">
        <v>0</v>
      </c>
      <c r="I579" s="87" t="b">
        <v>0</v>
      </c>
      <c r="J579" s="87" t="b">
        <v>0</v>
      </c>
      <c r="K579" s="87" t="b">
        <v>0</v>
      </c>
      <c r="L579" s="87" t="b">
        <v>0</v>
      </c>
    </row>
    <row r="580" spans="1:12" ht="15">
      <c r="A580" s="88" t="s">
        <v>1437</v>
      </c>
      <c r="B580" s="87" t="s">
        <v>1828</v>
      </c>
      <c r="C580" s="87">
        <v>4</v>
      </c>
      <c r="D580" s="110">
        <v>0.002526149907455986</v>
      </c>
      <c r="E580" s="110">
        <v>0.48492758382886275</v>
      </c>
      <c r="F580" s="87" t="s">
        <v>1330</v>
      </c>
      <c r="G580" s="87" t="b">
        <v>0</v>
      </c>
      <c r="H580" s="87" t="b">
        <v>0</v>
      </c>
      <c r="I580" s="87" t="b">
        <v>0</v>
      </c>
      <c r="J580" s="87" t="b">
        <v>0</v>
      </c>
      <c r="K580" s="87" t="b">
        <v>0</v>
      </c>
      <c r="L580" s="87" t="b">
        <v>0</v>
      </c>
    </row>
    <row r="581" spans="1:12" ht="15">
      <c r="A581" s="88" t="s">
        <v>1825</v>
      </c>
      <c r="B581" s="87" t="s">
        <v>1842</v>
      </c>
      <c r="C581" s="87">
        <v>4</v>
      </c>
      <c r="D581" s="110">
        <v>0.002526149907455986</v>
      </c>
      <c r="E581" s="110">
        <v>1.8983071887931233</v>
      </c>
      <c r="F581" s="87" t="s">
        <v>1330</v>
      </c>
      <c r="G581" s="87" t="b">
        <v>0</v>
      </c>
      <c r="H581" s="87" t="b">
        <v>0</v>
      </c>
      <c r="I581" s="87" t="b">
        <v>0</v>
      </c>
      <c r="J581" s="87" t="b">
        <v>1</v>
      </c>
      <c r="K581" s="87" t="b">
        <v>0</v>
      </c>
      <c r="L581" s="87" t="b">
        <v>0</v>
      </c>
    </row>
    <row r="582" spans="1:12" ht="15">
      <c r="A582" s="88" t="s">
        <v>1843</v>
      </c>
      <c r="B582" s="87" t="s">
        <v>1464</v>
      </c>
      <c r="C582" s="87">
        <v>4</v>
      </c>
      <c r="D582" s="110">
        <v>0.002526149907455986</v>
      </c>
      <c r="E582" s="110">
        <v>2.016406500871118</v>
      </c>
      <c r="F582" s="87" t="s">
        <v>1330</v>
      </c>
      <c r="G582" s="87" t="b">
        <v>0</v>
      </c>
      <c r="H582" s="87" t="b">
        <v>0</v>
      </c>
      <c r="I582" s="87" t="b">
        <v>0</v>
      </c>
      <c r="J582" s="87" t="b">
        <v>0</v>
      </c>
      <c r="K582" s="87" t="b">
        <v>0</v>
      </c>
      <c r="L582" s="87" t="b">
        <v>0</v>
      </c>
    </row>
    <row r="583" spans="1:12" ht="15">
      <c r="A583" s="88" t="s">
        <v>1469</v>
      </c>
      <c r="B583" s="87" t="s">
        <v>1462</v>
      </c>
      <c r="C583" s="87">
        <v>3</v>
      </c>
      <c r="D583" s="110">
        <v>0.0020672592338277793</v>
      </c>
      <c r="E583" s="110">
        <v>0.7639580292888104</v>
      </c>
      <c r="F583" s="87" t="s">
        <v>1330</v>
      </c>
      <c r="G583" s="87" t="b">
        <v>0</v>
      </c>
      <c r="H583" s="87" t="b">
        <v>0</v>
      </c>
      <c r="I583" s="87" t="b">
        <v>0</v>
      </c>
      <c r="J583" s="87" t="b">
        <v>0</v>
      </c>
      <c r="K583" s="87" t="b">
        <v>0</v>
      </c>
      <c r="L583" s="87" t="b">
        <v>0</v>
      </c>
    </row>
    <row r="584" spans="1:12" ht="15">
      <c r="A584" s="88" t="s">
        <v>1437</v>
      </c>
      <c r="B584" s="87" t="s">
        <v>1863</v>
      </c>
      <c r="C584" s="87">
        <v>3</v>
      </c>
      <c r="D584" s="110">
        <v>0.0020672592338277793</v>
      </c>
      <c r="E584" s="110">
        <v>1.1838975881648817</v>
      </c>
      <c r="F584" s="87" t="s">
        <v>1330</v>
      </c>
      <c r="G584" s="87" t="b">
        <v>0</v>
      </c>
      <c r="H584" s="87" t="b">
        <v>0</v>
      </c>
      <c r="I584" s="87" t="b">
        <v>0</v>
      </c>
      <c r="J584" s="87" t="b">
        <v>0</v>
      </c>
      <c r="K584" s="87" t="b">
        <v>0</v>
      </c>
      <c r="L584" s="87" t="b">
        <v>0</v>
      </c>
    </row>
    <row r="585" spans="1:12" ht="15">
      <c r="A585" s="88" t="s">
        <v>1820</v>
      </c>
      <c r="B585" s="87" t="s">
        <v>1830</v>
      </c>
      <c r="C585" s="87">
        <v>3</v>
      </c>
      <c r="D585" s="110">
        <v>0.0020672592338277793</v>
      </c>
      <c r="E585" s="110">
        <v>1.7531650660965366</v>
      </c>
      <c r="F585" s="87" t="s">
        <v>1330</v>
      </c>
      <c r="G585" s="87" t="b">
        <v>0</v>
      </c>
      <c r="H585" s="87" t="b">
        <v>0</v>
      </c>
      <c r="I585" s="87" t="b">
        <v>0</v>
      </c>
      <c r="J585" s="87" t="b">
        <v>0</v>
      </c>
      <c r="K585" s="87" t="b">
        <v>0</v>
      </c>
      <c r="L585" s="87" t="b">
        <v>0</v>
      </c>
    </row>
    <row r="586" spans="1:12" ht="15">
      <c r="A586" s="88" t="s">
        <v>1830</v>
      </c>
      <c r="B586" s="87" t="s">
        <v>1437</v>
      </c>
      <c r="C586" s="87">
        <v>3</v>
      </c>
      <c r="D586" s="110">
        <v>0.0020672592338277793</v>
      </c>
      <c r="E586" s="110">
        <v>0.9620488385485252</v>
      </c>
      <c r="F586" s="87" t="s">
        <v>1330</v>
      </c>
      <c r="G586" s="87" t="b">
        <v>0</v>
      </c>
      <c r="H586" s="87" t="b">
        <v>0</v>
      </c>
      <c r="I586" s="87" t="b">
        <v>0</v>
      </c>
      <c r="J586" s="87" t="b">
        <v>0</v>
      </c>
      <c r="K586" s="87" t="b">
        <v>0</v>
      </c>
      <c r="L586" s="87" t="b">
        <v>0</v>
      </c>
    </row>
    <row r="587" spans="1:12" ht="15">
      <c r="A587" s="88" t="s">
        <v>1437</v>
      </c>
      <c r="B587" s="87" t="s">
        <v>1455</v>
      </c>
      <c r="C587" s="87">
        <v>3</v>
      </c>
      <c r="D587" s="110">
        <v>0.0020672592338277793</v>
      </c>
      <c r="E587" s="110">
        <v>-0.2834638292656246</v>
      </c>
      <c r="F587" s="87" t="s">
        <v>1330</v>
      </c>
      <c r="G587" s="87" t="b">
        <v>0</v>
      </c>
      <c r="H587" s="87" t="b">
        <v>0</v>
      </c>
      <c r="I587" s="87" t="b">
        <v>0</v>
      </c>
      <c r="J587" s="87" t="b">
        <v>0</v>
      </c>
      <c r="K587" s="87" t="b">
        <v>0</v>
      </c>
      <c r="L587" s="87" t="b">
        <v>0</v>
      </c>
    </row>
    <row r="588" spans="1:12" ht="15">
      <c r="A588" s="88" t="s">
        <v>1437</v>
      </c>
      <c r="B588" s="87" t="s">
        <v>1881</v>
      </c>
      <c r="C588" s="87">
        <v>3</v>
      </c>
      <c r="D588" s="110">
        <v>0.0020672592338277793</v>
      </c>
      <c r="E588" s="110">
        <v>0.9620488385485252</v>
      </c>
      <c r="F588" s="87" t="s">
        <v>1330</v>
      </c>
      <c r="G588" s="87" t="b">
        <v>0</v>
      </c>
      <c r="H588" s="87" t="b">
        <v>0</v>
      </c>
      <c r="I588" s="87" t="b">
        <v>0</v>
      </c>
      <c r="J588" s="87" t="b">
        <v>0</v>
      </c>
      <c r="K588" s="87" t="b">
        <v>0</v>
      </c>
      <c r="L588" s="87" t="b">
        <v>0</v>
      </c>
    </row>
    <row r="589" spans="1:12" ht="15">
      <c r="A589" s="88" t="s">
        <v>1453</v>
      </c>
      <c r="B589" s="87" t="s">
        <v>1482</v>
      </c>
      <c r="C589" s="87">
        <v>3</v>
      </c>
      <c r="D589" s="110">
        <v>0.0020672592338277793</v>
      </c>
      <c r="E589" s="110">
        <v>1.224014811372864</v>
      </c>
      <c r="F589" s="87" t="s">
        <v>1330</v>
      </c>
      <c r="G589" s="87" t="b">
        <v>0</v>
      </c>
      <c r="H589" s="87" t="b">
        <v>0</v>
      </c>
      <c r="I589" s="87" t="b">
        <v>0</v>
      </c>
      <c r="J589" s="87" t="b">
        <v>0</v>
      </c>
      <c r="K589" s="87" t="b">
        <v>0</v>
      </c>
      <c r="L589" s="87" t="b">
        <v>0</v>
      </c>
    </row>
    <row r="590" spans="1:12" ht="15">
      <c r="A590" s="88" t="s">
        <v>1482</v>
      </c>
      <c r="B590" s="87" t="s">
        <v>1462</v>
      </c>
      <c r="C590" s="87">
        <v>3</v>
      </c>
      <c r="D590" s="110">
        <v>0.0020672592338277793</v>
      </c>
      <c r="E590" s="110">
        <v>1.6242960358598042</v>
      </c>
      <c r="F590" s="87" t="s">
        <v>1330</v>
      </c>
      <c r="G590" s="87" t="b">
        <v>0</v>
      </c>
      <c r="H590" s="87" t="b">
        <v>0</v>
      </c>
      <c r="I590" s="87" t="b">
        <v>0</v>
      </c>
      <c r="J590" s="87" t="b">
        <v>0</v>
      </c>
      <c r="K590" s="87" t="b">
        <v>0</v>
      </c>
      <c r="L590" s="87" t="b">
        <v>0</v>
      </c>
    </row>
    <row r="591" spans="1:12" ht="15">
      <c r="A591" s="88" t="s">
        <v>1469</v>
      </c>
      <c r="B591" s="87" t="s">
        <v>1903</v>
      </c>
      <c r="C591" s="87">
        <v>3</v>
      </c>
      <c r="D591" s="110">
        <v>0.0020672592338277793</v>
      </c>
      <c r="E591" s="110">
        <v>1.730099762027843</v>
      </c>
      <c r="F591" s="87" t="s">
        <v>1330</v>
      </c>
      <c r="G591" s="87" t="b">
        <v>0</v>
      </c>
      <c r="H591" s="87" t="b">
        <v>0</v>
      </c>
      <c r="I591" s="87" t="b">
        <v>0</v>
      </c>
      <c r="J591" s="87" t="b">
        <v>0</v>
      </c>
      <c r="K591" s="87" t="b">
        <v>0</v>
      </c>
      <c r="L591" s="87" t="b">
        <v>0</v>
      </c>
    </row>
    <row r="592" spans="1:12" ht="15">
      <c r="A592" s="88" t="s">
        <v>1903</v>
      </c>
      <c r="B592" s="87" t="s">
        <v>1932</v>
      </c>
      <c r="C592" s="87">
        <v>3</v>
      </c>
      <c r="D592" s="110">
        <v>0.0020672592338277793</v>
      </c>
      <c r="E592" s="110">
        <v>2.7153765052071366</v>
      </c>
      <c r="F592" s="87" t="s">
        <v>1330</v>
      </c>
      <c r="G592" s="87" t="b">
        <v>0</v>
      </c>
      <c r="H592" s="87" t="b">
        <v>0</v>
      </c>
      <c r="I592" s="87" t="b">
        <v>0</v>
      </c>
      <c r="J592" s="87" t="b">
        <v>0</v>
      </c>
      <c r="K592" s="87" t="b">
        <v>0</v>
      </c>
      <c r="L592" s="87" t="b">
        <v>0</v>
      </c>
    </row>
    <row r="593" spans="1:12" ht="15">
      <c r="A593" s="88" t="s">
        <v>1932</v>
      </c>
      <c r="B593" s="87" t="s">
        <v>1933</v>
      </c>
      <c r="C593" s="87">
        <v>3</v>
      </c>
      <c r="D593" s="110">
        <v>0.0020672592338277793</v>
      </c>
      <c r="E593" s="110">
        <v>2.8403152418154365</v>
      </c>
      <c r="F593" s="87" t="s">
        <v>1330</v>
      </c>
      <c r="G593" s="87" t="b">
        <v>0</v>
      </c>
      <c r="H593" s="87" t="b">
        <v>0</v>
      </c>
      <c r="I593" s="87" t="b">
        <v>0</v>
      </c>
      <c r="J593" s="87" t="b">
        <v>0</v>
      </c>
      <c r="K593" s="87" t="b">
        <v>0</v>
      </c>
      <c r="L593" s="87" t="b">
        <v>0</v>
      </c>
    </row>
    <row r="594" spans="1:12" ht="15">
      <c r="A594" s="88" t="s">
        <v>1933</v>
      </c>
      <c r="B594" s="87" t="s">
        <v>1464</v>
      </c>
      <c r="C594" s="87">
        <v>3</v>
      </c>
      <c r="D594" s="110">
        <v>0.0020672592338277793</v>
      </c>
      <c r="E594" s="110">
        <v>2.1133165138791745</v>
      </c>
      <c r="F594" s="87" t="s">
        <v>1330</v>
      </c>
      <c r="G594" s="87" t="b">
        <v>0</v>
      </c>
      <c r="H594" s="87" t="b">
        <v>0</v>
      </c>
      <c r="I594" s="87" t="b">
        <v>0</v>
      </c>
      <c r="J594" s="87" t="b">
        <v>0</v>
      </c>
      <c r="K594" s="87" t="b">
        <v>0</v>
      </c>
      <c r="L594" s="87" t="b">
        <v>0</v>
      </c>
    </row>
    <row r="595" spans="1:12" ht="15">
      <c r="A595" s="88" t="s">
        <v>341</v>
      </c>
      <c r="B595" s="87" t="s">
        <v>1455</v>
      </c>
      <c r="C595" s="87">
        <v>3</v>
      </c>
      <c r="D595" s="110">
        <v>0.0020672592338277793</v>
      </c>
      <c r="E595" s="110">
        <v>0.43510173113377487</v>
      </c>
      <c r="F595" s="87" t="s">
        <v>1330</v>
      </c>
      <c r="G595" s="87" t="b">
        <v>0</v>
      </c>
      <c r="H595" s="87" t="b">
        <v>0</v>
      </c>
      <c r="I595" s="87" t="b">
        <v>0</v>
      </c>
      <c r="J595" s="87" t="b">
        <v>0</v>
      </c>
      <c r="K595" s="87" t="b">
        <v>0</v>
      </c>
      <c r="L595" s="87" t="b">
        <v>0</v>
      </c>
    </row>
    <row r="596" spans="1:12" ht="15">
      <c r="A596" s="88" t="s">
        <v>1453</v>
      </c>
      <c r="B596" s="87" t="s">
        <v>1928</v>
      </c>
      <c r="C596" s="87">
        <v>3</v>
      </c>
      <c r="D596" s="110">
        <v>0.0020672592338277793</v>
      </c>
      <c r="E596" s="110">
        <v>1.348953547981164</v>
      </c>
      <c r="F596" s="87" t="s">
        <v>1330</v>
      </c>
      <c r="G596" s="87" t="b">
        <v>0</v>
      </c>
      <c r="H596" s="87" t="b">
        <v>0</v>
      </c>
      <c r="I596" s="87" t="b">
        <v>0</v>
      </c>
      <c r="J596" s="87" t="b">
        <v>1</v>
      </c>
      <c r="K596" s="87" t="b">
        <v>0</v>
      </c>
      <c r="L596" s="87" t="b">
        <v>0</v>
      </c>
    </row>
    <row r="597" spans="1:12" ht="15">
      <c r="A597" s="88" t="s">
        <v>1928</v>
      </c>
      <c r="B597" s="87" t="s">
        <v>1516</v>
      </c>
      <c r="C597" s="87">
        <v>3</v>
      </c>
      <c r="D597" s="110">
        <v>0.0020672592338277793</v>
      </c>
      <c r="E597" s="110">
        <v>1.937225254823493</v>
      </c>
      <c r="F597" s="87" t="s">
        <v>1330</v>
      </c>
      <c r="G597" s="87" t="b">
        <v>1</v>
      </c>
      <c r="H597" s="87" t="b">
        <v>0</v>
      </c>
      <c r="I597" s="87" t="b">
        <v>0</v>
      </c>
      <c r="J597" s="87" t="b">
        <v>0</v>
      </c>
      <c r="K597" s="87" t="b">
        <v>0</v>
      </c>
      <c r="L597" s="87" t="b">
        <v>0</v>
      </c>
    </row>
    <row r="598" spans="1:12" ht="15">
      <c r="A598" s="88" t="s">
        <v>1437</v>
      </c>
      <c r="B598" s="87" t="s">
        <v>1825</v>
      </c>
      <c r="C598" s="87">
        <v>3</v>
      </c>
      <c r="D598" s="110">
        <v>0.0020672592338277793</v>
      </c>
      <c r="E598" s="110">
        <v>0.382265241931715</v>
      </c>
      <c r="F598" s="87" t="s">
        <v>1330</v>
      </c>
      <c r="G598" s="87" t="b">
        <v>0</v>
      </c>
      <c r="H598" s="87" t="b">
        <v>0</v>
      </c>
      <c r="I598" s="87" t="b">
        <v>0</v>
      </c>
      <c r="J598" s="87" t="b">
        <v>0</v>
      </c>
      <c r="K598" s="87" t="b">
        <v>0</v>
      </c>
      <c r="L598" s="87" t="b">
        <v>0</v>
      </c>
    </row>
    <row r="599" spans="1:12" ht="15">
      <c r="A599" s="88" t="s">
        <v>1825</v>
      </c>
      <c r="B599" s="87" t="s">
        <v>1838</v>
      </c>
      <c r="C599" s="87">
        <v>3</v>
      </c>
      <c r="D599" s="110">
        <v>0.0020672592338277793</v>
      </c>
      <c r="E599" s="110">
        <v>1.8702784651928799</v>
      </c>
      <c r="F599" s="87" t="s">
        <v>1330</v>
      </c>
      <c r="G599" s="87" t="b">
        <v>0</v>
      </c>
      <c r="H599" s="87" t="b">
        <v>0</v>
      </c>
      <c r="I599" s="87" t="b">
        <v>0</v>
      </c>
      <c r="J599" s="87" t="b">
        <v>0</v>
      </c>
      <c r="K599" s="87" t="b">
        <v>0</v>
      </c>
      <c r="L599" s="87" t="b">
        <v>0</v>
      </c>
    </row>
    <row r="600" spans="1:12" ht="15">
      <c r="A600" s="88" t="s">
        <v>1838</v>
      </c>
      <c r="B600" s="87" t="s">
        <v>1864</v>
      </c>
      <c r="C600" s="87">
        <v>3</v>
      </c>
      <c r="D600" s="110">
        <v>0.0020672592338277793</v>
      </c>
      <c r="E600" s="110">
        <v>2.7153765052071366</v>
      </c>
      <c r="F600" s="87" t="s">
        <v>1330</v>
      </c>
      <c r="G600" s="87" t="b">
        <v>0</v>
      </c>
      <c r="H600" s="87" t="b">
        <v>0</v>
      </c>
      <c r="I600" s="87" t="b">
        <v>0</v>
      </c>
      <c r="J600" s="87" t="b">
        <v>0</v>
      </c>
      <c r="K600" s="87" t="b">
        <v>0</v>
      </c>
      <c r="L600" s="87" t="b">
        <v>0</v>
      </c>
    </row>
    <row r="601" spans="1:12" ht="15">
      <c r="A601" s="88" t="s">
        <v>1864</v>
      </c>
      <c r="B601" s="87" t="s">
        <v>1464</v>
      </c>
      <c r="C601" s="87">
        <v>3</v>
      </c>
      <c r="D601" s="110">
        <v>0.0020672592338277793</v>
      </c>
      <c r="E601" s="110">
        <v>2.1133165138791745</v>
      </c>
      <c r="F601" s="87" t="s">
        <v>1330</v>
      </c>
      <c r="G601" s="87" t="b">
        <v>0</v>
      </c>
      <c r="H601" s="87" t="b">
        <v>0</v>
      </c>
      <c r="I601" s="87" t="b">
        <v>0</v>
      </c>
      <c r="J601" s="87" t="b">
        <v>0</v>
      </c>
      <c r="K601" s="87" t="b">
        <v>0</v>
      </c>
      <c r="L601" s="87" t="b">
        <v>0</v>
      </c>
    </row>
    <row r="602" spans="1:12" ht="15">
      <c r="A602" s="88" t="s">
        <v>1865</v>
      </c>
      <c r="B602" s="87" t="s">
        <v>1454</v>
      </c>
      <c r="C602" s="87">
        <v>3</v>
      </c>
      <c r="D602" s="110">
        <v>0.0020672592338277793</v>
      </c>
      <c r="E602" s="110">
        <v>1.3983584041590251</v>
      </c>
      <c r="F602" s="87" t="s">
        <v>1330</v>
      </c>
      <c r="G602" s="87" t="b">
        <v>0</v>
      </c>
      <c r="H602" s="87" t="b">
        <v>0</v>
      </c>
      <c r="I602" s="87" t="b">
        <v>0</v>
      </c>
      <c r="J602" s="87" t="b">
        <v>0</v>
      </c>
      <c r="K602" s="87" t="b">
        <v>0</v>
      </c>
      <c r="L602" s="87" t="b">
        <v>0</v>
      </c>
    </row>
    <row r="603" spans="1:12" ht="15">
      <c r="A603" s="88" t="s">
        <v>1462</v>
      </c>
      <c r="B603" s="87" t="s">
        <v>1493</v>
      </c>
      <c r="C603" s="87">
        <v>3</v>
      </c>
      <c r="D603" s="110">
        <v>0.0020672592338277793</v>
      </c>
      <c r="E603" s="110">
        <v>0.8646281911701736</v>
      </c>
      <c r="F603" s="87" t="s">
        <v>1330</v>
      </c>
      <c r="G603" s="87" t="b">
        <v>0</v>
      </c>
      <c r="H603" s="87" t="b">
        <v>0</v>
      </c>
      <c r="I603" s="87" t="b">
        <v>0</v>
      </c>
      <c r="J603" s="87" t="b">
        <v>0</v>
      </c>
      <c r="K603" s="87" t="b">
        <v>0</v>
      </c>
      <c r="L603" s="87" t="b">
        <v>0</v>
      </c>
    </row>
    <row r="604" spans="1:12" ht="15">
      <c r="A604" s="88" t="s">
        <v>1519</v>
      </c>
      <c r="B604" s="87" t="s">
        <v>1493</v>
      </c>
      <c r="C604" s="87">
        <v>3</v>
      </c>
      <c r="D604" s="110">
        <v>0.0020672592338277793</v>
      </c>
      <c r="E604" s="110">
        <v>1.587731875222912</v>
      </c>
      <c r="F604" s="87" t="s">
        <v>1330</v>
      </c>
      <c r="G604" s="87" t="b">
        <v>0</v>
      </c>
      <c r="H604" s="87" t="b">
        <v>0</v>
      </c>
      <c r="I604" s="87" t="b">
        <v>0</v>
      </c>
      <c r="J604" s="87" t="b">
        <v>0</v>
      </c>
      <c r="K604" s="87" t="b">
        <v>0</v>
      </c>
      <c r="L604" s="87" t="b">
        <v>0</v>
      </c>
    </row>
    <row r="605" spans="1:12" ht="15">
      <c r="A605" s="88" t="s">
        <v>1462</v>
      </c>
      <c r="B605" s="87" t="s">
        <v>1829</v>
      </c>
      <c r="C605" s="87">
        <v>3</v>
      </c>
      <c r="D605" s="110">
        <v>0.0020672592338277793</v>
      </c>
      <c r="E605" s="110">
        <v>1.323266040195823</v>
      </c>
      <c r="F605" s="87" t="s">
        <v>1330</v>
      </c>
      <c r="G605" s="87" t="b">
        <v>0</v>
      </c>
      <c r="H605" s="87" t="b">
        <v>0</v>
      </c>
      <c r="I605" s="87" t="b">
        <v>0</v>
      </c>
      <c r="J605" s="87" t="b">
        <v>1</v>
      </c>
      <c r="K605" s="87" t="b">
        <v>0</v>
      </c>
      <c r="L605" s="87" t="b">
        <v>0</v>
      </c>
    </row>
    <row r="606" spans="1:12" ht="15">
      <c r="A606" s="88" t="s">
        <v>1827</v>
      </c>
      <c r="B606" s="87" t="s">
        <v>1490</v>
      </c>
      <c r="C606" s="87">
        <v>3</v>
      </c>
      <c r="D606" s="110">
        <v>0.0020672592338277793</v>
      </c>
      <c r="E606" s="110">
        <v>1.020771306273568</v>
      </c>
      <c r="F606" s="87" t="s">
        <v>1330</v>
      </c>
      <c r="G606" s="87" t="b">
        <v>0</v>
      </c>
      <c r="H606" s="87" t="b">
        <v>0</v>
      </c>
      <c r="I606" s="87" t="b">
        <v>0</v>
      </c>
      <c r="J606" s="87" t="b">
        <v>0</v>
      </c>
      <c r="K606" s="87" t="b">
        <v>0</v>
      </c>
      <c r="L606" s="87" t="b">
        <v>0</v>
      </c>
    </row>
    <row r="607" spans="1:12" ht="15">
      <c r="A607" s="88" t="s">
        <v>1490</v>
      </c>
      <c r="B607" s="87" t="s">
        <v>1945</v>
      </c>
      <c r="C607" s="87">
        <v>3</v>
      </c>
      <c r="D607" s="110">
        <v>0.0020672592338277793</v>
      </c>
      <c r="E607" s="110">
        <v>1.7989225566572116</v>
      </c>
      <c r="F607" s="87" t="s">
        <v>1330</v>
      </c>
      <c r="G607" s="87" t="b">
        <v>0</v>
      </c>
      <c r="H607" s="87" t="b">
        <v>0</v>
      </c>
      <c r="I607" s="87" t="b">
        <v>0</v>
      </c>
      <c r="J607" s="87" t="b">
        <v>0</v>
      </c>
      <c r="K607" s="87" t="b">
        <v>0</v>
      </c>
      <c r="L607" s="87" t="b">
        <v>0</v>
      </c>
    </row>
    <row r="608" spans="1:12" ht="15">
      <c r="A608" s="88" t="s">
        <v>1945</v>
      </c>
      <c r="B608" s="87" t="s">
        <v>1907</v>
      </c>
      <c r="C608" s="87">
        <v>3</v>
      </c>
      <c r="D608" s="110">
        <v>0.0020672592338277793</v>
      </c>
      <c r="E608" s="110">
        <v>2.7153765052071366</v>
      </c>
      <c r="F608" s="87" t="s">
        <v>1330</v>
      </c>
      <c r="G608" s="87" t="b">
        <v>0</v>
      </c>
      <c r="H608" s="87" t="b">
        <v>0</v>
      </c>
      <c r="I608" s="87" t="b">
        <v>0</v>
      </c>
      <c r="J608" s="87" t="b">
        <v>0</v>
      </c>
      <c r="K608" s="87" t="b">
        <v>0</v>
      </c>
      <c r="L608" s="87" t="b">
        <v>0</v>
      </c>
    </row>
    <row r="609" spans="1:12" ht="15">
      <c r="A609" s="88" t="s">
        <v>1907</v>
      </c>
      <c r="B609" s="87" t="s">
        <v>1946</v>
      </c>
      <c r="C609" s="87">
        <v>3</v>
      </c>
      <c r="D609" s="110">
        <v>0.0020672592338277793</v>
      </c>
      <c r="E609" s="110">
        <v>2.7153765052071366</v>
      </c>
      <c r="F609" s="87" t="s">
        <v>1330</v>
      </c>
      <c r="G609" s="87" t="b">
        <v>0</v>
      </c>
      <c r="H609" s="87" t="b">
        <v>0</v>
      </c>
      <c r="I609" s="87" t="b">
        <v>0</v>
      </c>
      <c r="J609" s="87" t="b">
        <v>0</v>
      </c>
      <c r="K609" s="87" t="b">
        <v>0</v>
      </c>
      <c r="L609" s="87" t="b">
        <v>0</v>
      </c>
    </row>
    <row r="610" spans="1:12" ht="15">
      <c r="A610" s="88" t="s">
        <v>1946</v>
      </c>
      <c r="B610" s="87" t="s">
        <v>1467</v>
      </c>
      <c r="C610" s="87">
        <v>3</v>
      </c>
      <c r="D610" s="110">
        <v>0.0020672592338277793</v>
      </c>
      <c r="E610" s="110">
        <v>2.171308460856861</v>
      </c>
      <c r="F610" s="87" t="s">
        <v>1330</v>
      </c>
      <c r="G610" s="87" t="b">
        <v>0</v>
      </c>
      <c r="H610" s="87" t="b">
        <v>0</v>
      </c>
      <c r="I610" s="87" t="b">
        <v>0</v>
      </c>
      <c r="J610" s="87" t="b">
        <v>0</v>
      </c>
      <c r="K610" s="87" t="b">
        <v>0</v>
      </c>
      <c r="L610" s="87" t="b">
        <v>0</v>
      </c>
    </row>
    <row r="611" spans="1:12" ht="15">
      <c r="A611" s="88" t="s">
        <v>1467</v>
      </c>
      <c r="B611" s="87" t="s">
        <v>1917</v>
      </c>
      <c r="C611" s="87">
        <v>3</v>
      </c>
      <c r="D611" s="110">
        <v>0.0020672592338277793</v>
      </c>
      <c r="E611" s="110">
        <v>2.046369724248561</v>
      </c>
      <c r="F611" s="87" t="s">
        <v>1330</v>
      </c>
      <c r="G611" s="87" t="b">
        <v>0</v>
      </c>
      <c r="H611" s="87" t="b">
        <v>0</v>
      </c>
      <c r="I611" s="87" t="b">
        <v>0</v>
      </c>
      <c r="J611" s="87" t="b">
        <v>0</v>
      </c>
      <c r="K611" s="87" t="b">
        <v>0</v>
      </c>
      <c r="L611" s="87" t="b">
        <v>0</v>
      </c>
    </row>
    <row r="612" spans="1:12" ht="15">
      <c r="A612" s="88" t="s">
        <v>1917</v>
      </c>
      <c r="B612" s="87" t="s">
        <v>1866</v>
      </c>
      <c r="C612" s="87">
        <v>3</v>
      </c>
      <c r="D612" s="110">
        <v>0.0020672592338277793</v>
      </c>
      <c r="E612" s="110">
        <v>2.4143465095431553</v>
      </c>
      <c r="F612" s="87" t="s">
        <v>1330</v>
      </c>
      <c r="G612" s="87" t="b">
        <v>0</v>
      </c>
      <c r="H612" s="87" t="b">
        <v>0</v>
      </c>
      <c r="I612" s="87" t="b">
        <v>0</v>
      </c>
      <c r="J612" s="87" t="b">
        <v>0</v>
      </c>
      <c r="K612" s="87" t="b">
        <v>0</v>
      </c>
      <c r="L612" s="87" t="b">
        <v>0</v>
      </c>
    </row>
    <row r="613" spans="1:12" ht="15">
      <c r="A613" s="88" t="s">
        <v>1866</v>
      </c>
      <c r="B613" s="87" t="s">
        <v>1836</v>
      </c>
      <c r="C613" s="87">
        <v>3</v>
      </c>
      <c r="D613" s="110">
        <v>0.0020672592338277793</v>
      </c>
      <c r="E613" s="110">
        <v>1.937225254823493</v>
      </c>
      <c r="F613" s="87" t="s">
        <v>1330</v>
      </c>
      <c r="G613" s="87" t="b">
        <v>0</v>
      </c>
      <c r="H613" s="87" t="b">
        <v>0</v>
      </c>
      <c r="I613" s="87" t="b">
        <v>0</v>
      </c>
      <c r="J613" s="87" t="b">
        <v>0</v>
      </c>
      <c r="K613" s="87" t="b">
        <v>0</v>
      </c>
      <c r="L613" s="87" t="b">
        <v>0</v>
      </c>
    </row>
    <row r="614" spans="1:12" ht="15">
      <c r="A614" s="88" t="s">
        <v>1836</v>
      </c>
      <c r="B614" s="87" t="s">
        <v>1947</v>
      </c>
      <c r="C614" s="87">
        <v>3</v>
      </c>
      <c r="D614" s="110">
        <v>0.0020672592338277793</v>
      </c>
      <c r="E614" s="110">
        <v>2.2382552504874744</v>
      </c>
      <c r="F614" s="87" t="s">
        <v>1330</v>
      </c>
      <c r="G614" s="87" t="b">
        <v>0</v>
      </c>
      <c r="H614" s="87" t="b">
        <v>0</v>
      </c>
      <c r="I614" s="87" t="b">
        <v>0</v>
      </c>
      <c r="J614" s="87" t="b">
        <v>0</v>
      </c>
      <c r="K614" s="87" t="b">
        <v>0</v>
      </c>
      <c r="L614" s="87" t="b">
        <v>0</v>
      </c>
    </row>
    <row r="615" spans="1:12" ht="15">
      <c r="A615" s="88" t="s">
        <v>1947</v>
      </c>
      <c r="B615" s="87" t="s">
        <v>1866</v>
      </c>
      <c r="C615" s="87">
        <v>3</v>
      </c>
      <c r="D615" s="110">
        <v>0.0020672592338277793</v>
      </c>
      <c r="E615" s="110">
        <v>2.5392852461514552</v>
      </c>
      <c r="F615" s="87" t="s">
        <v>1330</v>
      </c>
      <c r="G615" s="87" t="b">
        <v>0</v>
      </c>
      <c r="H615" s="87" t="b">
        <v>0</v>
      </c>
      <c r="I615" s="87" t="b">
        <v>0</v>
      </c>
      <c r="J615" s="87" t="b">
        <v>0</v>
      </c>
      <c r="K615" s="87" t="b">
        <v>0</v>
      </c>
      <c r="L615" s="87" t="b">
        <v>0</v>
      </c>
    </row>
    <row r="616" spans="1:12" ht="15">
      <c r="A616" s="88" t="s">
        <v>1866</v>
      </c>
      <c r="B616" s="87" t="s">
        <v>1455</v>
      </c>
      <c r="C616" s="87">
        <v>3</v>
      </c>
      <c r="D616" s="110">
        <v>0.0020672592338277793</v>
      </c>
      <c r="E616" s="110">
        <v>1.0719238287209494</v>
      </c>
      <c r="F616" s="87" t="s">
        <v>1330</v>
      </c>
      <c r="G616" s="87" t="b">
        <v>0</v>
      </c>
      <c r="H616" s="87" t="b">
        <v>0</v>
      </c>
      <c r="I616" s="87" t="b">
        <v>0</v>
      </c>
      <c r="J616" s="87" t="b">
        <v>0</v>
      </c>
      <c r="K616" s="87" t="b">
        <v>0</v>
      </c>
      <c r="L616" s="87" t="b">
        <v>0</v>
      </c>
    </row>
    <row r="617" spans="1:12" ht="15">
      <c r="A617" s="88" t="s">
        <v>1457</v>
      </c>
      <c r="B617" s="87" t="s">
        <v>288</v>
      </c>
      <c r="C617" s="87">
        <v>3</v>
      </c>
      <c r="D617" s="110">
        <v>0.0020672592338277793</v>
      </c>
      <c r="E617" s="110">
        <v>1.442375233143399</v>
      </c>
      <c r="F617" s="87" t="s">
        <v>1330</v>
      </c>
      <c r="G617" s="87" t="b">
        <v>0</v>
      </c>
      <c r="H617" s="87" t="b">
        <v>0</v>
      </c>
      <c r="I617" s="87" t="b">
        <v>0</v>
      </c>
      <c r="J617" s="87" t="b">
        <v>0</v>
      </c>
      <c r="K617" s="87" t="b">
        <v>0</v>
      </c>
      <c r="L617" s="87" t="b">
        <v>0</v>
      </c>
    </row>
    <row r="618" spans="1:12" ht="15">
      <c r="A618" s="88" t="s">
        <v>288</v>
      </c>
      <c r="B618" s="87" t="s">
        <v>1454</v>
      </c>
      <c r="C618" s="87">
        <v>3</v>
      </c>
      <c r="D618" s="110">
        <v>0.0020672592338277793</v>
      </c>
      <c r="E618" s="110">
        <v>1.3983584041590251</v>
      </c>
      <c r="F618" s="87" t="s">
        <v>1330</v>
      </c>
      <c r="G618" s="87" t="b">
        <v>0</v>
      </c>
      <c r="H618" s="87" t="b">
        <v>0</v>
      </c>
      <c r="I618" s="87" t="b">
        <v>0</v>
      </c>
      <c r="J618" s="87" t="b">
        <v>0</v>
      </c>
      <c r="K618" s="87" t="b">
        <v>0</v>
      </c>
      <c r="L618" s="87" t="b">
        <v>0</v>
      </c>
    </row>
    <row r="619" spans="1:12" ht="15">
      <c r="A619" s="88" t="s">
        <v>1825</v>
      </c>
      <c r="B619" s="87" t="s">
        <v>1934</v>
      </c>
      <c r="C619" s="87">
        <v>3</v>
      </c>
      <c r="D619" s="110">
        <v>0.0020672592338277793</v>
      </c>
      <c r="E619" s="110">
        <v>1.9952172018011798</v>
      </c>
      <c r="F619" s="87" t="s">
        <v>1330</v>
      </c>
      <c r="G619" s="87" t="b">
        <v>0</v>
      </c>
      <c r="H619" s="87" t="b">
        <v>0</v>
      </c>
      <c r="I619" s="87" t="b">
        <v>0</v>
      </c>
      <c r="J619" s="87" t="b">
        <v>1</v>
      </c>
      <c r="K619" s="87" t="b">
        <v>0</v>
      </c>
      <c r="L619" s="87" t="b">
        <v>0</v>
      </c>
    </row>
    <row r="620" spans="1:12" ht="15">
      <c r="A620" s="88" t="s">
        <v>1934</v>
      </c>
      <c r="B620" s="87" t="s">
        <v>1469</v>
      </c>
      <c r="C620" s="87">
        <v>3</v>
      </c>
      <c r="D620" s="110">
        <v>0.0020672592338277793</v>
      </c>
      <c r="E620" s="110">
        <v>1.855038498636143</v>
      </c>
      <c r="F620" s="87" t="s">
        <v>1330</v>
      </c>
      <c r="G620" s="87" t="b">
        <v>1</v>
      </c>
      <c r="H620" s="87" t="b">
        <v>0</v>
      </c>
      <c r="I620" s="87" t="b">
        <v>0</v>
      </c>
      <c r="J620" s="87" t="b">
        <v>0</v>
      </c>
      <c r="K620" s="87" t="b">
        <v>0</v>
      </c>
      <c r="L620" s="87" t="b">
        <v>0</v>
      </c>
    </row>
    <row r="621" spans="1:12" ht="15">
      <c r="A621" s="88" t="s">
        <v>1460</v>
      </c>
      <c r="B621" s="87" t="s">
        <v>1859</v>
      </c>
      <c r="C621" s="87">
        <v>3</v>
      </c>
      <c r="D621" s="110">
        <v>0.0020672592338277793</v>
      </c>
      <c r="E621" s="110">
        <v>1.4366229042543077</v>
      </c>
      <c r="F621" s="87" t="s">
        <v>1330</v>
      </c>
      <c r="G621" s="87" t="b">
        <v>0</v>
      </c>
      <c r="H621" s="87" t="b">
        <v>0</v>
      </c>
      <c r="I621" s="87" t="b">
        <v>0</v>
      </c>
      <c r="J621" s="87" t="b">
        <v>0</v>
      </c>
      <c r="K621" s="87" t="b">
        <v>0</v>
      </c>
      <c r="L621" s="87" t="b">
        <v>0</v>
      </c>
    </row>
    <row r="622" spans="1:12" ht="15">
      <c r="A622" s="88" t="s">
        <v>1859</v>
      </c>
      <c r="B622" s="87" t="s">
        <v>277</v>
      </c>
      <c r="C622" s="87">
        <v>3</v>
      </c>
      <c r="D622" s="110">
        <v>0.0020672592338277793</v>
      </c>
      <c r="E622" s="110">
        <v>2.5392852461514552</v>
      </c>
      <c r="F622" s="87" t="s">
        <v>1330</v>
      </c>
      <c r="G622" s="87" t="b">
        <v>0</v>
      </c>
      <c r="H622" s="87" t="b">
        <v>0</v>
      </c>
      <c r="I622" s="87" t="b">
        <v>0</v>
      </c>
      <c r="J622" s="87" t="b">
        <v>0</v>
      </c>
      <c r="K622" s="87" t="b">
        <v>0</v>
      </c>
      <c r="L622" s="87" t="b">
        <v>0</v>
      </c>
    </row>
    <row r="623" spans="1:12" ht="15">
      <c r="A623" s="88" t="s">
        <v>277</v>
      </c>
      <c r="B623" s="87" t="s">
        <v>1901</v>
      </c>
      <c r="C623" s="87">
        <v>3</v>
      </c>
      <c r="D623" s="110">
        <v>0.0020672592338277793</v>
      </c>
      <c r="E623" s="110">
        <v>2.7153765052071366</v>
      </c>
      <c r="F623" s="87" t="s">
        <v>1330</v>
      </c>
      <c r="G623" s="87" t="b">
        <v>0</v>
      </c>
      <c r="H623" s="87" t="b">
        <v>0</v>
      </c>
      <c r="I623" s="87" t="b">
        <v>0</v>
      </c>
      <c r="J623" s="87" t="b">
        <v>0</v>
      </c>
      <c r="K623" s="87" t="b">
        <v>0</v>
      </c>
      <c r="L623" s="87" t="b">
        <v>0</v>
      </c>
    </row>
    <row r="624" spans="1:12" ht="15">
      <c r="A624" s="88" t="s">
        <v>1901</v>
      </c>
      <c r="B624" s="87" t="s">
        <v>1821</v>
      </c>
      <c r="C624" s="87">
        <v>3</v>
      </c>
      <c r="D624" s="110">
        <v>0.0020672592338277793</v>
      </c>
      <c r="E624" s="110">
        <v>1.6873477816068931</v>
      </c>
      <c r="F624" s="87" t="s">
        <v>1330</v>
      </c>
      <c r="G624" s="87" t="b">
        <v>0</v>
      </c>
      <c r="H624" s="87" t="b">
        <v>0</v>
      </c>
      <c r="I624" s="87" t="b">
        <v>0</v>
      </c>
      <c r="J624" s="87" t="b">
        <v>0</v>
      </c>
      <c r="K624" s="87" t="b">
        <v>0</v>
      </c>
      <c r="L624" s="87" t="b">
        <v>0</v>
      </c>
    </row>
    <row r="625" spans="1:12" ht="15">
      <c r="A625" s="88" t="s">
        <v>1437</v>
      </c>
      <c r="B625" s="87" t="s">
        <v>1862</v>
      </c>
      <c r="C625" s="87">
        <v>3</v>
      </c>
      <c r="D625" s="110">
        <v>0.0020672592338277793</v>
      </c>
      <c r="E625" s="110">
        <v>0.8828675925009004</v>
      </c>
      <c r="F625" s="87" t="s">
        <v>1330</v>
      </c>
      <c r="G625" s="87" t="b">
        <v>0</v>
      </c>
      <c r="H625" s="87" t="b">
        <v>0</v>
      </c>
      <c r="I625" s="87" t="b">
        <v>0</v>
      </c>
      <c r="J625" s="87" t="b">
        <v>0</v>
      </c>
      <c r="K625" s="87" t="b">
        <v>0</v>
      </c>
      <c r="L625" s="87" t="b">
        <v>0</v>
      </c>
    </row>
    <row r="626" spans="1:12" ht="15">
      <c r="A626" s="88" t="s">
        <v>1862</v>
      </c>
      <c r="B626" s="87" t="s">
        <v>1943</v>
      </c>
      <c r="C626" s="87">
        <v>3</v>
      </c>
      <c r="D626" s="110">
        <v>0.0020672592338277793</v>
      </c>
      <c r="E626" s="110">
        <v>2.5392852461514552</v>
      </c>
      <c r="F626" s="87" t="s">
        <v>1330</v>
      </c>
      <c r="G626" s="87" t="b">
        <v>0</v>
      </c>
      <c r="H626" s="87" t="b">
        <v>0</v>
      </c>
      <c r="I626" s="87" t="b">
        <v>0</v>
      </c>
      <c r="J626" s="87" t="b">
        <v>0</v>
      </c>
      <c r="K626" s="87" t="b">
        <v>0</v>
      </c>
      <c r="L626" s="87" t="b">
        <v>0</v>
      </c>
    </row>
    <row r="627" spans="1:12" ht="15">
      <c r="A627" s="88" t="s">
        <v>1943</v>
      </c>
      <c r="B627" s="87" t="s">
        <v>1839</v>
      </c>
      <c r="C627" s="87">
        <v>3</v>
      </c>
      <c r="D627" s="110">
        <v>0.0020672592338277793</v>
      </c>
      <c r="E627" s="110">
        <v>2.472338456520842</v>
      </c>
      <c r="F627" s="87" t="s">
        <v>1330</v>
      </c>
      <c r="G627" s="87" t="b">
        <v>0</v>
      </c>
      <c r="H627" s="87" t="b">
        <v>0</v>
      </c>
      <c r="I627" s="87" t="b">
        <v>0</v>
      </c>
      <c r="J627" s="87" t="b">
        <v>0</v>
      </c>
      <c r="K627" s="87" t="b">
        <v>0</v>
      </c>
      <c r="L627" s="87" t="b">
        <v>0</v>
      </c>
    </row>
    <row r="628" spans="1:12" ht="15">
      <c r="A628" s="88" t="s">
        <v>1839</v>
      </c>
      <c r="B628" s="87" t="s">
        <v>1824</v>
      </c>
      <c r="C628" s="87">
        <v>3</v>
      </c>
      <c r="D628" s="110">
        <v>0.0020672592338277793</v>
      </c>
      <c r="E628" s="110">
        <v>1.587731875222912</v>
      </c>
      <c r="F628" s="87" t="s">
        <v>1330</v>
      </c>
      <c r="G628" s="87" t="b">
        <v>0</v>
      </c>
      <c r="H628" s="87" t="b">
        <v>0</v>
      </c>
      <c r="I628" s="87" t="b">
        <v>0</v>
      </c>
      <c r="J628" s="87" t="b">
        <v>0</v>
      </c>
      <c r="K628" s="87" t="b">
        <v>0</v>
      </c>
      <c r="L628" s="87" t="b">
        <v>0</v>
      </c>
    </row>
    <row r="629" spans="1:12" ht="15">
      <c r="A629" s="88" t="s">
        <v>1931</v>
      </c>
      <c r="B629" s="87" t="s">
        <v>1437</v>
      </c>
      <c r="C629" s="87">
        <v>3</v>
      </c>
      <c r="D629" s="110">
        <v>0.0020672592338277793</v>
      </c>
      <c r="E629" s="110">
        <v>1.1838975881648817</v>
      </c>
      <c r="F629" s="87" t="s">
        <v>1330</v>
      </c>
      <c r="G629" s="87" t="b">
        <v>0</v>
      </c>
      <c r="H629" s="87" t="b">
        <v>0</v>
      </c>
      <c r="I629" s="87" t="b">
        <v>0</v>
      </c>
      <c r="J629" s="87" t="b">
        <v>0</v>
      </c>
      <c r="K629" s="87" t="b">
        <v>0</v>
      </c>
      <c r="L629" s="87" t="b">
        <v>0</v>
      </c>
    </row>
    <row r="630" spans="1:12" ht="15">
      <c r="A630" s="88" t="s">
        <v>341</v>
      </c>
      <c r="B630" s="87" t="s">
        <v>1437</v>
      </c>
      <c r="C630" s="87">
        <v>3</v>
      </c>
      <c r="D630" s="110">
        <v>0.0027265700418236277</v>
      </c>
      <c r="E630" s="110">
        <v>0.24604549491372607</v>
      </c>
      <c r="F630" s="87" t="s">
        <v>1330</v>
      </c>
      <c r="G630" s="87" t="b">
        <v>0</v>
      </c>
      <c r="H630" s="87" t="b">
        <v>0</v>
      </c>
      <c r="I630" s="87" t="b">
        <v>0</v>
      </c>
      <c r="J630" s="87" t="b">
        <v>0</v>
      </c>
      <c r="K630" s="87" t="b">
        <v>0</v>
      </c>
      <c r="L630" s="87" t="b">
        <v>0</v>
      </c>
    </row>
    <row r="631" spans="1:12" ht="15">
      <c r="A631" s="88" t="s">
        <v>1493</v>
      </c>
      <c r="B631" s="87" t="s">
        <v>1959</v>
      </c>
      <c r="C631" s="87">
        <v>2</v>
      </c>
      <c r="D631" s="110">
        <v>0.0015403941574718724</v>
      </c>
      <c r="E631" s="110">
        <v>1.9557086605175062</v>
      </c>
      <c r="F631" s="87" t="s">
        <v>1330</v>
      </c>
      <c r="G631" s="87" t="b">
        <v>0</v>
      </c>
      <c r="H631" s="87" t="b">
        <v>0</v>
      </c>
      <c r="I631" s="87" t="b">
        <v>0</v>
      </c>
      <c r="J631" s="87" t="b">
        <v>0</v>
      </c>
      <c r="K631" s="87" t="b">
        <v>0</v>
      </c>
      <c r="L631" s="87" t="b">
        <v>0</v>
      </c>
    </row>
    <row r="632" spans="1:12" ht="15">
      <c r="A632" s="88" t="s">
        <v>1959</v>
      </c>
      <c r="B632" s="87" t="s">
        <v>1462</v>
      </c>
      <c r="C632" s="87">
        <v>2</v>
      </c>
      <c r="D632" s="110">
        <v>0.0015403941574718724</v>
      </c>
      <c r="E632" s="110">
        <v>1.749234772468104</v>
      </c>
      <c r="F632" s="87" t="s">
        <v>1330</v>
      </c>
      <c r="G632" s="87" t="b">
        <v>0</v>
      </c>
      <c r="H632" s="87" t="b">
        <v>0</v>
      </c>
      <c r="I632" s="87" t="b">
        <v>0</v>
      </c>
      <c r="J632" s="87" t="b">
        <v>0</v>
      </c>
      <c r="K632" s="87" t="b">
        <v>0</v>
      </c>
      <c r="L632" s="87" t="b">
        <v>0</v>
      </c>
    </row>
    <row r="633" spans="1:12" ht="15">
      <c r="A633" s="88" t="s">
        <v>1880</v>
      </c>
      <c r="B633" s="87" t="s">
        <v>1455</v>
      </c>
      <c r="C633" s="87">
        <v>2</v>
      </c>
      <c r="D633" s="110">
        <v>0.0015403941574718724</v>
      </c>
      <c r="E633" s="110">
        <v>1.3729538243849304</v>
      </c>
      <c r="F633" s="87" t="s">
        <v>1330</v>
      </c>
      <c r="G633" s="87" t="b">
        <v>0</v>
      </c>
      <c r="H633" s="87" t="b">
        <v>0</v>
      </c>
      <c r="I633" s="87" t="b">
        <v>0</v>
      </c>
      <c r="J633" s="87" t="b">
        <v>0</v>
      </c>
      <c r="K633" s="87" t="b">
        <v>0</v>
      </c>
      <c r="L633" s="87" t="b">
        <v>0</v>
      </c>
    </row>
    <row r="634" spans="1:12" ht="15">
      <c r="A634" s="88" t="s">
        <v>1460</v>
      </c>
      <c r="B634" s="87" t="s">
        <v>1883</v>
      </c>
      <c r="C634" s="87">
        <v>2</v>
      </c>
      <c r="D634" s="110">
        <v>0.0015403941574718724</v>
      </c>
      <c r="E634" s="110">
        <v>1.3397128912462513</v>
      </c>
      <c r="F634" s="87" t="s">
        <v>1330</v>
      </c>
      <c r="G634" s="87" t="b">
        <v>0</v>
      </c>
      <c r="H634" s="87" t="b">
        <v>0</v>
      </c>
      <c r="I634" s="87" t="b">
        <v>0</v>
      </c>
      <c r="J634" s="87" t="b">
        <v>0</v>
      </c>
      <c r="K634" s="87" t="b">
        <v>0</v>
      </c>
      <c r="L634" s="87" t="b">
        <v>0</v>
      </c>
    </row>
    <row r="635" spans="1:12" ht="15">
      <c r="A635" s="88" t="s">
        <v>1884</v>
      </c>
      <c r="B635" s="87" t="s">
        <v>1490</v>
      </c>
      <c r="C635" s="87">
        <v>2</v>
      </c>
      <c r="D635" s="110">
        <v>0.0015403941574718724</v>
      </c>
      <c r="E635" s="110">
        <v>1.400982547985174</v>
      </c>
      <c r="F635" s="87" t="s">
        <v>1330</v>
      </c>
      <c r="G635" s="87" t="b">
        <v>0</v>
      </c>
      <c r="H635" s="87" t="b">
        <v>0</v>
      </c>
      <c r="I635" s="87" t="b">
        <v>0</v>
      </c>
      <c r="J635" s="87" t="b">
        <v>0</v>
      </c>
      <c r="K635" s="87" t="b">
        <v>0</v>
      </c>
      <c r="L635" s="87" t="b">
        <v>0</v>
      </c>
    </row>
    <row r="636" spans="1:12" ht="15">
      <c r="A636" s="88" t="s">
        <v>1939</v>
      </c>
      <c r="B636" s="87" t="s">
        <v>2016</v>
      </c>
      <c r="C636" s="87">
        <v>2</v>
      </c>
      <c r="D636" s="110">
        <v>0.0015403941574718724</v>
      </c>
      <c r="E636" s="110">
        <v>2.8403152418154365</v>
      </c>
      <c r="F636" s="87" t="s">
        <v>1330</v>
      </c>
      <c r="G636" s="87" t="b">
        <v>1</v>
      </c>
      <c r="H636" s="87" t="b">
        <v>0</v>
      </c>
      <c r="I636" s="87" t="b">
        <v>0</v>
      </c>
      <c r="J636" s="87" t="b">
        <v>0</v>
      </c>
      <c r="K636" s="87" t="b">
        <v>0</v>
      </c>
      <c r="L636" s="87" t="b">
        <v>0</v>
      </c>
    </row>
    <row r="637" spans="1:12" ht="15">
      <c r="A637" s="88" t="s">
        <v>2016</v>
      </c>
      <c r="B637" s="87" t="s">
        <v>2017</v>
      </c>
      <c r="C637" s="87">
        <v>2</v>
      </c>
      <c r="D637" s="110">
        <v>0.0015403941574718724</v>
      </c>
      <c r="E637" s="110">
        <v>3.016406500871118</v>
      </c>
      <c r="F637" s="87" t="s">
        <v>1330</v>
      </c>
      <c r="G637" s="87" t="b">
        <v>0</v>
      </c>
      <c r="H637" s="87" t="b">
        <v>0</v>
      </c>
      <c r="I637" s="87" t="b">
        <v>0</v>
      </c>
      <c r="J637" s="87" t="b">
        <v>0</v>
      </c>
      <c r="K637" s="87" t="b">
        <v>0</v>
      </c>
      <c r="L637" s="87" t="b">
        <v>0</v>
      </c>
    </row>
    <row r="638" spans="1:12" ht="15">
      <c r="A638" s="88" t="s">
        <v>2017</v>
      </c>
      <c r="B638" s="87" t="s">
        <v>1437</v>
      </c>
      <c r="C638" s="87">
        <v>2</v>
      </c>
      <c r="D638" s="110">
        <v>0.0015403941574718724</v>
      </c>
      <c r="E638" s="110">
        <v>1.1838975881648814</v>
      </c>
      <c r="F638" s="87" t="s">
        <v>1330</v>
      </c>
      <c r="G638" s="87" t="b">
        <v>0</v>
      </c>
      <c r="H638" s="87" t="b">
        <v>0</v>
      </c>
      <c r="I638" s="87" t="b">
        <v>0</v>
      </c>
      <c r="J638" s="87" t="b">
        <v>0</v>
      </c>
      <c r="K638" s="87" t="b">
        <v>0</v>
      </c>
      <c r="L638" s="87" t="b">
        <v>0</v>
      </c>
    </row>
    <row r="639" spans="1:12" ht="15">
      <c r="A639" s="88" t="s">
        <v>1828</v>
      </c>
      <c r="B639" s="87" t="s">
        <v>1997</v>
      </c>
      <c r="C639" s="87">
        <v>2</v>
      </c>
      <c r="D639" s="110">
        <v>0.0015403941574718724</v>
      </c>
      <c r="E639" s="110">
        <v>2.016406500871118</v>
      </c>
      <c r="F639" s="87" t="s">
        <v>1330</v>
      </c>
      <c r="G639" s="87" t="b">
        <v>0</v>
      </c>
      <c r="H639" s="87" t="b">
        <v>0</v>
      </c>
      <c r="I639" s="87" t="b">
        <v>0</v>
      </c>
      <c r="J639" s="87" t="b">
        <v>0</v>
      </c>
      <c r="K639" s="87" t="b">
        <v>0</v>
      </c>
      <c r="L639" s="87" t="b">
        <v>0</v>
      </c>
    </row>
    <row r="640" spans="1:12" ht="15">
      <c r="A640" s="88" t="s">
        <v>1885</v>
      </c>
      <c r="B640" s="87" t="s">
        <v>1455</v>
      </c>
      <c r="C640" s="87">
        <v>2</v>
      </c>
      <c r="D640" s="110">
        <v>0.0015403941574718724</v>
      </c>
      <c r="E640" s="110">
        <v>0.9750138157128928</v>
      </c>
      <c r="F640" s="87" t="s">
        <v>1330</v>
      </c>
      <c r="G640" s="87" t="b">
        <v>0</v>
      </c>
      <c r="H640" s="87" t="b">
        <v>0</v>
      </c>
      <c r="I640" s="87" t="b">
        <v>0</v>
      </c>
      <c r="J640" s="87" t="b">
        <v>0</v>
      </c>
      <c r="K640" s="87" t="b">
        <v>0</v>
      </c>
      <c r="L640" s="87" t="b">
        <v>0</v>
      </c>
    </row>
    <row r="641" spans="1:12" ht="15">
      <c r="A641" s="88" t="s">
        <v>1453</v>
      </c>
      <c r="B641" s="87" t="s">
        <v>2040</v>
      </c>
      <c r="C641" s="87">
        <v>2</v>
      </c>
      <c r="D641" s="110">
        <v>0.0015403941574718724</v>
      </c>
      <c r="E641" s="110">
        <v>1.348953547981164</v>
      </c>
      <c r="F641" s="87" t="s">
        <v>1330</v>
      </c>
      <c r="G641" s="87" t="b">
        <v>0</v>
      </c>
      <c r="H641" s="87" t="b">
        <v>0</v>
      </c>
      <c r="I641" s="87" t="b">
        <v>0</v>
      </c>
      <c r="J641" s="87" t="b">
        <v>1</v>
      </c>
      <c r="K641" s="87" t="b">
        <v>0</v>
      </c>
      <c r="L641" s="87" t="b">
        <v>0</v>
      </c>
    </row>
    <row r="642" spans="1:12" ht="15">
      <c r="A642" s="88" t="s">
        <v>2040</v>
      </c>
      <c r="B642" s="87" t="s">
        <v>1516</v>
      </c>
      <c r="C642" s="87">
        <v>2</v>
      </c>
      <c r="D642" s="110">
        <v>0.0015403941574718724</v>
      </c>
      <c r="E642" s="110">
        <v>1.9372252548234932</v>
      </c>
      <c r="F642" s="87" t="s">
        <v>1330</v>
      </c>
      <c r="G642" s="87" t="b">
        <v>1</v>
      </c>
      <c r="H642" s="87" t="b">
        <v>0</v>
      </c>
      <c r="I642" s="87" t="b">
        <v>0</v>
      </c>
      <c r="J642" s="87" t="b">
        <v>0</v>
      </c>
      <c r="K642" s="87" t="b">
        <v>0</v>
      </c>
      <c r="L642" s="87" t="b">
        <v>0</v>
      </c>
    </row>
    <row r="643" spans="1:12" ht="15">
      <c r="A643" s="88" t="s">
        <v>1490</v>
      </c>
      <c r="B643" s="87" t="s">
        <v>2041</v>
      </c>
      <c r="C643" s="87">
        <v>2</v>
      </c>
      <c r="D643" s="110">
        <v>0.0015403941574718724</v>
      </c>
      <c r="E643" s="110">
        <v>1.7989225566572116</v>
      </c>
      <c r="F643" s="87" t="s">
        <v>1330</v>
      </c>
      <c r="G643" s="87" t="b">
        <v>0</v>
      </c>
      <c r="H643" s="87" t="b">
        <v>0</v>
      </c>
      <c r="I643" s="87" t="b">
        <v>0</v>
      </c>
      <c r="J643" s="87" t="b">
        <v>0</v>
      </c>
      <c r="K643" s="87" t="b">
        <v>0</v>
      </c>
      <c r="L643" s="87" t="b">
        <v>0</v>
      </c>
    </row>
    <row r="644" spans="1:12" ht="15">
      <c r="A644" s="88" t="s">
        <v>2041</v>
      </c>
      <c r="B644" s="87" t="s">
        <v>2042</v>
      </c>
      <c r="C644" s="87">
        <v>2</v>
      </c>
      <c r="D644" s="110">
        <v>0.0015403941574718724</v>
      </c>
      <c r="E644" s="110">
        <v>3.016406500871118</v>
      </c>
      <c r="F644" s="87" t="s">
        <v>1330</v>
      </c>
      <c r="G644" s="87" t="b">
        <v>0</v>
      </c>
      <c r="H644" s="87" t="b">
        <v>0</v>
      </c>
      <c r="I644" s="87" t="b">
        <v>0</v>
      </c>
      <c r="J644" s="87" t="b">
        <v>0</v>
      </c>
      <c r="K644" s="87" t="b">
        <v>0</v>
      </c>
      <c r="L644" s="87" t="b">
        <v>0</v>
      </c>
    </row>
    <row r="645" spans="1:12" ht="15">
      <c r="A645" s="88" t="s">
        <v>2042</v>
      </c>
      <c r="B645" s="87" t="s">
        <v>1840</v>
      </c>
      <c r="C645" s="87">
        <v>2</v>
      </c>
      <c r="D645" s="110">
        <v>0.0015403941574718724</v>
      </c>
      <c r="E645" s="110">
        <v>2.5392852461514557</v>
      </c>
      <c r="F645" s="87" t="s">
        <v>1330</v>
      </c>
      <c r="G645" s="87" t="b">
        <v>0</v>
      </c>
      <c r="H645" s="87" t="b">
        <v>0</v>
      </c>
      <c r="I645" s="87" t="b">
        <v>0</v>
      </c>
      <c r="J645" s="87" t="b">
        <v>0</v>
      </c>
      <c r="K645" s="87" t="b">
        <v>0</v>
      </c>
      <c r="L645" s="87" t="b">
        <v>0</v>
      </c>
    </row>
    <row r="646" spans="1:12" ht="15">
      <c r="A646" s="88" t="s">
        <v>1840</v>
      </c>
      <c r="B646" s="87" t="s">
        <v>1898</v>
      </c>
      <c r="C646" s="87">
        <v>2</v>
      </c>
      <c r="D646" s="110">
        <v>0.0015403941574718724</v>
      </c>
      <c r="E646" s="110">
        <v>2.2382552504874744</v>
      </c>
      <c r="F646" s="87" t="s">
        <v>1330</v>
      </c>
      <c r="G646" s="87" t="b">
        <v>0</v>
      </c>
      <c r="H646" s="87" t="b">
        <v>0</v>
      </c>
      <c r="I646" s="87" t="b">
        <v>0</v>
      </c>
      <c r="J646" s="87" t="b">
        <v>0</v>
      </c>
      <c r="K646" s="87" t="b">
        <v>0</v>
      </c>
      <c r="L646" s="87" t="b">
        <v>0</v>
      </c>
    </row>
    <row r="647" spans="1:12" ht="15">
      <c r="A647" s="88" t="s">
        <v>1898</v>
      </c>
      <c r="B647" s="87" t="s">
        <v>1437</v>
      </c>
      <c r="C647" s="87">
        <v>2</v>
      </c>
      <c r="D647" s="110">
        <v>0.0015403941574718724</v>
      </c>
      <c r="E647" s="110">
        <v>0.8828675925009003</v>
      </c>
      <c r="F647" s="87" t="s">
        <v>1330</v>
      </c>
      <c r="G647" s="87" t="b">
        <v>0</v>
      </c>
      <c r="H647" s="87" t="b">
        <v>0</v>
      </c>
      <c r="I647" s="87" t="b">
        <v>0</v>
      </c>
      <c r="J647" s="87" t="b">
        <v>0</v>
      </c>
      <c r="K647" s="87" t="b">
        <v>0</v>
      </c>
      <c r="L647" s="87" t="b">
        <v>0</v>
      </c>
    </row>
    <row r="648" spans="1:12" ht="15">
      <c r="A648" s="88" t="s">
        <v>1881</v>
      </c>
      <c r="B648" s="87" t="s">
        <v>1835</v>
      </c>
      <c r="C648" s="87">
        <v>2</v>
      </c>
      <c r="D648" s="110">
        <v>0.0015403941574718724</v>
      </c>
      <c r="E648" s="110">
        <v>1.8403152418154365</v>
      </c>
      <c r="F648" s="87" t="s">
        <v>1330</v>
      </c>
      <c r="G648" s="87" t="b">
        <v>0</v>
      </c>
      <c r="H648" s="87" t="b">
        <v>0</v>
      </c>
      <c r="I648" s="87" t="b">
        <v>0</v>
      </c>
      <c r="J648" s="87" t="b">
        <v>0</v>
      </c>
      <c r="K648" s="87" t="b">
        <v>0</v>
      </c>
      <c r="L648" s="87" t="b">
        <v>0</v>
      </c>
    </row>
    <row r="649" spans="1:12" ht="15">
      <c r="A649" s="88" t="s">
        <v>1835</v>
      </c>
      <c r="B649" s="87" t="s">
        <v>1922</v>
      </c>
      <c r="C649" s="87">
        <v>2</v>
      </c>
      <c r="D649" s="110">
        <v>0.0015403941574718724</v>
      </c>
      <c r="E649" s="110">
        <v>1.9372252548234932</v>
      </c>
      <c r="F649" s="87" t="s">
        <v>1330</v>
      </c>
      <c r="G649" s="87" t="b">
        <v>0</v>
      </c>
      <c r="H649" s="87" t="b">
        <v>0</v>
      </c>
      <c r="I649" s="87" t="b">
        <v>0</v>
      </c>
      <c r="J649" s="87" t="b">
        <v>0</v>
      </c>
      <c r="K649" s="87" t="b">
        <v>0</v>
      </c>
      <c r="L649" s="87" t="b">
        <v>0</v>
      </c>
    </row>
    <row r="650" spans="1:12" ht="15">
      <c r="A650" s="88" t="s">
        <v>1922</v>
      </c>
      <c r="B650" s="87" t="s">
        <v>1922</v>
      </c>
      <c r="C650" s="87">
        <v>2</v>
      </c>
      <c r="D650" s="110">
        <v>0.0015403941574718724</v>
      </c>
      <c r="E650" s="110">
        <v>2.4143465095431553</v>
      </c>
      <c r="F650" s="87" t="s">
        <v>1330</v>
      </c>
      <c r="G650" s="87" t="b">
        <v>0</v>
      </c>
      <c r="H650" s="87" t="b">
        <v>0</v>
      </c>
      <c r="I650" s="87" t="b">
        <v>0</v>
      </c>
      <c r="J650" s="87" t="b">
        <v>0</v>
      </c>
      <c r="K650" s="87" t="b">
        <v>0</v>
      </c>
      <c r="L650" s="87" t="b">
        <v>0</v>
      </c>
    </row>
    <row r="651" spans="1:12" ht="15">
      <c r="A651" s="88" t="s">
        <v>1922</v>
      </c>
      <c r="B651" s="87" t="s">
        <v>1455</v>
      </c>
      <c r="C651" s="87">
        <v>2</v>
      </c>
      <c r="D651" s="110">
        <v>0.0015403941574718724</v>
      </c>
      <c r="E651" s="110">
        <v>1.0719238287209494</v>
      </c>
      <c r="F651" s="87" t="s">
        <v>1330</v>
      </c>
      <c r="G651" s="87" t="b">
        <v>0</v>
      </c>
      <c r="H651" s="87" t="b">
        <v>0</v>
      </c>
      <c r="I651" s="87" t="b">
        <v>0</v>
      </c>
      <c r="J651" s="87" t="b">
        <v>0</v>
      </c>
      <c r="K651" s="87" t="b">
        <v>0</v>
      </c>
      <c r="L651" s="87" t="b">
        <v>0</v>
      </c>
    </row>
    <row r="652" spans="1:12" ht="15">
      <c r="A652" s="88" t="s">
        <v>2052</v>
      </c>
      <c r="B652" s="87" t="s">
        <v>2053</v>
      </c>
      <c r="C652" s="87">
        <v>2</v>
      </c>
      <c r="D652" s="110">
        <v>0.0018177133612157519</v>
      </c>
      <c r="E652" s="110">
        <v>3.016406500871118</v>
      </c>
      <c r="F652" s="87" t="s">
        <v>1330</v>
      </c>
      <c r="G652" s="87" t="b">
        <v>0</v>
      </c>
      <c r="H652" s="87" t="b">
        <v>0</v>
      </c>
      <c r="I652" s="87" t="b">
        <v>0</v>
      </c>
      <c r="J652" s="87" t="b">
        <v>0</v>
      </c>
      <c r="K652" s="87" t="b">
        <v>0</v>
      </c>
      <c r="L652" s="87" t="b">
        <v>0</v>
      </c>
    </row>
    <row r="653" spans="1:12" ht="15">
      <c r="A653" s="88" t="s">
        <v>1827</v>
      </c>
      <c r="B653" s="87" t="s">
        <v>1472</v>
      </c>
      <c r="C653" s="87">
        <v>2</v>
      </c>
      <c r="D653" s="110">
        <v>0.0015403941574718724</v>
      </c>
      <c r="E653" s="110">
        <v>1.0844403861429452</v>
      </c>
      <c r="F653" s="87" t="s">
        <v>1330</v>
      </c>
      <c r="G653" s="87" t="b">
        <v>0</v>
      </c>
      <c r="H653" s="87" t="b">
        <v>0</v>
      </c>
      <c r="I653" s="87" t="b">
        <v>0</v>
      </c>
      <c r="J653" s="87" t="b">
        <v>0</v>
      </c>
      <c r="K653" s="87" t="b">
        <v>0</v>
      </c>
      <c r="L653" s="87" t="b">
        <v>0</v>
      </c>
    </row>
    <row r="654" spans="1:12" ht="15">
      <c r="A654" s="88" t="s">
        <v>1855</v>
      </c>
      <c r="B654" s="87" t="s">
        <v>1437</v>
      </c>
      <c r="C654" s="87">
        <v>2</v>
      </c>
      <c r="D654" s="110">
        <v>0.0015403941574718724</v>
      </c>
      <c r="E654" s="110">
        <v>1.0078063291092003</v>
      </c>
      <c r="F654" s="87" t="s">
        <v>1330</v>
      </c>
      <c r="G654" s="87" t="b">
        <v>0</v>
      </c>
      <c r="H654" s="87" t="b">
        <v>0</v>
      </c>
      <c r="I654" s="87" t="b">
        <v>0</v>
      </c>
      <c r="J654" s="87" t="b">
        <v>0</v>
      </c>
      <c r="K654" s="87" t="b">
        <v>0</v>
      </c>
      <c r="L654" s="87" t="b">
        <v>0</v>
      </c>
    </row>
    <row r="655" spans="1:12" ht="15">
      <c r="A655" s="88" t="s">
        <v>1472</v>
      </c>
      <c r="B655" s="87" t="s">
        <v>1984</v>
      </c>
      <c r="C655" s="87">
        <v>2</v>
      </c>
      <c r="D655" s="110">
        <v>0.0015403941574718724</v>
      </c>
      <c r="E655" s="110">
        <v>2.0386828955822702</v>
      </c>
      <c r="F655" s="87" t="s">
        <v>1330</v>
      </c>
      <c r="G655" s="87" t="b">
        <v>0</v>
      </c>
      <c r="H655" s="87" t="b">
        <v>0</v>
      </c>
      <c r="I655" s="87" t="b">
        <v>0</v>
      </c>
      <c r="J655" s="87" t="b">
        <v>0</v>
      </c>
      <c r="K655" s="87" t="b">
        <v>0</v>
      </c>
      <c r="L655" s="87" t="b">
        <v>0</v>
      </c>
    </row>
    <row r="656" spans="1:12" ht="15">
      <c r="A656" s="88" t="s">
        <v>1437</v>
      </c>
      <c r="B656" s="87" t="s">
        <v>1989</v>
      </c>
      <c r="C656" s="87">
        <v>2</v>
      </c>
      <c r="D656" s="110">
        <v>0.0015403941574718724</v>
      </c>
      <c r="E656" s="110">
        <v>1.1838975881648814</v>
      </c>
      <c r="F656" s="87" t="s">
        <v>1330</v>
      </c>
      <c r="G656" s="87" t="b">
        <v>0</v>
      </c>
      <c r="H656" s="87" t="b">
        <v>0</v>
      </c>
      <c r="I656" s="87" t="b">
        <v>0</v>
      </c>
      <c r="J656" s="87" t="b">
        <v>0</v>
      </c>
      <c r="K656" s="87" t="b">
        <v>0</v>
      </c>
      <c r="L656" s="87" t="b">
        <v>0</v>
      </c>
    </row>
    <row r="657" spans="1:12" ht="15">
      <c r="A657" s="88" t="s">
        <v>1989</v>
      </c>
      <c r="B657" s="87" t="s">
        <v>1459</v>
      </c>
      <c r="C657" s="87">
        <v>2</v>
      </c>
      <c r="D657" s="110">
        <v>0.0015403941574718724</v>
      </c>
      <c r="E657" s="110">
        <v>1.749234772468104</v>
      </c>
      <c r="F657" s="87" t="s">
        <v>1330</v>
      </c>
      <c r="G657" s="87" t="b">
        <v>0</v>
      </c>
      <c r="H657" s="87" t="b">
        <v>0</v>
      </c>
      <c r="I657" s="87" t="b">
        <v>0</v>
      </c>
      <c r="J657" s="87" t="b">
        <v>0</v>
      </c>
      <c r="K657" s="87" t="b">
        <v>0</v>
      </c>
      <c r="L657" s="87" t="b">
        <v>0</v>
      </c>
    </row>
    <row r="658" spans="1:12" ht="15">
      <c r="A658" s="88" t="s">
        <v>1856</v>
      </c>
      <c r="B658" s="87" t="s">
        <v>1519</v>
      </c>
      <c r="C658" s="87">
        <v>2</v>
      </c>
      <c r="D658" s="110">
        <v>0.0015403941574718724</v>
      </c>
      <c r="E658" s="110">
        <v>1.9282704121705667</v>
      </c>
      <c r="F658" s="87" t="s">
        <v>1330</v>
      </c>
      <c r="G658" s="87" t="b">
        <v>0</v>
      </c>
      <c r="H658" s="87" t="b">
        <v>0</v>
      </c>
      <c r="I658" s="87" t="b">
        <v>0</v>
      </c>
      <c r="J658" s="87" t="b">
        <v>0</v>
      </c>
      <c r="K658" s="87" t="b">
        <v>0</v>
      </c>
      <c r="L658" s="87" t="b">
        <v>0</v>
      </c>
    </row>
    <row r="659" spans="1:12" ht="15">
      <c r="A659" s="88" t="s">
        <v>1519</v>
      </c>
      <c r="B659" s="87" t="s">
        <v>1873</v>
      </c>
      <c r="C659" s="87">
        <v>2</v>
      </c>
      <c r="D659" s="110">
        <v>0.0015403941574718724</v>
      </c>
      <c r="E659" s="110">
        <v>2.0743984478488047</v>
      </c>
      <c r="F659" s="87" t="s">
        <v>1330</v>
      </c>
      <c r="G659" s="87" t="b">
        <v>0</v>
      </c>
      <c r="H659" s="87" t="b">
        <v>0</v>
      </c>
      <c r="I659" s="87" t="b">
        <v>0</v>
      </c>
      <c r="J659" s="87" t="b">
        <v>0</v>
      </c>
      <c r="K659" s="87" t="b">
        <v>0</v>
      </c>
      <c r="L659" s="87" t="b">
        <v>0</v>
      </c>
    </row>
    <row r="660" spans="1:12" ht="15">
      <c r="A660" s="88" t="s">
        <v>1453</v>
      </c>
      <c r="B660" s="87" t="s">
        <v>1981</v>
      </c>
      <c r="C660" s="87">
        <v>2</v>
      </c>
      <c r="D660" s="110">
        <v>0.0015403941574718724</v>
      </c>
      <c r="E660" s="110">
        <v>1.348953547981164</v>
      </c>
      <c r="F660" s="87" t="s">
        <v>1330</v>
      </c>
      <c r="G660" s="87" t="b">
        <v>0</v>
      </c>
      <c r="H660" s="87" t="b">
        <v>0</v>
      </c>
      <c r="I660" s="87" t="b">
        <v>0</v>
      </c>
      <c r="J660" s="87" t="b">
        <v>0</v>
      </c>
      <c r="K660" s="87" t="b">
        <v>0</v>
      </c>
      <c r="L660" s="87" t="b">
        <v>0</v>
      </c>
    </row>
    <row r="661" spans="1:12" ht="15">
      <c r="A661" s="88" t="s">
        <v>1981</v>
      </c>
      <c r="B661" s="87" t="s">
        <v>1460</v>
      </c>
      <c r="C661" s="87">
        <v>2</v>
      </c>
      <c r="D661" s="110">
        <v>0.0015403941574718724</v>
      </c>
      <c r="E661" s="110">
        <v>1.737652899918289</v>
      </c>
      <c r="F661" s="87" t="s">
        <v>1330</v>
      </c>
      <c r="G661" s="87" t="b">
        <v>0</v>
      </c>
      <c r="H661" s="87" t="b">
        <v>0</v>
      </c>
      <c r="I661" s="87" t="b">
        <v>0</v>
      </c>
      <c r="J661" s="87" t="b">
        <v>0</v>
      </c>
      <c r="K661" s="87" t="b">
        <v>0</v>
      </c>
      <c r="L661" s="87" t="b">
        <v>0</v>
      </c>
    </row>
    <row r="662" spans="1:12" ht="15">
      <c r="A662" s="88" t="s">
        <v>1437</v>
      </c>
      <c r="B662" s="87" t="s">
        <v>1824</v>
      </c>
      <c r="C662" s="87">
        <v>2</v>
      </c>
      <c r="D662" s="110">
        <v>0.0015403941574718724</v>
      </c>
      <c r="E662" s="110">
        <v>0.1231997478112699</v>
      </c>
      <c r="F662" s="87" t="s">
        <v>1330</v>
      </c>
      <c r="G662" s="87" t="b">
        <v>0</v>
      </c>
      <c r="H662" s="87" t="b">
        <v>0</v>
      </c>
      <c r="I662" s="87" t="b">
        <v>0</v>
      </c>
      <c r="J662" s="87" t="b">
        <v>0</v>
      </c>
      <c r="K662" s="87" t="b">
        <v>0</v>
      </c>
      <c r="L662" s="87" t="b">
        <v>0</v>
      </c>
    </row>
    <row r="663" spans="1:12" ht="15">
      <c r="A663" s="88" t="s">
        <v>1824</v>
      </c>
      <c r="B663" s="87" t="s">
        <v>1453</v>
      </c>
      <c r="C663" s="87">
        <v>2</v>
      </c>
      <c r="D663" s="110">
        <v>0.0015403941574718724</v>
      </c>
      <c r="E663" s="110">
        <v>0.8253748920225001</v>
      </c>
      <c r="F663" s="87" t="s">
        <v>1330</v>
      </c>
      <c r="G663" s="87" t="b">
        <v>0</v>
      </c>
      <c r="H663" s="87" t="b">
        <v>0</v>
      </c>
      <c r="I663" s="87" t="b">
        <v>0</v>
      </c>
      <c r="J663" s="87" t="b">
        <v>0</v>
      </c>
      <c r="K663" s="87" t="b">
        <v>0</v>
      </c>
      <c r="L663" s="87" t="b">
        <v>0</v>
      </c>
    </row>
    <row r="664" spans="1:12" ht="15">
      <c r="A664" s="88" t="s">
        <v>2049</v>
      </c>
      <c r="B664" s="87" t="s">
        <v>1899</v>
      </c>
      <c r="C664" s="87">
        <v>2</v>
      </c>
      <c r="D664" s="110">
        <v>0.0015403941574718724</v>
      </c>
      <c r="E664" s="110">
        <v>2.7153765052071366</v>
      </c>
      <c r="F664" s="87" t="s">
        <v>1330</v>
      </c>
      <c r="G664" s="87" t="b">
        <v>0</v>
      </c>
      <c r="H664" s="87" t="b">
        <v>0</v>
      </c>
      <c r="I664" s="87" t="b">
        <v>0</v>
      </c>
      <c r="J664" s="87" t="b">
        <v>0</v>
      </c>
      <c r="K664" s="87" t="b">
        <v>0</v>
      </c>
      <c r="L664" s="87" t="b">
        <v>0</v>
      </c>
    </row>
    <row r="665" spans="1:12" ht="15">
      <c r="A665" s="88" t="s">
        <v>1453</v>
      </c>
      <c r="B665" s="87" t="s">
        <v>1902</v>
      </c>
      <c r="C665" s="87">
        <v>2</v>
      </c>
      <c r="D665" s="110">
        <v>0.0015403941574718724</v>
      </c>
      <c r="E665" s="110">
        <v>1.348953547981164</v>
      </c>
      <c r="F665" s="87" t="s">
        <v>1330</v>
      </c>
      <c r="G665" s="87" t="b">
        <v>0</v>
      </c>
      <c r="H665" s="87" t="b">
        <v>0</v>
      </c>
      <c r="I665" s="87" t="b">
        <v>0</v>
      </c>
      <c r="J665" s="87" t="b">
        <v>1</v>
      </c>
      <c r="K665" s="87" t="b">
        <v>0</v>
      </c>
      <c r="L665" s="87" t="b">
        <v>0</v>
      </c>
    </row>
    <row r="666" spans="1:12" ht="15">
      <c r="A666" s="88" t="s">
        <v>1902</v>
      </c>
      <c r="B666" s="87" t="s">
        <v>1516</v>
      </c>
      <c r="C666" s="87">
        <v>2</v>
      </c>
      <c r="D666" s="110">
        <v>0.0015403941574718724</v>
      </c>
      <c r="E666" s="110">
        <v>1.9372252548234932</v>
      </c>
      <c r="F666" s="87" t="s">
        <v>1330</v>
      </c>
      <c r="G666" s="87" t="b">
        <v>1</v>
      </c>
      <c r="H666" s="87" t="b">
        <v>0</v>
      </c>
      <c r="I666" s="87" t="b">
        <v>0</v>
      </c>
      <c r="J666" s="87" t="b">
        <v>0</v>
      </c>
      <c r="K666" s="87" t="b">
        <v>0</v>
      </c>
      <c r="L666" s="87" t="b">
        <v>0</v>
      </c>
    </row>
    <row r="667" spans="1:12" ht="15">
      <c r="A667" s="88" t="s">
        <v>1437</v>
      </c>
      <c r="B667" s="87" t="s">
        <v>1513</v>
      </c>
      <c r="C667" s="87">
        <v>2</v>
      </c>
      <c r="D667" s="110">
        <v>0.0015403941574718724</v>
      </c>
      <c r="E667" s="110">
        <v>0.1231997478112699</v>
      </c>
      <c r="F667" s="87" t="s">
        <v>1330</v>
      </c>
      <c r="G667" s="87" t="b">
        <v>0</v>
      </c>
      <c r="H667" s="87" t="b">
        <v>0</v>
      </c>
      <c r="I667" s="87" t="b">
        <v>0</v>
      </c>
      <c r="J667" s="87" t="b">
        <v>0</v>
      </c>
      <c r="K667" s="87" t="b">
        <v>0</v>
      </c>
      <c r="L667" s="87" t="b">
        <v>0</v>
      </c>
    </row>
    <row r="668" spans="1:12" ht="15">
      <c r="A668" s="88" t="s">
        <v>1513</v>
      </c>
      <c r="B668" s="87" t="s">
        <v>1941</v>
      </c>
      <c r="C668" s="87">
        <v>2</v>
      </c>
      <c r="D668" s="110">
        <v>0.0015403941574718724</v>
      </c>
      <c r="E668" s="110">
        <v>1.779617401461825</v>
      </c>
      <c r="F668" s="87" t="s">
        <v>1330</v>
      </c>
      <c r="G668" s="87" t="b">
        <v>0</v>
      </c>
      <c r="H668" s="87" t="b">
        <v>0</v>
      </c>
      <c r="I668" s="87" t="b">
        <v>0</v>
      </c>
      <c r="J668" s="87" t="b">
        <v>0</v>
      </c>
      <c r="K668" s="87" t="b">
        <v>0</v>
      </c>
      <c r="L668" s="87" t="b">
        <v>0</v>
      </c>
    </row>
    <row r="669" spans="1:12" ht="15">
      <c r="A669" s="88" t="s">
        <v>1942</v>
      </c>
      <c r="B669" s="87" t="s">
        <v>1459</v>
      </c>
      <c r="C669" s="87">
        <v>2</v>
      </c>
      <c r="D669" s="110">
        <v>0.0015403941574718724</v>
      </c>
      <c r="E669" s="110">
        <v>1.5731435134124228</v>
      </c>
      <c r="F669" s="87" t="s">
        <v>1330</v>
      </c>
      <c r="G669" s="87" t="b">
        <v>0</v>
      </c>
      <c r="H669" s="87" t="b">
        <v>0</v>
      </c>
      <c r="I669" s="87" t="b">
        <v>0</v>
      </c>
      <c r="J669" s="87" t="b">
        <v>0</v>
      </c>
      <c r="K669" s="87" t="b">
        <v>0</v>
      </c>
      <c r="L669" s="87" t="b">
        <v>0</v>
      </c>
    </row>
    <row r="670" spans="1:12" ht="15">
      <c r="A670" s="88" t="s">
        <v>1453</v>
      </c>
      <c r="B670" s="87" t="s">
        <v>1844</v>
      </c>
      <c r="C670" s="87">
        <v>2</v>
      </c>
      <c r="D670" s="110">
        <v>0.0015403941574718724</v>
      </c>
      <c r="E670" s="110">
        <v>1.0479235523171828</v>
      </c>
      <c r="F670" s="87" t="s">
        <v>1330</v>
      </c>
      <c r="G670" s="87" t="b">
        <v>0</v>
      </c>
      <c r="H670" s="87" t="b">
        <v>0</v>
      </c>
      <c r="I670" s="87" t="b">
        <v>0</v>
      </c>
      <c r="J670" s="87" t="b">
        <v>1</v>
      </c>
      <c r="K670" s="87" t="b">
        <v>0</v>
      </c>
      <c r="L670" s="87" t="b">
        <v>0</v>
      </c>
    </row>
    <row r="671" spans="1:12" ht="15">
      <c r="A671" s="88" t="s">
        <v>1852</v>
      </c>
      <c r="B671" s="87" t="s">
        <v>1908</v>
      </c>
      <c r="C671" s="87">
        <v>2</v>
      </c>
      <c r="D671" s="110">
        <v>0.0015403941574718724</v>
      </c>
      <c r="E671" s="110">
        <v>2.7153765052071366</v>
      </c>
      <c r="F671" s="87" t="s">
        <v>1330</v>
      </c>
      <c r="G671" s="87" t="b">
        <v>0</v>
      </c>
      <c r="H671" s="87" t="b">
        <v>0</v>
      </c>
      <c r="I671" s="87" t="b">
        <v>0</v>
      </c>
      <c r="J671" s="87" t="b">
        <v>0</v>
      </c>
      <c r="K671" s="87" t="b">
        <v>0</v>
      </c>
      <c r="L671" s="87" t="b">
        <v>0</v>
      </c>
    </row>
    <row r="672" spans="1:12" ht="15">
      <c r="A672" s="88" t="s">
        <v>1908</v>
      </c>
      <c r="B672" s="87" t="s">
        <v>1909</v>
      </c>
      <c r="C672" s="87">
        <v>2</v>
      </c>
      <c r="D672" s="110">
        <v>0.0015403941574718724</v>
      </c>
      <c r="E672" s="110">
        <v>3.016406500871118</v>
      </c>
      <c r="F672" s="87" t="s">
        <v>1330</v>
      </c>
      <c r="G672" s="87" t="b">
        <v>0</v>
      </c>
      <c r="H672" s="87" t="b">
        <v>0</v>
      </c>
      <c r="I672" s="87" t="b">
        <v>0</v>
      </c>
      <c r="J672" s="87" t="b">
        <v>0</v>
      </c>
      <c r="K672" s="87" t="b">
        <v>0</v>
      </c>
      <c r="L672" s="87" t="b">
        <v>0</v>
      </c>
    </row>
    <row r="673" spans="1:12" ht="15">
      <c r="A673" s="88" t="s">
        <v>1909</v>
      </c>
      <c r="B673" s="87" t="s">
        <v>1865</v>
      </c>
      <c r="C673" s="87">
        <v>2</v>
      </c>
      <c r="D673" s="110">
        <v>0.0015403941574718724</v>
      </c>
      <c r="E673" s="110">
        <v>2.8403152418154365</v>
      </c>
      <c r="F673" s="87" t="s">
        <v>1330</v>
      </c>
      <c r="G673" s="87" t="b">
        <v>0</v>
      </c>
      <c r="H673" s="87" t="b">
        <v>0</v>
      </c>
      <c r="I673" s="87" t="b">
        <v>0</v>
      </c>
      <c r="J673" s="87" t="b">
        <v>0</v>
      </c>
      <c r="K673" s="87" t="b">
        <v>0</v>
      </c>
      <c r="L673" s="87" t="b">
        <v>0</v>
      </c>
    </row>
    <row r="674" spans="1:12" ht="15">
      <c r="A674" s="88" t="s">
        <v>1458</v>
      </c>
      <c r="B674" s="87" t="s">
        <v>1910</v>
      </c>
      <c r="C674" s="87">
        <v>2</v>
      </c>
      <c r="D674" s="110">
        <v>0.0015403941574718724</v>
      </c>
      <c r="E674" s="110">
        <v>2.6184664921990803</v>
      </c>
      <c r="F674" s="87" t="s">
        <v>1330</v>
      </c>
      <c r="G674" s="87" t="b">
        <v>0</v>
      </c>
      <c r="H674" s="87" t="b">
        <v>0</v>
      </c>
      <c r="I674" s="87" t="b">
        <v>0</v>
      </c>
      <c r="J674" s="87" t="b">
        <v>0</v>
      </c>
      <c r="K674" s="87" t="b">
        <v>0</v>
      </c>
      <c r="L674" s="87" t="b">
        <v>0</v>
      </c>
    </row>
    <row r="675" spans="1:12" ht="15">
      <c r="A675" s="88" t="s">
        <v>1884</v>
      </c>
      <c r="B675" s="87" t="s">
        <v>1472</v>
      </c>
      <c r="C675" s="87">
        <v>2</v>
      </c>
      <c r="D675" s="110">
        <v>0.0015403941574718724</v>
      </c>
      <c r="E675" s="110">
        <v>1.6407428869102325</v>
      </c>
      <c r="F675" s="87" t="s">
        <v>1330</v>
      </c>
      <c r="G675" s="87" t="b">
        <v>0</v>
      </c>
      <c r="H675" s="87" t="b">
        <v>0</v>
      </c>
      <c r="I675" s="87" t="b">
        <v>0</v>
      </c>
      <c r="J675" s="87" t="b">
        <v>0</v>
      </c>
      <c r="K675" s="87" t="b">
        <v>0</v>
      </c>
      <c r="L675" s="87" t="b">
        <v>0</v>
      </c>
    </row>
    <row r="676" spans="1:12" ht="15">
      <c r="A676" s="88" t="s">
        <v>1998</v>
      </c>
      <c r="B676" s="87" t="s">
        <v>1437</v>
      </c>
      <c r="C676" s="87">
        <v>2</v>
      </c>
      <c r="D676" s="110">
        <v>0.0015403941574718724</v>
      </c>
      <c r="E676" s="110">
        <v>1.1838975881648814</v>
      </c>
      <c r="F676" s="87" t="s">
        <v>1330</v>
      </c>
      <c r="G676" s="87" t="b">
        <v>0</v>
      </c>
      <c r="H676" s="87" t="b">
        <v>0</v>
      </c>
      <c r="I676" s="87" t="b">
        <v>0</v>
      </c>
      <c r="J676" s="87" t="b">
        <v>0</v>
      </c>
      <c r="K676" s="87" t="b">
        <v>0</v>
      </c>
      <c r="L676" s="87" t="b">
        <v>0</v>
      </c>
    </row>
    <row r="677" spans="1:12" ht="15">
      <c r="A677" s="88" t="s">
        <v>1991</v>
      </c>
      <c r="B677" s="87" t="s">
        <v>1992</v>
      </c>
      <c r="C677" s="87">
        <v>2</v>
      </c>
      <c r="D677" s="110">
        <v>0.0015403941574718724</v>
      </c>
      <c r="E677" s="110">
        <v>3.016406500871118</v>
      </c>
      <c r="F677" s="87" t="s">
        <v>1330</v>
      </c>
      <c r="G677" s="87" t="b">
        <v>0</v>
      </c>
      <c r="H677" s="87" t="b">
        <v>0</v>
      </c>
      <c r="I677" s="87" t="b">
        <v>0</v>
      </c>
      <c r="J677" s="87" t="b">
        <v>0</v>
      </c>
      <c r="K677" s="87" t="b">
        <v>0</v>
      </c>
      <c r="L677" s="87" t="b">
        <v>0</v>
      </c>
    </row>
    <row r="678" spans="1:12" ht="15">
      <c r="A678" s="88" t="s">
        <v>1462</v>
      </c>
      <c r="B678" s="87" t="s">
        <v>1820</v>
      </c>
      <c r="C678" s="87">
        <v>2</v>
      </c>
      <c r="D678" s="110">
        <v>0.0015403941574718724</v>
      </c>
      <c r="E678" s="110">
        <v>0.707842087309879</v>
      </c>
      <c r="F678" s="87" t="s">
        <v>1330</v>
      </c>
      <c r="G678" s="87" t="b">
        <v>0</v>
      </c>
      <c r="H678" s="87" t="b">
        <v>0</v>
      </c>
      <c r="I678" s="87" t="b">
        <v>0</v>
      </c>
      <c r="J678" s="87" t="b">
        <v>0</v>
      </c>
      <c r="K678" s="87" t="b">
        <v>0</v>
      </c>
      <c r="L678" s="87" t="b">
        <v>0</v>
      </c>
    </row>
    <row r="679" spans="1:12" ht="15">
      <c r="A679" s="88" t="s">
        <v>1453</v>
      </c>
      <c r="B679" s="87" t="s">
        <v>1455</v>
      </c>
      <c r="C679" s="87">
        <v>2</v>
      </c>
      <c r="D679" s="110">
        <v>0.0015403941574718724</v>
      </c>
      <c r="E679" s="110">
        <v>-0.29449912850502347</v>
      </c>
      <c r="F679" s="87" t="s">
        <v>1330</v>
      </c>
      <c r="G679" s="87" t="b">
        <v>0</v>
      </c>
      <c r="H679" s="87" t="b">
        <v>0</v>
      </c>
      <c r="I679" s="87" t="b">
        <v>0</v>
      </c>
      <c r="J679" s="87" t="b">
        <v>0</v>
      </c>
      <c r="K679" s="87" t="b">
        <v>0</v>
      </c>
      <c r="L679" s="87" t="b">
        <v>0</v>
      </c>
    </row>
    <row r="680" spans="1:12" ht="15">
      <c r="A680" s="88" t="s">
        <v>1834</v>
      </c>
      <c r="B680" s="87" t="s">
        <v>1462</v>
      </c>
      <c r="C680" s="87">
        <v>2</v>
      </c>
      <c r="D680" s="110">
        <v>0.0015403941574718724</v>
      </c>
      <c r="E680" s="110">
        <v>1.2051667281178284</v>
      </c>
      <c r="F680" s="87" t="s">
        <v>1330</v>
      </c>
      <c r="G680" s="87" t="b">
        <v>0</v>
      </c>
      <c r="H680" s="87" t="b">
        <v>0</v>
      </c>
      <c r="I680" s="87" t="b">
        <v>0</v>
      </c>
      <c r="J680" s="87" t="b">
        <v>0</v>
      </c>
      <c r="K680" s="87" t="b">
        <v>0</v>
      </c>
      <c r="L680" s="87" t="b">
        <v>0</v>
      </c>
    </row>
    <row r="681" spans="1:12" ht="15">
      <c r="A681" s="88" t="s">
        <v>1453</v>
      </c>
      <c r="B681" s="87" t="s">
        <v>2027</v>
      </c>
      <c r="C681" s="87">
        <v>2</v>
      </c>
      <c r="D681" s="110">
        <v>0.0015403941574718724</v>
      </c>
      <c r="E681" s="110">
        <v>1.348953547981164</v>
      </c>
      <c r="F681" s="87" t="s">
        <v>1330</v>
      </c>
      <c r="G681" s="87" t="b">
        <v>0</v>
      </c>
      <c r="H681" s="87" t="b">
        <v>0</v>
      </c>
      <c r="I681" s="87" t="b">
        <v>0</v>
      </c>
      <c r="J681" s="87" t="b">
        <v>0</v>
      </c>
      <c r="K681" s="87" t="b">
        <v>0</v>
      </c>
      <c r="L681" s="87" t="b">
        <v>0</v>
      </c>
    </row>
    <row r="682" spans="1:12" ht="15">
      <c r="A682" s="88" t="s">
        <v>2027</v>
      </c>
      <c r="B682" s="87" t="s">
        <v>1469</v>
      </c>
      <c r="C682" s="87">
        <v>2</v>
      </c>
      <c r="D682" s="110">
        <v>0.0015403941574718724</v>
      </c>
      <c r="E682" s="110">
        <v>1.855038498636143</v>
      </c>
      <c r="F682" s="87" t="s">
        <v>1330</v>
      </c>
      <c r="G682" s="87" t="b">
        <v>0</v>
      </c>
      <c r="H682" s="87" t="b">
        <v>0</v>
      </c>
      <c r="I682" s="87" t="b">
        <v>0</v>
      </c>
      <c r="J682" s="87" t="b">
        <v>0</v>
      </c>
      <c r="K682" s="87" t="b">
        <v>0</v>
      </c>
      <c r="L682" s="87" t="b">
        <v>0</v>
      </c>
    </row>
    <row r="683" spans="1:12" ht="15">
      <c r="A683" s="88" t="s">
        <v>1863</v>
      </c>
      <c r="B683" s="87" t="s">
        <v>1940</v>
      </c>
      <c r="C683" s="87">
        <v>2</v>
      </c>
      <c r="D683" s="110">
        <v>0.0015403941574718724</v>
      </c>
      <c r="E683" s="110">
        <v>2.6642239827597556</v>
      </c>
      <c r="F683" s="87" t="s">
        <v>1330</v>
      </c>
      <c r="G683" s="87" t="b">
        <v>0</v>
      </c>
      <c r="H683" s="87" t="b">
        <v>0</v>
      </c>
      <c r="I683" s="87" t="b">
        <v>0</v>
      </c>
      <c r="J683" s="87" t="b">
        <v>0</v>
      </c>
      <c r="K683" s="87" t="b">
        <v>1</v>
      </c>
      <c r="L683" s="87" t="b">
        <v>0</v>
      </c>
    </row>
    <row r="684" spans="1:12" ht="15">
      <c r="A684" s="88" t="s">
        <v>1940</v>
      </c>
      <c r="B684" s="87" t="s">
        <v>1456</v>
      </c>
      <c r="C684" s="87">
        <v>2</v>
      </c>
      <c r="D684" s="110">
        <v>0.0015403941574718724</v>
      </c>
      <c r="E684" s="110">
        <v>1.296247197465161</v>
      </c>
      <c r="F684" s="87" t="s">
        <v>1330</v>
      </c>
      <c r="G684" s="87" t="b">
        <v>0</v>
      </c>
      <c r="H684" s="87" t="b">
        <v>1</v>
      </c>
      <c r="I684" s="87" t="b">
        <v>0</v>
      </c>
      <c r="J684" s="87" t="b">
        <v>0</v>
      </c>
      <c r="K684" s="87" t="b">
        <v>0</v>
      </c>
      <c r="L684" s="87" t="b">
        <v>0</v>
      </c>
    </row>
    <row r="685" spans="1:12" ht="15">
      <c r="A685" s="88" t="s">
        <v>1828</v>
      </c>
      <c r="B685" s="87" t="s">
        <v>2028</v>
      </c>
      <c r="C685" s="87">
        <v>2</v>
      </c>
      <c r="D685" s="110">
        <v>0.0015403941574718724</v>
      </c>
      <c r="E685" s="110">
        <v>2.016406500871118</v>
      </c>
      <c r="F685" s="87" t="s">
        <v>1330</v>
      </c>
      <c r="G685" s="87" t="b">
        <v>0</v>
      </c>
      <c r="H685" s="87" t="b">
        <v>0</v>
      </c>
      <c r="I685" s="87" t="b">
        <v>0</v>
      </c>
      <c r="J685" s="87" t="b">
        <v>0</v>
      </c>
      <c r="K685" s="87" t="b">
        <v>0</v>
      </c>
      <c r="L685" s="87" t="b">
        <v>0</v>
      </c>
    </row>
    <row r="686" spans="1:12" ht="15">
      <c r="A686" s="88" t="s">
        <v>2028</v>
      </c>
      <c r="B686" s="87" t="s">
        <v>2029</v>
      </c>
      <c r="C686" s="87">
        <v>2</v>
      </c>
      <c r="D686" s="110">
        <v>0.0015403941574718724</v>
      </c>
      <c r="E686" s="110">
        <v>3.016406500871118</v>
      </c>
      <c r="F686" s="87" t="s">
        <v>1330</v>
      </c>
      <c r="G686" s="87" t="b">
        <v>0</v>
      </c>
      <c r="H686" s="87" t="b">
        <v>0</v>
      </c>
      <c r="I686" s="87" t="b">
        <v>0</v>
      </c>
      <c r="J686" s="87" t="b">
        <v>0</v>
      </c>
      <c r="K686" s="87" t="b">
        <v>0</v>
      </c>
      <c r="L686" s="87" t="b">
        <v>0</v>
      </c>
    </row>
    <row r="687" spans="1:12" ht="15">
      <c r="A687" s="88" t="s">
        <v>2029</v>
      </c>
      <c r="B687" s="87" t="s">
        <v>276</v>
      </c>
      <c r="C687" s="87">
        <v>2</v>
      </c>
      <c r="D687" s="110">
        <v>0.0015403941574718724</v>
      </c>
      <c r="E687" s="110">
        <v>3.016406500871118</v>
      </c>
      <c r="F687" s="87" t="s">
        <v>1330</v>
      </c>
      <c r="G687" s="87" t="b">
        <v>0</v>
      </c>
      <c r="H687" s="87" t="b">
        <v>0</v>
      </c>
      <c r="I687" s="87" t="b">
        <v>0</v>
      </c>
      <c r="J687" s="87" t="b">
        <v>0</v>
      </c>
      <c r="K687" s="87" t="b">
        <v>0</v>
      </c>
      <c r="L687" s="87" t="b">
        <v>0</v>
      </c>
    </row>
    <row r="688" spans="1:12" ht="15">
      <c r="A688" s="88" t="s">
        <v>276</v>
      </c>
      <c r="B688" s="87" t="s">
        <v>1475</v>
      </c>
      <c r="C688" s="87">
        <v>2</v>
      </c>
      <c r="D688" s="110">
        <v>0.0015403941574718724</v>
      </c>
      <c r="E688" s="110">
        <v>2.4143465095431553</v>
      </c>
      <c r="F688" s="87" t="s">
        <v>1330</v>
      </c>
      <c r="G688" s="87" t="b">
        <v>0</v>
      </c>
      <c r="H688" s="87" t="b">
        <v>0</v>
      </c>
      <c r="I688" s="87" t="b">
        <v>0</v>
      </c>
      <c r="J688" s="87" t="b">
        <v>0</v>
      </c>
      <c r="K688" s="87" t="b">
        <v>0</v>
      </c>
      <c r="L688" s="87" t="b">
        <v>0</v>
      </c>
    </row>
    <row r="689" spans="1:12" ht="15">
      <c r="A689" s="88" t="s">
        <v>1475</v>
      </c>
      <c r="B689" s="87" t="s">
        <v>316</v>
      </c>
      <c r="C689" s="87">
        <v>2</v>
      </c>
      <c r="D689" s="110">
        <v>0.0015403941574718724</v>
      </c>
      <c r="E689" s="110">
        <v>2.4143465095431553</v>
      </c>
      <c r="F689" s="87" t="s">
        <v>1330</v>
      </c>
      <c r="G689" s="87" t="b">
        <v>0</v>
      </c>
      <c r="H689" s="87" t="b">
        <v>0</v>
      </c>
      <c r="I689" s="87" t="b">
        <v>0</v>
      </c>
      <c r="J689" s="87" t="b">
        <v>0</v>
      </c>
      <c r="K689" s="87" t="b">
        <v>0</v>
      </c>
      <c r="L689" s="87" t="b">
        <v>0</v>
      </c>
    </row>
    <row r="690" spans="1:12" ht="15">
      <c r="A690" s="88" t="s">
        <v>316</v>
      </c>
      <c r="B690" s="87" t="s">
        <v>2030</v>
      </c>
      <c r="C690" s="87">
        <v>2</v>
      </c>
      <c r="D690" s="110">
        <v>0.0015403941574718724</v>
      </c>
      <c r="E690" s="110">
        <v>3.016406500871118</v>
      </c>
      <c r="F690" s="87" t="s">
        <v>1330</v>
      </c>
      <c r="G690" s="87" t="b">
        <v>0</v>
      </c>
      <c r="H690" s="87" t="b">
        <v>0</v>
      </c>
      <c r="I690" s="87" t="b">
        <v>0</v>
      </c>
      <c r="J690" s="87" t="b">
        <v>0</v>
      </c>
      <c r="K690" s="87" t="b">
        <v>0</v>
      </c>
      <c r="L690" s="87" t="b">
        <v>0</v>
      </c>
    </row>
    <row r="691" spans="1:12" ht="15">
      <c r="A691" s="88" t="s">
        <v>2030</v>
      </c>
      <c r="B691" s="87" t="s">
        <v>2031</v>
      </c>
      <c r="C691" s="87">
        <v>2</v>
      </c>
      <c r="D691" s="110">
        <v>0.0015403941574718724</v>
      </c>
      <c r="E691" s="110">
        <v>3.016406500871118</v>
      </c>
      <c r="F691" s="87" t="s">
        <v>1330</v>
      </c>
      <c r="G691" s="87" t="b">
        <v>0</v>
      </c>
      <c r="H691" s="87" t="b">
        <v>0</v>
      </c>
      <c r="I691" s="87" t="b">
        <v>0</v>
      </c>
      <c r="J691" s="87" t="b">
        <v>0</v>
      </c>
      <c r="K691" s="87" t="b">
        <v>0</v>
      </c>
      <c r="L691" s="87" t="b">
        <v>0</v>
      </c>
    </row>
    <row r="692" spans="1:12" ht="15">
      <c r="A692" s="88" t="s">
        <v>2031</v>
      </c>
      <c r="B692" s="87" t="s">
        <v>1831</v>
      </c>
      <c r="C692" s="87">
        <v>2</v>
      </c>
      <c r="D692" s="110">
        <v>0.0015403941574718724</v>
      </c>
      <c r="E692" s="110">
        <v>2.276043811376874</v>
      </c>
      <c r="F692" s="87" t="s">
        <v>1330</v>
      </c>
      <c r="G692" s="87" t="b">
        <v>0</v>
      </c>
      <c r="H692" s="87" t="b">
        <v>0</v>
      </c>
      <c r="I692" s="87" t="b">
        <v>0</v>
      </c>
      <c r="J692" s="87" t="b">
        <v>0</v>
      </c>
      <c r="K692" s="87" t="b">
        <v>0</v>
      </c>
      <c r="L692" s="87" t="b">
        <v>0</v>
      </c>
    </row>
    <row r="693" spans="1:12" ht="15">
      <c r="A693" s="88" t="s">
        <v>1828</v>
      </c>
      <c r="B693" s="87" t="s">
        <v>2019</v>
      </c>
      <c r="C693" s="87">
        <v>2</v>
      </c>
      <c r="D693" s="110">
        <v>0.0015403941574718724</v>
      </c>
      <c r="E693" s="110">
        <v>2.016406500871118</v>
      </c>
      <c r="F693" s="87" t="s">
        <v>1330</v>
      </c>
      <c r="G693" s="87" t="b">
        <v>0</v>
      </c>
      <c r="H693" s="87" t="b">
        <v>0</v>
      </c>
      <c r="I693" s="87" t="b">
        <v>0</v>
      </c>
      <c r="J693" s="87" t="b">
        <v>0</v>
      </c>
      <c r="K693" s="87" t="b">
        <v>0</v>
      </c>
      <c r="L693" s="87" t="b">
        <v>0</v>
      </c>
    </row>
    <row r="694" spans="1:12" ht="15">
      <c r="A694" s="88" t="s">
        <v>2019</v>
      </c>
      <c r="B694" s="87" t="s">
        <v>2020</v>
      </c>
      <c r="C694" s="87">
        <v>2</v>
      </c>
      <c r="D694" s="110">
        <v>0.0015403941574718724</v>
      </c>
      <c r="E694" s="110">
        <v>3.016406500871118</v>
      </c>
      <c r="F694" s="87" t="s">
        <v>1330</v>
      </c>
      <c r="G694" s="87" t="b">
        <v>0</v>
      </c>
      <c r="H694" s="87" t="b">
        <v>0</v>
      </c>
      <c r="I694" s="87" t="b">
        <v>0</v>
      </c>
      <c r="J694" s="87" t="b">
        <v>0</v>
      </c>
      <c r="K694" s="87" t="b">
        <v>0</v>
      </c>
      <c r="L694" s="87" t="b">
        <v>0</v>
      </c>
    </row>
    <row r="695" spans="1:12" ht="15">
      <c r="A695" s="88" t="s">
        <v>2020</v>
      </c>
      <c r="B695" s="87" t="s">
        <v>2021</v>
      </c>
      <c r="C695" s="87">
        <v>2</v>
      </c>
      <c r="D695" s="110">
        <v>0.0015403941574718724</v>
      </c>
      <c r="E695" s="110">
        <v>3.016406500871118</v>
      </c>
      <c r="F695" s="87" t="s">
        <v>1330</v>
      </c>
      <c r="G695" s="87" t="b">
        <v>0</v>
      </c>
      <c r="H695" s="87" t="b">
        <v>0</v>
      </c>
      <c r="I695" s="87" t="b">
        <v>0</v>
      </c>
      <c r="J695" s="87" t="b">
        <v>0</v>
      </c>
      <c r="K695" s="87" t="b">
        <v>0</v>
      </c>
      <c r="L695" s="87" t="b">
        <v>0</v>
      </c>
    </row>
    <row r="696" spans="1:12" ht="15">
      <c r="A696" s="88" t="s">
        <v>2021</v>
      </c>
      <c r="B696" s="87" t="s">
        <v>2022</v>
      </c>
      <c r="C696" s="87">
        <v>2</v>
      </c>
      <c r="D696" s="110">
        <v>0.0015403941574718724</v>
      </c>
      <c r="E696" s="110">
        <v>3.016406500871118</v>
      </c>
      <c r="F696" s="87" t="s">
        <v>1330</v>
      </c>
      <c r="G696" s="87" t="b">
        <v>0</v>
      </c>
      <c r="H696" s="87" t="b">
        <v>0</v>
      </c>
      <c r="I696" s="87" t="b">
        <v>0</v>
      </c>
      <c r="J696" s="87" t="b">
        <v>0</v>
      </c>
      <c r="K696" s="87" t="b">
        <v>0</v>
      </c>
      <c r="L696" s="87" t="b">
        <v>0</v>
      </c>
    </row>
    <row r="697" spans="1:12" ht="15">
      <c r="A697" s="88" t="s">
        <v>2022</v>
      </c>
      <c r="B697" s="87" t="s">
        <v>1904</v>
      </c>
      <c r="C697" s="87">
        <v>2</v>
      </c>
      <c r="D697" s="110">
        <v>0.0015403941574718724</v>
      </c>
      <c r="E697" s="110">
        <v>2.7153765052071366</v>
      </c>
      <c r="F697" s="87" t="s">
        <v>1330</v>
      </c>
      <c r="G697" s="87" t="b">
        <v>0</v>
      </c>
      <c r="H697" s="87" t="b">
        <v>0</v>
      </c>
      <c r="I697" s="87" t="b">
        <v>0</v>
      </c>
      <c r="J697" s="87" t="b">
        <v>0</v>
      </c>
      <c r="K697" s="87" t="b">
        <v>0</v>
      </c>
      <c r="L697" s="87" t="b">
        <v>0</v>
      </c>
    </row>
    <row r="698" spans="1:12" ht="15">
      <c r="A698" s="88" t="s">
        <v>1904</v>
      </c>
      <c r="B698" s="87" t="s">
        <v>1824</v>
      </c>
      <c r="C698" s="87">
        <v>2</v>
      </c>
      <c r="D698" s="110">
        <v>0.0015403941574718724</v>
      </c>
      <c r="E698" s="110">
        <v>1.654678664853525</v>
      </c>
      <c r="F698" s="87" t="s">
        <v>1330</v>
      </c>
      <c r="G698" s="87" t="b">
        <v>0</v>
      </c>
      <c r="H698" s="87" t="b">
        <v>0</v>
      </c>
      <c r="I698" s="87" t="b">
        <v>0</v>
      </c>
      <c r="J698" s="87" t="b">
        <v>0</v>
      </c>
      <c r="K698" s="87" t="b">
        <v>0</v>
      </c>
      <c r="L698" s="87" t="b">
        <v>0</v>
      </c>
    </row>
    <row r="699" spans="1:12" ht="15">
      <c r="A699" s="88" t="s">
        <v>1824</v>
      </c>
      <c r="B699" s="87" t="s">
        <v>280</v>
      </c>
      <c r="C699" s="87">
        <v>2</v>
      </c>
      <c r="D699" s="110">
        <v>0.0015403941574718724</v>
      </c>
      <c r="E699" s="110">
        <v>1.9557086605175062</v>
      </c>
      <c r="F699" s="87" t="s">
        <v>1330</v>
      </c>
      <c r="G699" s="87" t="b">
        <v>0</v>
      </c>
      <c r="H699" s="87" t="b">
        <v>0</v>
      </c>
      <c r="I699" s="87" t="b">
        <v>0</v>
      </c>
      <c r="J699" s="87" t="b">
        <v>0</v>
      </c>
      <c r="K699" s="87" t="b">
        <v>0</v>
      </c>
      <c r="L699" s="87" t="b">
        <v>0</v>
      </c>
    </row>
    <row r="700" spans="1:12" ht="15">
      <c r="A700" s="88" t="s">
        <v>280</v>
      </c>
      <c r="B700" s="87" t="s">
        <v>1455</v>
      </c>
      <c r="C700" s="87">
        <v>2</v>
      </c>
      <c r="D700" s="110">
        <v>0.0015403941574718724</v>
      </c>
      <c r="E700" s="110">
        <v>1.3729538243849304</v>
      </c>
      <c r="F700" s="87" t="s">
        <v>1330</v>
      </c>
      <c r="G700" s="87" t="b">
        <v>0</v>
      </c>
      <c r="H700" s="87" t="b">
        <v>0</v>
      </c>
      <c r="I700" s="87" t="b">
        <v>0</v>
      </c>
      <c r="J700" s="87" t="b">
        <v>0</v>
      </c>
      <c r="K700" s="87" t="b">
        <v>0</v>
      </c>
      <c r="L700" s="87" t="b">
        <v>0</v>
      </c>
    </row>
    <row r="701" spans="1:12" ht="15">
      <c r="A701" s="88" t="s">
        <v>1458</v>
      </c>
      <c r="B701" s="87" t="s">
        <v>1453</v>
      </c>
      <c r="C701" s="87">
        <v>2</v>
      </c>
      <c r="D701" s="110">
        <v>0.0015403941574718724</v>
      </c>
      <c r="E701" s="110">
        <v>1.4881327237040742</v>
      </c>
      <c r="F701" s="87" t="s">
        <v>1330</v>
      </c>
      <c r="G701" s="87" t="b">
        <v>0</v>
      </c>
      <c r="H701" s="87" t="b">
        <v>0</v>
      </c>
      <c r="I701" s="87" t="b">
        <v>0</v>
      </c>
      <c r="J701" s="87" t="b">
        <v>0</v>
      </c>
      <c r="K701" s="87" t="b">
        <v>0</v>
      </c>
      <c r="L701" s="87" t="b">
        <v>0</v>
      </c>
    </row>
    <row r="702" spans="1:12" ht="15">
      <c r="A702" s="88" t="s">
        <v>1825</v>
      </c>
      <c r="B702" s="87" t="s">
        <v>1929</v>
      </c>
      <c r="C702" s="87">
        <v>2</v>
      </c>
      <c r="D702" s="110">
        <v>0.0015403941574718724</v>
      </c>
      <c r="E702" s="110">
        <v>1.8191259427454987</v>
      </c>
      <c r="F702" s="87" t="s">
        <v>1330</v>
      </c>
      <c r="G702" s="87" t="b">
        <v>0</v>
      </c>
      <c r="H702" s="87" t="b">
        <v>0</v>
      </c>
      <c r="I702" s="87" t="b">
        <v>0</v>
      </c>
      <c r="J702" s="87" t="b">
        <v>0</v>
      </c>
      <c r="K702" s="87" t="b">
        <v>0</v>
      </c>
      <c r="L702" s="87" t="b">
        <v>0</v>
      </c>
    </row>
    <row r="703" spans="1:12" ht="15">
      <c r="A703" s="88" t="s">
        <v>1929</v>
      </c>
      <c r="B703" s="87" t="s">
        <v>1978</v>
      </c>
      <c r="C703" s="87">
        <v>2</v>
      </c>
      <c r="D703" s="110">
        <v>0.0015403941574718724</v>
      </c>
      <c r="E703" s="110">
        <v>2.8403152418154365</v>
      </c>
      <c r="F703" s="87" t="s">
        <v>1330</v>
      </c>
      <c r="G703" s="87" t="b">
        <v>0</v>
      </c>
      <c r="H703" s="87" t="b">
        <v>0</v>
      </c>
      <c r="I703" s="87" t="b">
        <v>0</v>
      </c>
      <c r="J703" s="87" t="b">
        <v>0</v>
      </c>
      <c r="K703" s="87" t="b">
        <v>0</v>
      </c>
      <c r="L703" s="87" t="b">
        <v>0</v>
      </c>
    </row>
    <row r="704" spans="1:12" ht="15">
      <c r="A704" s="88" t="s">
        <v>1978</v>
      </c>
      <c r="B704" s="87" t="s">
        <v>1437</v>
      </c>
      <c r="C704" s="87">
        <v>2</v>
      </c>
      <c r="D704" s="110">
        <v>0.0015403941574718724</v>
      </c>
      <c r="E704" s="110">
        <v>1.1838975881648814</v>
      </c>
      <c r="F704" s="87" t="s">
        <v>1330</v>
      </c>
      <c r="G704" s="87" t="b">
        <v>0</v>
      </c>
      <c r="H704" s="87" t="b">
        <v>0</v>
      </c>
      <c r="I704" s="87" t="b">
        <v>0</v>
      </c>
      <c r="J704" s="87" t="b">
        <v>0</v>
      </c>
      <c r="K704" s="87" t="b">
        <v>0</v>
      </c>
      <c r="L704" s="87" t="b">
        <v>0</v>
      </c>
    </row>
    <row r="705" spans="1:12" ht="15">
      <c r="A705" s="88" t="s">
        <v>1437</v>
      </c>
      <c r="B705" s="87" t="s">
        <v>1979</v>
      </c>
      <c r="C705" s="87">
        <v>2</v>
      </c>
      <c r="D705" s="110">
        <v>0.0015403941574718724</v>
      </c>
      <c r="E705" s="110">
        <v>1.1838975881648814</v>
      </c>
      <c r="F705" s="87" t="s">
        <v>1330</v>
      </c>
      <c r="G705" s="87" t="b">
        <v>0</v>
      </c>
      <c r="H705" s="87" t="b">
        <v>0</v>
      </c>
      <c r="I705" s="87" t="b">
        <v>0</v>
      </c>
      <c r="J705" s="87" t="b">
        <v>0</v>
      </c>
      <c r="K705" s="87" t="b">
        <v>0</v>
      </c>
      <c r="L705" s="87" t="b">
        <v>0</v>
      </c>
    </row>
    <row r="706" spans="1:12" ht="15">
      <c r="A706" s="88" t="s">
        <v>1980</v>
      </c>
      <c r="B706" s="87" t="s">
        <v>1456</v>
      </c>
      <c r="C706" s="87">
        <v>2</v>
      </c>
      <c r="D706" s="110">
        <v>0.0015403941574718724</v>
      </c>
      <c r="E706" s="110">
        <v>1.4723384565208422</v>
      </c>
      <c r="F706" s="87" t="s">
        <v>1330</v>
      </c>
      <c r="G706" s="87" t="b">
        <v>0</v>
      </c>
      <c r="H706" s="87" t="b">
        <v>0</v>
      </c>
      <c r="I706" s="87" t="b">
        <v>0</v>
      </c>
      <c r="J706" s="87" t="b">
        <v>0</v>
      </c>
      <c r="K706" s="87" t="b">
        <v>0</v>
      </c>
      <c r="L706" s="87" t="b">
        <v>0</v>
      </c>
    </row>
    <row r="707" spans="1:12" ht="15">
      <c r="A707" s="88" t="s">
        <v>1826</v>
      </c>
      <c r="B707" s="87" t="s">
        <v>1883</v>
      </c>
      <c r="C707" s="87">
        <v>2</v>
      </c>
      <c r="D707" s="110">
        <v>0.0015403941574718724</v>
      </c>
      <c r="E707" s="110">
        <v>1.597277193129142</v>
      </c>
      <c r="F707" s="87" t="s">
        <v>1330</v>
      </c>
      <c r="G707" s="87" t="b">
        <v>0</v>
      </c>
      <c r="H707" s="87" t="b">
        <v>0</v>
      </c>
      <c r="I707" s="87" t="b">
        <v>0</v>
      </c>
      <c r="J707" s="87" t="b">
        <v>0</v>
      </c>
      <c r="K707" s="87" t="b">
        <v>0</v>
      </c>
      <c r="L707" s="87" t="b">
        <v>0</v>
      </c>
    </row>
    <row r="708" spans="1:12" ht="15">
      <c r="A708" s="88" t="s">
        <v>1892</v>
      </c>
      <c r="B708" s="87" t="s">
        <v>1437</v>
      </c>
      <c r="C708" s="87">
        <v>2</v>
      </c>
      <c r="D708" s="110">
        <v>0.0015403941574718724</v>
      </c>
      <c r="E708" s="110">
        <v>0.8828675925009003</v>
      </c>
      <c r="F708" s="87" t="s">
        <v>1330</v>
      </c>
      <c r="G708" s="87" t="b">
        <v>0</v>
      </c>
      <c r="H708" s="87" t="b">
        <v>0</v>
      </c>
      <c r="I708" s="87" t="b">
        <v>0</v>
      </c>
      <c r="J708" s="87" t="b">
        <v>0</v>
      </c>
      <c r="K708" s="87" t="b">
        <v>0</v>
      </c>
      <c r="L708" s="87" t="b">
        <v>0</v>
      </c>
    </row>
    <row r="709" spans="1:12" ht="15">
      <c r="A709" s="88" t="s">
        <v>1983</v>
      </c>
      <c r="B709" s="87" t="s">
        <v>1437</v>
      </c>
      <c r="C709" s="87">
        <v>2</v>
      </c>
      <c r="D709" s="110">
        <v>0.0015403941574718724</v>
      </c>
      <c r="E709" s="110">
        <v>1.1838975881648814</v>
      </c>
      <c r="F709" s="87" t="s">
        <v>1330</v>
      </c>
      <c r="G709" s="87" t="b">
        <v>0</v>
      </c>
      <c r="H709" s="87" t="b">
        <v>0</v>
      </c>
      <c r="I709" s="87" t="b">
        <v>0</v>
      </c>
      <c r="J709" s="87" t="b">
        <v>0</v>
      </c>
      <c r="K709" s="87" t="b">
        <v>0</v>
      </c>
      <c r="L709" s="87" t="b">
        <v>0</v>
      </c>
    </row>
    <row r="710" spans="1:12" ht="15">
      <c r="A710" s="88" t="s">
        <v>1826</v>
      </c>
      <c r="B710" s="87" t="s">
        <v>1462</v>
      </c>
      <c r="C710" s="87">
        <v>2</v>
      </c>
      <c r="D710" s="110">
        <v>0.0015403941574718724</v>
      </c>
      <c r="E710" s="110">
        <v>0.7280454733981659</v>
      </c>
      <c r="F710" s="87" t="s">
        <v>1330</v>
      </c>
      <c r="G710" s="87" t="b">
        <v>0</v>
      </c>
      <c r="H710" s="87" t="b">
        <v>0</v>
      </c>
      <c r="I710" s="87" t="b">
        <v>0</v>
      </c>
      <c r="J710" s="87" t="b">
        <v>0</v>
      </c>
      <c r="K710" s="87" t="b">
        <v>0</v>
      </c>
      <c r="L710" s="87" t="b">
        <v>0</v>
      </c>
    </row>
    <row r="711" spans="1:12" ht="15">
      <c r="A711" s="88" t="s">
        <v>1825</v>
      </c>
      <c r="B711" s="87" t="s">
        <v>1828</v>
      </c>
      <c r="C711" s="87">
        <v>2</v>
      </c>
      <c r="D711" s="110">
        <v>0.0015403941574718724</v>
      </c>
      <c r="E711" s="110">
        <v>0.9952172018011798</v>
      </c>
      <c r="F711" s="87" t="s">
        <v>1330</v>
      </c>
      <c r="G711" s="87" t="b">
        <v>0</v>
      </c>
      <c r="H711" s="87" t="b">
        <v>0</v>
      </c>
      <c r="I711" s="87" t="b">
        <v>0</v>
      </c>
      <c r="J711" s="87" t="b">
        <v>0</v>
      </c>
      <c r="K711" s="87" t="b">
        <v>0</v>
      </c>
      <c r="L711" s="87" t="b">
        <v>0</v>
      </c>
    </row>
    <row r="712" spans="1:12" ht="15">
      <c r="A712" s="88" t="s">
        <v>1935</v>
      </c>
      <c r="B712" s="87" t="s">
        <v>1437</v>
      </c>
      <c r="C712" s="87">
        <v>2</v>
      </c>
      <c r="D712" s="110">
        <v>0.0018177133612157519</v>
      </c>
      <c r="E712" s="110">
        <v>1.0078063291092003</v>
      </c>
      <c r="F712" s="87" t="s">
        <v>1330</v>
      </c>
      <c r="G712" s="87" t="b">
        <v>0</v>
      </c>
      <c r="H712" s="87" t="b">
        <v>0</v>
      </c>
      <c r="I712" s="87" t="b">
        <v>0</v>
      </c>
      <c r="J712" s="87" t="b">
        <v>0</v>
      </c>
      <c r="K712" s="87" t="b">
        <v>0</v>
      </c>
      <c r="L712" s="87" t="b">
        <v>0</v>
      </c>
    </row>
    <row r="713" spans="1:12" ht="15">
      <c r="A713" s="88" t="s">
        <v>1475</v>
      </c>
      <c r="B713" s="87" t="s">
        <v>1856</v>
      </c>
      <c r="C713" s="87">
        <v>2</v>
      </c>
      <c r="D713" s="110">
        <v>0.0015403941574718724</v>
      </c>
      <c r="E713" s="110">
        <v>1.8702784651928799</v>
      </c>
      <c r="F713" s="87" t="s">
        <v>1330</v>
      </c>
      <c r="G713" s="87" t="b">
        <v>0</v>
      </c>
      <c r="H713" s="87" t="b">
        <v>0</v>
      </c>
      <c r="I713" s="87" t="b">
        <v>0</v>
      </c>
      <c r="J713" s="87" t="b">
        <v>0</v>
      </c>
      <c r="K713" s="87" t="b">
        <v>0</v>
      </c>
      <c r="L713" s="87" t="b">
        <v>0</v>
      </c>
    </row>
    <row r="714" spans="1:12" ht="15">
      <c r="A714" s="88" t="s">
        <v>1856</v>
      </c>
      <c r="B714" s="87" t="s">
        <v>1993</v>
      </c>
      <c r="C714" s="87">
        <v>2</v>
      </c>
      <c r="D714" s="110">
        <v>0.0015403941574718724</v>
      </c>
      <c r="E714" s="110">
        <v>2.472338456520842</v>
      </c>
      <c r="F714" s="87" t="s">
        <v>1330</v>
      </c>
      <c r="G714" s="87" t="b">
        <v>0</v>
      </c>
      <c r="H714" s="87" t="b">
        <v>0</v>
      </c>
      <c r="I714" s="87" t="b">
        <v>0</v>
      </c>
      <c r="J714" s="87" t="b">
        <v>0</v>
      </c>
      <c r="K714" s="87" t="b">
        <v>0</v>
      </c>
      <c r="L714" s="87" t="b">
        <v>0</v>
      </c>
    </row>
    <row r="715" spans="1:12" ht="15">
      <c r="A715" s="88" t="s">
        <v>1993</v>
      </c>
      <c r="B715" s="87" t="s">
        <v>1873</v>
      </c>
      <c r="C715" s="87">
        <v>2</v>
      </c>
      <c r="D715" s="110">
        <v>0.0015403941574718724</v>
      </c>
      <c r="E715" s="110">
        <v>2.6184664921990803</v>
      </c>
      <c r="F715" s="87" t="s">
        <v>1330</v>
      </c>
      <c r="G715" s="87" t="b">
        <v>0</v>
      </c>
      <c r="H715" s="87" t="b">
        <v>0</v>
      </c>
      <c r="I715" s="87" t="b">
        <v>0</v>
      </c>
      <c r="J715" s="87" t="b">
        <v>0</v>
      </c>
      <c r="K715" s="87" t="b">
        <v>0</v>
      </c>
      <c r="L715" s="87" t="b">
        <v>0</v>
      </c>
    </row>
    <row r="716" spans="1:12" ht="15">
      <c r="A716" s="88" t="s">
        <v>1873</v>
      </c>
      <c r="B716" s="87" t="s">
        <v>1994</v>
      </c>
      <c r="C716" s="87">
        <v>2</v>
      </c>
      <c r="D716" s="110">
        <v>0.0015403941574718724</v>
      </c>
      <c r="E716" s="110">
        <v>2.6184664921990803</v>
      </c>
      <c r="F716" s="87" t="s">
        <v>1330</v>
      </c>
      <c r="G716" s="87" t="b">
        <v>0</v>
      </c>
      <c r="H716" s="87" t="b">
        <v>0</v>
      </c>
      <c r="I716" s="87" t="b">
        <v>0</v>
      </c>
      <c r="J716" s="87" t="b">
        <v>0</v>
      </c>
      <c r="K716" s="87" t="b">
        <v>0</v>
      </c>
      <c r="L716" s="87" t="b">
        <v>0</v>
      </c>
    </row>
    <row r="717" spans="1:12" ht="15">
      <c r="A717" s="88" t="s">
        <v>1994</v>
      </c>
      <c r="B717" s="87" t="s">
        <v>1995</v>
      </c>
      <c r="C717" s="87">
        <v>2</v>
      </c>
      <c r="D717" s="110">
        <v>0.0015403941574718724</v>
      </c>
      <c r="E717" s="110">
        <v>3.016406500871118</v>
      </c>
      <c r="F717" s="87" t="s">
        <v>1330</v>
      </c>
      <c r="G717" s="87" t="b">
        <v>0</v>
      </c>
      <c r="H717" s="87" t="b">
        <v>0</v>
      </c>
      <c r="I717" s="87" t="b">
        <v>0</v>
      </c>
      <c r="J717" s="87" t="b">
        <v>0</v>
      </c>
      <c r="K717" s="87" t="b">
        <v>0</v>
      </c>
      <c r="L717" s="87" t="b">
        <v>0</v>
      </c>
    </row>
    <row r="718" spans="1:12" ht="15">
      <c r="A718" s="88" t="s">
        <v>1995</v>
      </c>
      <c r="B718" s="87" t="s">
        <v>1831</v>
      </c>
      <c r="C718" s="87">
        <v>2</v>
      </c>
      <c r="D718" s="110">
        <v>0.0015403941574718724</v>
      </c>
      <c r="E718" s="110">
        <v>2.276043811376874</v>
      </c>
      <c r="F718" s="87" t="s">
        <v>1330</v>
      </c>
      <c r="G718" s="87" t="b">
        <v>0</v>
      </c>
      <c r="H718" s="87" t="b">
        <v>0</v>
      </c>
      <c r="I718" s="87" t="b">
        <v>0</v>
      </c>
      <c r="J718" s="87" t="b">
        <v>0</v>
      </c>
      <c r="K718" s="87" t="b">
        <v>0</v>
      </c>
      <c r="L718" s="87" t="b">
        <v>0</v>
      </c>
    </row>
    <row r="719" spans="1:12" ht="15">
      <c r="A719" s="88" t="s">
        <v>1827</v>
      </c>
      <c r="B719" s="87" t="s">
        <v>1859</v>
      </c>
      <c r="C719" s="87">
        <v>2</v>
      </c>
      <c r="D719" s="110">
        <v>0.0015403941574718724</v>
      </c>
      <c r="E719" s="110">
        <v>1.5850427367121305</v>
      </c>
      <c r="F719" s="87" t="s">
        <v>1330</v>
      </c>
      <c r="G719" s="87" t="b">
        <v>0</v>
      </c>
      <c r="H719" s="87" t="b">
        <v>0</v>
      </c>
      <c r="I719" s="87" t="b">
        <v>0</v>
      </c>
      <c r="J719" s="87" t="b">
        <v>0</v>
      </c>
      <c r="K719" s="87" t="b">
        <v>0</v>
      </c>
      <c r="L719" s="87" t="b">
        <v>0</v>
      </c>
    </row>
    <row r="720" spans="1:12" ht="15">
      <c r="A720" s="88" t="s">
        <v>1859</v>
      </c>
      <c r="B720" s="87" t="s">
        <v>1472</v>
      </c>
      <c r="C720" s="87">
        <v>2</v>
      </c>
      <c r="D720" s="110">
        <v>0.0015403941574718724</v>
      </c>
      <c r="E720" s="110">
        <v>1.5615616408626076</v>
      </c>
      <c r="F720" s="87" t="s">
        <v>1330</v>
      </c>
      <c r="G720" s="87" t="b">
        <v>0</v>
      </c>
      <c r="H720" s="87" t="b">
        <v>0</v>
      </c>
      <c r="I720" s="87" t="b">
        <v>0</v>
      </c>
      <c r="J720" s="87" t="b">
        <v>0</v>
      </c>
      <c r="K720" s="87" t="b">
        <v>0</v>
      </c>
      <c r="L720" s="87" t="b">
        <v>0</v>
      </c>
    </row>
    <row r="721" spans="1:12" ht="15">
      <c r="A721" s="88" t="s">
        <v>1472</v>
      </c>
      <c r="B721" s="87" t="s">
        <v>1985</v>
      </c>
      <c r="C721" s="87">
        <v>2</v>
      </c>
      <c r="D721" s="110">
        <v>0.0015403941574718724</v>
      </c>
      <c r="E721" s="110">
        <v>2.0386828955822702</v>
      </c>
      <c r="F721" s="87" t="s">
        <v>1330</v>
      </c>
      <c r="G721" s="87" t="b">
        <v>0</v>
      </c>
      <c r="H721" s="87" t="b">
        <v>0</v>
      </c>
      <c r="I721" s="87" t="b">
        <v>0</v>
      </c>
      <c r="J721" s="87" t="b">
        <v>0</v>
      </c>
      <c r="K721" s="87" t="b">
        <v>0</v>
      </c>
      <c r="L721" s="87" t="b">
        <v>0</v>
      </c>
    </row>
    <row r="722" spans="1:12" ht="15">
      <c r="A722" s="88" t="s">
        <v>1985</v>
      </c>
      <c r="B722" s="87" t="s">
        <v>1986</v>
      </c>
      <c r="C722" s="87">
        <v>2</v>
      </c>
      <c r="D722" s="110">
        <v>0.0015403941574718724</v>
      </c>
      <c r="E722" s="110">
        <v>3.016406500871118</v>
      </c>
      <c r="F722" s="87" t="s">
        <v>1330</v>
      </c>
      <c r="G722" s="87" t="b">
        <v>0</v>
      </c>
      <c r="H722" s="87" t="b">
        <v>0</v>
      </c>
      <c r="I722" s="87" t="b">
        <v>0</v>
      </c>
      <c r="J722" s="87" t="b">
        <v>0</v>
      </c>
      <c r="K722" s="87" t="b">
        <v>0</v>
      </c>
      <c r="L722" s="87" t="b">
        <v>0</v>
      </c>
    </row>
    <row r="723" spans="1:12" ht="15">
      <c r="A723" s="88" t="s">
        <v>1986</v>
      </c>
      <c r="B723" s="87" t="s">
        <v>1987</v>
      </c>
      <c r="C723" s="87">
        <v>2</v>
      </c>
      <c r="D723" s="110">
        <v>0.0015403941574718724</v>
      </c>
      <c r="E723" s="110">
        <v>3.016406500871118</v>
      </c>
      <c r="F723" s="87" t="s">
        <v>1330</v>
      </c>
      <c r="G723" s="87" t="b">
        <v>0</v>
      </c>
      <c r="H723" s="87" t="b">
        <v>0</v>
      </c>
      <c r="I723" s="87" t="b">
        <v>0</v>
      </c>
      <c r="J723" s="87" t="b">
        <v>0</v>
      </c>
      <c r="K723" s="87" t="b">
        <v>0</v>
      </c>
      <c r="L723" s="87" t="b">
        <v>0</v>
      </c>
    </row>
    <row r="724" spans="1:12" ht="15">
      <c r="A724" s="88" t="s">
        <v>1987</v>
      </c>
      <c r="B724" s="87" t="s">
        <v>1462</v>
      </c>
      <c r="C724" s="87">
        <v>2</v>
      </c>
      <c r="D724" s="110">
        <v>0.0015403941574718724</v>
      </c>
      <c r="E724" s="110">
        <v>1.749234772468104</v>
      </c>
      <c r="F724" s="87" t="s">
        <v>1330</v>
      </c>
      <c r="G724" s="87" t="b">
        <v>0</v>
      </c>
      <c r="H724" s="87" t="b">
        <v>0</v>
      </c>
      <c r="I724" s="87" t="b">
        <v>0</v>
      </c>
      <c r="J724" s="87" t="b">
        <v>0</v>
      </c>
      <c r="K724" s="87" t="b">
        <v>0</v>
      </c>
      <c r="L724" s="87" t="b">
        <v>0</v>
      </c>
    </row>
    <row r="725" spans="1:12" ht="15">
      <c r="A725" s="88" t="s">
        <v>1437</v>
      </c>
      <c r="B725" s="87" t="s">
        <v>1988</v>
      </c>
      <c r="C725" s="87">
        <v>2</v>
      </c>
      <c r="D725" s="110">
        <v>0.0015403941574718724</v>
      </c>
      <c r="E725" s="110">
        <v>1.1838975881648814</v>
      </c>
      <c r="F725" s="87" t="s">
        <v>1330</v>
      </c>
      <c r="G725" s="87" t="b">
        <v>0</v>
      </c>
      <c r="H725" s="87" t="b">
        <v>0</v>
      </c>
      <c r="I725" s="87" t="b">
        <v>0</v>
      </c>
      <c r="J725" s="87" t="b">
        <v>0</v>
      </c>
      <c r="K725" s="87" t="b">
        <v>0</v>
      </c>
      <c r="L725" s="87" t="b">
        <v>0</v>
      </c>
    </row>
    <row r="726" spans="1:12" ht="15">
      <c r="A726" s="88" t="s">
        <v>1988</v>
      </c>
      <c r="B726" s="87" t="s">
        <v>1824</v>
      </c>
      <c r="C726" s="87">
        <v>2</v>
      </c>
      <c r="D726" s="110">
        <v>0.0015403941574718724</v>
      </c>
      <c r="E726" s="110">
        <v>1.9557086605175062</v>
      </c>
      <c r="F726" s="87" t="s">
        <v>1330</v>
      </c>
      <c r="G726" s="87" t="b">
        <v>0</v>
      </c>
      <c r="H726" s="87" t="b">
        <v>0</v>
      </c>
      <c r="I726" s="87" t="b">
        <v>0</v>
      </c>
      <c r="J726" s="87" t="b">
        <v>0</v>
      </c>
      <c r="K726" s="87" t="b">
        <v>0</v>
      </c>
      <c r="L726" s="87" t="b">
        <v>0</v>
      </c>
    </row>
    <row r="727" spans="1:12" ht="15">
      <c r="A727" s="88" t="s">
        <v>1454</v>
      </c>
      <c r="B727" s="87" t="s">
        <v>286</v>
      </c>
      <c r="C727" s="87">
        <v>2</v>
      </c>
      <c r="D727" s="110">
        <v>0.0015403941574718724</v>
      </c>
      <c r="E727" s="110">
        <v>1.511256522551212</v>
      </c>
      <c r="F727" s="87" t="s">
        <v>1330</v>
      </c>
      <c r="G727" s="87" t="b">
        <v>0</v>
      </c>
      <c r="H727" s="87" t="b">
        <v>0</v>
      </c>
      <c r="I727" s="87" t="b">
        <v>0</v>
      </c>
      <c r="J727" s="87" t="b">
        <v>0</v>
      </c>
      <c r="K727" s="87" t="b">
        <v>0</v>
      </c>
      <c r="L727" s="87" t="b">
        <v>0</v>
      </c>
    </row>
    <row r="728" spans="1:12" ht="15">
      <c r="A728" s="88" t="s">
        <v>1839</v>
      </c>
      <c r="B728" s="87" t="s">
        <v>1831</v>
      </c>
      <c r="C728" s="87">
        <v>2</v>
      </c>
      <c r="D728" s="110">
        <v>0.0015403941574718724</v>
      </c>
      <c r="E728" s="110">
        <v>1.7319757670265983</v>
      </c>
      <c r="F728" s="87" t="s">
        <v>1330</v>
      </c>
      <c r="G728" s="87" t="b">
        <v>0</v>
      </c>
      <c r="H728" s="87" t="b">
        <v>0</v>
      </c>
      <c r="I728" s="87" t="b">
        <v>0</v>
      </c>
      <c r="J728" s="87" t="b">
        <v>0</v>
      </c>
      <c r="K728" s="87" t="b">
        <v>0</v>
      </c>
      <c r="L728" s="87" t="b">
        <v>0</v>
      </c>
    </row>
    <row r="729" spans="1:12" ht="15">
      <c r="A729" s="88" t="s">
        <v>1437</v>
      </c>
      <c r="B729" s="87" t="s">
        <v>1977</v>
      </c>
      <c r="C729" s="87">
        <v>2</v>
      </c>
      <c r="D729" s="110">
        <v>0.0018177133612157519</v>
      </c>
      <c r="E729" s="110">
        <v>1.1838975881648814</v>
      </c>
      <c r="F729" s="87" t="s">
        <v>1330</v>
      </c>
      <c r="G729" s="87" t="b">
        <v>0</v>
      </c>
      <c r="H729" s="87" t="b">
        <v>0</v>
      </c>
      <c r="I729" s="87" t="b">
        <v>0</v>
      </c>
      <c r="J729" s="87" t="b">
        <v>0</v>
      </c>
      <c r="K729" s="87" t="b">
        <v>0</v>
      </c>
      <c r="L729" s="87" t="b">
        <v>0</v>
      </c>
    </row>
    <row r="730" spans="1:12" ht="15">
      <c r="A730" s="88" t="s">
        <v>1977</v>
      </c>
      <c r="B730" s="87" t="s">
        <v>341</v>
      </c>
      <c r="C730" s="87">
        <v>2</v>
      </c>
      <c r="D730" s="110">
        <v>0.0018177133612157519</v>
      </c>
      <c r="E730" s="110">
        <v>1.9024631485642811</v>
      </c>
      <c r="F730" s="87" t="s">
        <v>1330</v>
      </c>
      <c r="G730" s="87" t="b">
        <v>0</v>
      </c>
      <c r="H730" s="87" t="b">
        <v>0</v>
      </c>
      <c r="I730" s="87" t="b">
        <v>0</v>
      </c>
      <c r="J730" s="87" t="b">
        <v>0</v>
      </c>
      <c r="K730" s="87" t="b">
        <v>0</v>
      </c>
      <c r="L730" s="87" t="b">
        <v>0</v>
      </c>
    </row>
    <row r="731" spans="1:12" ht="15">
      <c r="A731" s="88" t="s">
        <v>1493</v>
      </c>
      <c r="B731" s="87" t="s">
        <v>1898</v>
      </c>
      <c r="C731" s="87">
        <v>2</v>
      </c>
      <c r="D731" s="110">
        <v>0.0015403941574718724</v>
      </c>
      <c r="E731" s="110">
        <v>1.654678664853525</v>
      </c>
      <c r="F731" s="87" t="s">
        <v>1330</v>
      </c>
      <c r="G731" s="87" t="b">
        <v>0</v>
      </c>
      <c r="H731" s="87" t="b">
        <v>0</v>
      </c>
      <c r="I731" s="87" t="b">
        <v>0</v>
      </c>
      <c r="J731" s="87" t="b">
        <v>0</v>
      </c>
      <c r="K731" s="87" t="b">
        <v>0</v>
      </c>
      <c r="L731" s="87" t="b">
        <v>0</v>
      </c>
    </row>
    <row r="732" spans="1:12" ht="15">
      <c r="A732" s="88" t="s">
        <v>1455</v>
      </c>
      <c r="B732" s="87" t="s">
        <v>1457</v>
      </c>
      <c r="C732" s="87">
        <v>6</v>
      </c>
      <c r="D732" s="110">
        <v>0.006772740732910817</v>
      </c>
      <c r="E732" s="110">
        <v>1.3222192947339193</v>
      </c>
      <c r="F732" s="87" t="s">
        <v>1331</v>
      </c>
      <c r="G732" s="87" t="b">
        <v>0</v>
      </c>
      <c r="H732" s="87" t="b">
        <v>0</v>
      </c>
      <c r="I732" s="87" t="b">
        <v>0</v>
      </c>
      <c r="J732" s="87" t="b">
        <v>0</v>
      </c>
      <c r="K732" s="87" t="b">
        <v>0</v>
      </c>
      <c r="L732" s="87" t="b">
        <v>0</v>
      </c>
    </row>
    <row r="733" spans="1:12" ht="15">
      <c r="A733" s="88" t="s">
        <v>1457</v>
      </c>
      <c r="B733" s="87" t="s">
        <v>1454</v>
      </c>
      <c r="C733" s="87">
        <v>6</v>
      </c>
      <c r="D733" s="110">
        <v>0.006772740732910817</v>
      </c>
      <c r="E733" s="110">
        <v>1.3222192947339193</v>
      </c>
      <c r="F733" s="87" t="s">
        <v>1331</v>
      </c>
      <c r="G733" s="87" t="b">
        <v>0</v>
      </c>
      <c r="H733" s="87" t="b">
        <v>0</v>
      </c>
      <c r="I733" s="87" t="b">
        <v>0</v>
      </c>
      <c r="J733" s="87" t="b">
        <v>0</v>
      </c>
      <c r="K733" s="87" t="b">
        <v>0</v>
      </c>
      <c r="L733" s="87" t="b">
        <v>0</v>
      </c>
    </row>
    <row r="734" spans="1:12" ht="15">
      <c r="A734" s="88" t="s">
        <v>1454</v>
      </c>
      <c r="B734" s="87" t="s">
        <v>1458</v>
      </c>
      <c r="C734" s="87">
        <v>5</v>
      </c>
      <c r="D734" s="110">
        <v>0.0081818110610034</v>
      </c>
      <c r="E734" s="110">
        <v>1.4683473304121573</v>
      </c>
      <c r="F734" s="87" t="s">
        <v>1331</v>
      </c>
      <c r="G734" s="87" t="b">
        <v>0</v>
      </c>
      <c r="H734" s="87" t="b">
        <v>0</v>
      </c>
      <c r="I734" s="87" t="b">
        <v>0</v>
      </c>
      <c r="J734" s="87" t="b">
        <v>0</v>
      </c>
      <c r="K734" s="87" t="b">
        <v>0</v>
      </c>
      <c r="L734" s="87" t="b">
        <v>0</v>
      </c>
    </row>
    <row r="735" spans="1:12" ht="15">
      <c r="A735" s="88" t="s">
        <v>1437</v>
      </c>
      <c r="B735" s="87" t="s">
        <v>1455</v>
      </c>
      <c r="C735" s="87">
        <v>4</v>
      </c>
      <c r="D735" s="110">
        <v>0.009030320977214422</v>
      </c>
      <c r="E735" s="110">
        <v>1.021189299069938</v>
      </c>
      <c r="F735" s="87" t="s">
        <v>1331</v>
      </c>
      <c r="G735" s="87" t="b">
        <v>0</v>
      </c>
      <c r="H735" s="87" t="b">
        <v>0</v>
      </c>
      <c r="I735" s="87" t="b">
        <v>0</v>
      </c>
      <c r="J735" s="87" t="b">
        <v>0</v>
      </c>
      <c r="K735" s="87" t="b">
        <v>0</v>
      </c>
      <c r="L735" s="87" t="b">
        <v>0</v>
      </c>
    </row>
    <row r="736" spans="1:12" ht="15">
      <c r="A736" s="88" t="s">
        <v>1456</v>
      </c>
      <c r="B736" s="87" t="s">
        <v>1925</v>
      </c>
      <c r="C736" s="87">
        <v>3</v>
      </c>
      <c r="D736" s="110">
        <v>0.009175408744608893</v>
      </c>
      <c r="E736" s="110">
        <v>1.3222192947339193</v>
      </c>
      <c r="F736" s="87" t="s">
        <v>1331</v>
      </c>
      <c r="G736" s="87" t="b">
        <v>0</v>
      </c>
      <c r="H736" s="87" t="b">
        <v>0</v>
      </c>
      <c r="I736" s="87" t="b">
        <v>0</v>
      </c>
      <c r="J736" s="87" t="b">
        <v>0</v>
      </c>
      <c r="K736" s="87" t="b">
        <v>0</v>
      </c>
      <c r="L736" s="87" t="b">
        <v>0</v>
      </c>
    </row>
    <row r="737" spans="1:12" ht="15">
      <c r="A737" s="88" t="s">
        <v>1925</v>
      </c>
      <c r="B737" s="87" t="s">
        <v>1467</v>
      </c>
      <c r="C737" s="87">
        <v>3</v>
      </c>
      <c r="D737" s="110">
        <v>0.009175408744608893</v>
      </c>
      <c r="E737" s="110">
        <v>1.4683473304121573</v>
      </c>
      <c r="F737" s="87" t="s">
        <v>1331</v>
      </c>
      <c r="G737" s="87" t="b">
        <v>0</v>
      </c>
      <c r="H737" s="87" t="b">
        <v>0</v>
      </c>
      <c r="I737" s="87" t="b">
        <v>0</v>
      </c>
      <c r="J737" s="87" t="b">
        <v>0</v>
      </c>
      <c r="K737" s="87" t="b">
        <v>0</v>
      </c>
      <c r="L737" s="87" t="b">
        <v>0</v>
      </c>
    </row>
    <row r="738" spans="1:12" ht="15">
      <c r="A738" s="88" t="s">
        <v>1467</v>
      </c>
      <c r="B738" s="87" t="s">
        <v>1475</v>
      </c>
      <c r="C738" s="87">
        <v>3</v>
      </c>
      <c r="D738" s="110">
        <v>0.009175408744608893</v>
      </c>
      <c r="E738" s="110">
        <v>1.4683473304121573</v>
      </c>
      <c r="F738" s="87" t="s">
        <v>1331</v>
      </c>
      <c r="G738" s="87" t="b">
        <v>0</v>
      </c>
      <c r="H738" s="87" t="b">
        <v>0</v>
      </c>
      <c r="I738" s="87" t="b">
        <v>0</v>
      </c>
      <c r="J738" s="87" t="b">
        <v>0</v>
      </c>
      <c r="K738" s="87" t="b">
        <v>0</v>
      </c>
      <c r="L738" s="87" t="b">
        <v>0</v>
      </c>
    </row>
    <row r="739" spans="1:12" ht="15">
      <c r="A739" s="88" t="s">
        <v>1475</v>
      </c>
      <c r="B739" s="87" t="s">
        <v>292</v>
      </c>
      <c r="C739" s="87">
        <v>3</v>
      </c>
      <c r="D739" s="110">
        <v>0.009175408744608893</v>
      </c>
      <c r="E739" s="110">
        <v>1.4683473304121573</v>
      </c>
      <c r="F739" s="87" t="s">
        <v>1331</v>
      </c>
      <c r="G739" s="87" t="b">
        <v>0</v>
      </c>
      <c r="H739" s="87" t="b">
        <v>0</v>
      </c>
      <c r="I739" s="87" t="b">
        <v>0</v>
      </c>
      <c r="J739" s="87" t="b">
        <v>0</v>
      </c>
      <c r="K739" s="87" t="b">
        <v>0</v>
      </c>
      <c r="L739" s="87" t="b">
        <v>0</v>
      </c>
    </row>
    <row r="740" spans="1:12" ht="15">
      <c r="A740" s="88" t="s">
        <v>292</v>
      </c>
      <c r="B740" s="87" t="s">
        <v>1465</v>
      </c>
      <c r="C740" s="87">
        <v>3</v>
      </c>
      <c r="D740" s="110">
        <v>0.009175408744608893</v>
      </c>
      <c r="E740" s="110">
        <v>1.2464985807958007</v>
      </c>
      <c r="F740" s="87" t="s">
        <v>1331</v>
      </c>
      <c r="G740" s="87" t="b">
        <v>0</v>
      </c>
      <c r="H740" s="87" t="b">
        <v>0</v>
      </c>
      <c r="I740" s="87" t="b">
        <v>0</v>
      </c>
      <c r="J740" s="87" t="b">
        <v>0</v>
      </c>
      <c r="K740" s="87" t="b">
        <v>0</v>
      </c>
      <c r="L740" s="87" t="b">
        <v>0</v>
      </c>
    </row>
    <row r="741" spans="1:12" ht="15">
      <c r="A741" s="88" t="s">
        <v>1465</v>
      </c>
      <c r="B741" s="87" t="s">
        <v>1869</v>
      </c>
      <c r="C741" s="87">
        <v>3</v>
      </c>
      <c r="D741" s="110">
        <v>0.009175408744608893</v>
      </c>
      <c r="E741" s="110">
        <v>1.4683473304121573</v>
      </c>
      <c r="F741" s="87" t="s">
        <v>1331</v>
      </c>
      <c r="G741" s="87" t="b">
        <v>0</v>
      </c>
      <c r="H741" s="87" t="b">
        <v>0</v>
      </c>
      <c r="I741" s="87" t="b">
        <v>0</v>
      </c>
      <c r="J741" s="87" t="b">
        <v>0</v>
      </c>
      <c r="K741" s="87" t="b">
        <v>0</v>
      </c>
      <c r="L741" s="87" t="b">
        <v>0</v>
      </c>
    </row>
    <row r="742" spans="1:12" ht="15">
      <c r="A742" s="88" t="s">
        <v>1869</v>
      </c>
      <c r="B742" s="87" t="s">
        <v>1926</v>
      </c>
      <c r="C742" s="87">
        <v>3</v>
      </c>
      <c r="D742" s="110">
        <v>0.009175408744608893</v>
      </c>
      <c r="E742" s="110">
        <v>1.6901960800285136</v>
      </c>
      <c r="F742" s="87" t="s">
        <v>1331</v>
      </c>
      <c r="G742" s="87" t="b">
        <v>0</v>
      </c>
      <c r="H742" s="87" t="b">
        <v>0</v>
      </c>
      <c r="I742" s="87" t="b">
        <v>0</v>
      </c>
      <c r="J742" s="87" t="b">
        <v>0</v>
      </c>
      <c r="K742" s="87" t="b">
        <v>0</v>
      </c>
      <c r="L742" s="87" t="b">
        <v>0</v>
      </c>
    </row>
    <row r="743" spans="1:12" ht="15">
      <c r="A743" s="88" t="s">
        <v>1926</v>
      </c>
      <c r="B743" s="87" t="s">
        <v>1453</v>
      </c>
      <c r="C743" s="87">
        <v>3</v>
      </c>
      <c r="D743" s="110">
        <v>0.009175408744608893</v>
      </c>
      <c r="E743" s="110">
        <v>1.4683473304121573</v>
      </c>
      <c r="F743" s="87" t="s">
        <v>1331</v>
      </c>
      <c r="G743" s="87" t="b">
        <v>0</v>
      </c>
      <c r="H743" s="87" t="b">
        <v>0</v>
      </c>
      <c r="I743" s="87" t="b">
        <v>0</v>
      </c>
      <c r="J743" s="87" t="b">
        <v>0</v>
      </c>
      <c r="K743" s="87" t="b">
        <v>0</v>
      </c>
      <c r="L743" s="87" t="b">
        <v>0</v>
      </c>
    </row>
    <row r="744" spans="1:12" ht="15">
      <c r="A744" s="88" t="s">
        <v>1453</v>
      </c>
      <c r="B744" s="87" t="s">
        <v>1460</v>
      </c>
      <c r="C744" s="87">
        <v>3</v>
      </c>
      <c r="D744" s="110">
        <v>0.009175408744608893</v>
      </c>
      <c r="E744" s="110">
        <v>0.9912260756924948</v>
      </c>
      <c r="F744" s="87" t="s">
        <v>1331</v>
      </c>
      <c r="G744" s="87" t="b">
        <v>0</v>
      </c>
      <c r="H744" s="87" t="b">
        <v>0</v>
      </c>
      <c r="I744" s="87" t="b">
        <v>0</v>
      </c>
      <c r="J744" s="87" t="b">
        <v>0</v>
      </c>
      <c r="K744" s="87" t="b">
        <v>0</v>
      </c>
      <c r="L744" s="87" t="b">
        <v>0</v>
      </c>
    </row>
    <row r="745" spans="1:12" ht="15">
      <c r="A745" s="88" t="s">
        <v>1460</v>
      </c>
      <c r="B745" s="87" t="s">
        <v>1464</v>
      </c>
      <c r="C745" s="87">
        <v>3</v>
      </c>
      <c r="D745" s="110">
        <v>0.009175408744608893</v>
      </c>
      <c r="E745" s="110">
        <v>1.167317334748176</v>
      </c>
      <c r="F745" s="87" t="s">
        <v>1331</v>
      </c>
      <c r="G745" s="87" t="b">
        <v>0</v>
      </c>
      <c r="H745" s="87" t="b">
        <v>0</v>
      </c>
      <c r="I745" s="87" t="b">
        <v>0</v>
      </c>
      <c r="J745" s="87" t="b">
        <v>0</v>
      </c>
      <c r="K745" s="87" t="b">
        <v>0</v>
      </c>
      <c r="L745" s="87" t="b">
        <v>0</v>
      </c>
    </row>
    <row r="746" spans="1:12" ht="15">
      <c r="A746" s="88" t="s">
        <v>1464</v>
      </c>
      <c r="B746" s="87" t="s">
        <v>1855</v>
      </c>
      <c r="C746" s="87">
        <v>3</v>
      </c>
      <c r="D746" s="110">
        <v>0.009175408744608893</v>
      </c>
      <c r="E746" s="110">
        <v>1.3891660843645326</v>
      </c>
      <c r="F746" s="87" t="s">
        <v>1331</v>
      </c>
      <c r="G746" s="87" t="b">
        <v>0</v>
      </c>
      <c r="H746" s="87" t="b">
        <v>0</v>
      </c>
      <c r="I746" s="87" t="b">
        <v>0</v>
      </c>
      <c r="J746" s="87" t="b">
        <v>0</v>
      </c>
      <c r="K746" s="87" t="b">
        <v>0</v>
      </c>
      <c r="L746" s="87" t="b">
        <v>0</v>
      </c>
    </row>
    <row r="747" spans="1:12" ht="15">
      <c r="A747" s="88" t="s">
        <v>1855</v>
      </c>
      <c r="B747" s="87" t="s">
        <v>1437</v>
      </c>
      <c r="C747" s="87">
        <v>3</v>
      </c>
      <c r="D747" s="110">
        <v>0.009175408744608893</v>
      </c>
      <c r="E747" s="110">
        <v>1.2642273477562325</v>
      </c>
      <c r="F747" s="87" t="s">
        <v>1331</v>
      </c>
      <c r="G747" s="87" t="b">
        <v>0</v>
      </c>
      <c r="H747" s="87" t="b">
        <v>0</v>
      </c>
      <c r="I747" s="87" t="b">
        <v>0</v>
      </c>
      <c r="J747" s="87" t="b">
        <v>0</v>
      </c>
      <c r="K747" s="87" t="b">
        <v>0</v>
      </c>
      <c r="L747" s="87" t="b">
        <v>0</v>
      </c>
    </row>
    <row r="748" spans="1:12" ht="15">
      <c r="A748" s="88" t="s">
        <v>1458</v>
      </c>
      <c r="B748" s="87" t="s">
        <v>1927</v>
      </c>
      <c r="C748" s="87">
        <v>3</v>
      </c>
      <c r="D748" s="110">
        <v>0.009175408744608893</v>
      </c>
      <c r="E748" s="110">
        <v>1.6901960800285136</v>
      </c>
      <c r="F748" s="87" t="s">
        <v>1331</v>
      </c>
      <c r="G748" s="87" t="b">
        <v>0</v>
      </c>
      <c r="H748" s="87" t="b">
        <v>0</v>
      </c>
      <c r="I748" s="87" t="b">
        <v>0</v>
      </c>
      <c r="J748" s="87" t="b">
        <v>0</v>
      </c>
      <c r="K748" s="87" t="b">
        <v>0</v>
      </c>
      <c r="L748" s="87" t="b">
        <v>0</v>
      </c>
    </row>
    <row r="749" spans="1:12" ht="15">
      <c r="A749" s="88" t="s">
        <v>1927</v>
      </c>
      <c r="B749" s="87" t="s">
        <v>1466</v>
      </c>
      <c r="C749" s="87">
        <v>3</v>
      </c>
      <c r="D749" s="110">
        <v>0.009175408744608893</v>
      </c>
      <c r="E749" s="110">
        <v>1.4683473304121573</v>
      </c>
      <c r="F749" s="87" t="s">
        <v>1331</v>
      </c>
      <c r="G749" s="87" t="b">
        <v>0</v>
      </c>
      <c r="H749" s="87" t="b">
        <v>0</v>
      </c>
      <c r="I749" s="87" t="b">
        <v>0</v>
      </c>
      <c r="J749" s="87" t="b">
        <v>0</v>
      </c>
      <c r="K749" s="87" t="b">
        <v>0</v>
      </c>
      <c r="L749" s="87" t="b">
        <v>0</v>
      </c>
    </row>
    <row r="750" spans="1:12" ht="15">
      <c r="A750" s="88" t="s">
        <v>1456</v>
      </c>
      <c r="B750" s="87" t="s">
        <v>1465</v>
      </c>
      <c r="C750" s="87">
        <v>2</v>
      </c>
      <c r="D750" s="110">
        <v>0.008374519407376201</v>
      </c>
      <c r="E750" s="110">
        <v>0.9242792860618817</v>
      </c>
      <c r="F750" s="87" t="s">
        <v>1331</v>
      </c>
      <c r="G750" s="87" t="b">
        <v>0</v>
      </c>
      <c r="H750" s="87" t="b">
        <v>0</v>
      </c>
      <c r="I750" s="87" t="b">
        <v>0</v>
      </c>
      <c r="J750" s="87" t="b">
        <v>0</v>
      </c>
      <c r="K750" s="87" t="b">
        <v>0</v>
      </c>
      <c r="L750" s="87" t="b">
        <v>0</v>
      </c>
    </row>
    <row r="751" spans="1:12" ht="15">
      <c r="A751" s="88" t="s">
        <v>1465</v>
      </c>
      <c r="B751" s="87" t="s">
        <v>1453</v>
      </c>
      <c r="C751" s="87">
        <v>2</v>
      </c>
      <c r="D751" s="110">
        <v>0.008374519407376201</v>
      </c>
      <c r="E751" s="110">
        <v>1.0704073217401195</v>
      </c>
      <c r="F751" s="87" t="s">
        <v>1331</v>
      </c>
      <c r="G751" s="87" t="b">
        <v>0</v>
      </c>
      <c r="H751" s="87" t="b">
        <v>0</v>
      </c>
      <c r="I751" s="87" t="b">
        <v>0</v>
      </c>
      <c r="J751" s="87" t="b">
        <v>0</v>
      </c>
      <c r="K751" s="87" t="b">
        <v>0</v>
      </c>
      <c r="L751" s="87" t="b">
        <v>0</v>
      </c>
    </row>
    <row r="752" spans="1:12" ht="15">
      <c r="A752" s="88" t="s">
        <v>1453</v>
      </c>
      <c r="B752" s="87" t="s">
        <v>1822</v>
      </c>
      <c r="C752" s="87">
        <v>2</v>
      </c>
      <c r="D752" s="110">
        <v>0.008374519407376201</v>
      </c>
      <c r="E752" s="110">
        <v>1.2130748253088512</v>
      </c>
      <c r="F752" s="87" t="s">
        <v>1331</v>
      </c>
      <c r="G752" s="87" t="b">
        <v>0</v>
      </c>
      <c r="H752" s="87" t="b">
        <v>0</v>
      </c>
      <c r="I752" s="87" t="b">
        <v>0</v>
      </c>
      <c r="J752" s="87" t="b">
        <v>0</v>
      </c>
      <c r="K752" s="87" t="b">
        <v>0</v>
      </c>
      <c r="L752" s="87" t="b">
        <v>0</v>
      </c>
    </row>
    <row r="753" spans="1:12" ht="15">
      <c r="A753" s="88" t="s">
        <v>1822</v>
      </c>
      <c r="B753" s="87" t="s">
        <v>1958</v>
      </c>
      <c r="C753" s="87">
        <v>2</v>
      </c>
      <c r="D753" s="110">
        <v>0.008374519407376201</v>
      </c>
      <c r="E753" s="110">
        <v>1.866287339084195</v>
      </c>
      <c r="F753" s="87" t="s">
        <v>1331</v>
      </c>
      <c r="G753" s="87" t="b">
        <v>0</v>
      </c>
      <c r="H753" s="87" t="b">
        <v>0</v>
      </c>
      <c r="I753" s="87" t="b">
        <v>0</v>
      </c>
      <c r="J753" s="87" t="b">
        <v>0</v>
      </c>
      <c r="K753" s="87" t="b">
        <v>0</v>
      </c>
      <c r="L753" s="87" t="b">
        <v>0</v>
      </c>
    </row>
    <row r="754" spans="1:12" ht="15">
      <c r="A754" s="88" t="s">
        <v>1958</v>
      </c>
      <c r="B754" s="87" t="s">
        <v>1464</v>
      </c>
      <c r="C754" s="87">
        <v>2</v>
      </c>
      <c r="D754" s="110">
        <v>0.008374519407376201</v>
      </c>
      <c r="E754" s="110">
        <v>1.3891660843645324</v>
      </c>
      <c r="F754" s="87" t="s">
        <v>1331</v>
      </c>
      <c r="G754" s="87" t="b">
        <v>0</v>
      </c>
      <c r="H754" s="87" t="b">
        <v>0</v>
      </c>
      <c r="I754" s="87" t="b">
        <v>0</v>
      </c>
      <c r="J754" s="87" t="b">
        <v>0</v>
      </c>
      <c r="K754" s="87" t="b">
        <v>0</v>
      </c>
      <c r="L754" s="87" t="b">
        <v>0</v>
      </c>
    </row>
    <row r="755" spans="1:12" ht="15">
      <c r="A755" s="88" t="s">
        <v>1464</v>
      </c>
      <c r="B755" s="87" t="s">
        <v>1466</v>
      </c>
      <c r="C755" s="87">
        <v>2</v>
      </c>
      <c r="D755" s="110">
        <v>0.008374519407376201</v>
      </c>
      <c r="E755" s="110">
        <v>0.9912260756924948</v>
      </c>
      <c r="F755" s="87" t="s">
        <v>1331</v>
      </c>
      <c r="G755" s="87" t="b">
        <v>0</v>
      </c>
      <c r="H755" s="87" t="b">
        <v>0</v>
      </c>
      <c r="I755" s="87" t="b">
        <v>0</v>
      </c>
      <c r="J755" s="87" t="b">
        <v>0</v>
      </c>
      <c r="K755" s="87" t="b">
        <v>0</v>
      </c>
      <c r="L755" s="87" t="b">
        <v>0</v>
      </c>
    </row>
    <row r="756" spans="1:12" ht="15">
      <c r="A756" s="88" t="s">
        <v>1453</v>
      </c>
      <c r="B756" s="87" t="s">
        <v>1902</v>
      </c>
      <c r="C756" s="87">
        <v>2</v>
      </c>
      <c r="D756" s="110">
        <v>0.008374519407376201</v>
      </c>
      <c r="E756" s="110">
        <v>1.2130748253088512</v>
      </c>
      <c r="F756" s="87" t="s">
        <v>1331</v>
      </c>
      <c r="G756" s="87" t="b">
        <v>0</v>
      </c>
      <c r="H756" s="87" t="b">
        <v>0</v>
      </c>
      <c r="I756" s="87" t="b">
        <v>0</v>
      </c>
      <c r="J756" s="87" t="b">
        <v>1</v>
      </c>
      <c r="K756" s="87" t="b">
        <v>0</v>
      </c>
      <c r="L756" s="87" t="b">
        <v>0</v>
      </c>
    </row>
    <row r="757" spans="1:12" ht="15">
      <c r="A757" s="88" t="s">
        <v>1902</v>
      </c>
      <c r="B757" s="87" t="s">
        <v>1516</v>
      </c>
      <c r="C757" s="87">
        <v>2</v>
      </c>
      <c r="D757" s="110">
        <v>0.008374519407376201</v>
      </c>
      <c r="E757" s="110">
        <v>1.866287339084195</v>
      </c>
      <c r="F757" s="87" t="s">
        <v>1331</v>
      </c>
      <c r="G757" s="87" t="b">
        <v>1</v>
      </c>
      <c r="H757" s="87" t="b">
        <v>0</v>
      </c>
      <c r="I757" s="87" t="b">
        <v>0</v>
      </c>
      <c r="J757" s="87" t="b">
        <v>0</v>
      </c>
      <c r="K757" s="87" t="b">
        <v>0</v>
      </c>
      <c r="L757" s="87" t="b">
        <v>0</v>
      </c>
    </row>
    <row r="758" spans="1:12" ht="15">
      <c r="A758" s="88" t="s">
        <v>1516</v>
      </c>
      <c r="B758" s="87" t="s">
        <v>1456</v>
      </c>
      <c r="C758" s="87">
        <v>2</v>
      </c>
      <c r="D758" s="110">
        <v>0.008374519407376201</v>
      </c>
      <c r="E758" s="110">
        <v>1.866287339084195</v>
      </c>
      <c r="F758" s="87" t="s">
        <v>1331</v>
      </c>
      <c r="G758" s="87" t="b">
        <v>0</v>
      </c>
      <c r="H758" s="87" t="b">
        <v>0</v>
      </c>
      <c r="I758" s="87" t="b">
        <v>0</v>
      </c>
      <c r="J758" s="87" t="b">
        <v>0</v>
      </c>
      <c r="K758" s="87" t="b">
        <v>0</v>
      </c>
      <c r="L758" s="87" t="b">
        <v>0</v>
      </c>
    </row>
    <row r="759" spans="1:12" ht="15">
      <c r="A759" s="88" t="s">
        <v>1456</v>
      </c>
      <c r="B759" s="87" t="s">
        <v>1460</v>
      </c>
      <c r="C759" s="87">
        <v>2</v>
      </c>
      <c r="D759" s="110">
        <v>0.008374519407376201</v>
      </c>
      <c r="E759" s="110">
        <v>0.9242792860618817</v>
      </c>
      <c r="F759" s="87" t="s">
        <v>1331</v>
      </c>
      <c r="G759" s="87" t="b">
        <v>0</v>
      </c>
      <c r="H759" s="87" t="b">
        <v>0</v>
      </c>
      <c r="I759" s="87" t="b">
        <v>0</v>
      </c>
      <c r="J759" s="87" t="b">
        <v>0</v>
      </c>
      <c r="K759" s="87" t="b">
        <v>0</v>
      </c>
      <c r="L759" s="87" t="b">
        <v>0</v>
      </c>
    </row>
    <row r="760" spans="1:12" ht="15">
      <c r="A760" s="88" t="s">
        <v>1460</v>
      </c>
      <c r="B760" s="87" t="s">
        <v>292</v>
      </c>
      <c r="C760" s="87">
        <v>2</v>
      </c>
      <c r="D760" s="110">
        <v>0.008374519407376201</v>
      </c>
      <c r="E760" s="110">
        <v>1.0704073217401195</v>
      </c>
      <c r="F760" s="87" t="s">
        <v>1331</v>
      </c>
      <c r="G760" s="87" t="b">
        <v>0</v>
      </c>
      <c r="H760" s="87" t="b">
        <v>0</v>
      </c>
      <c r="I760" s="87" t="b">
        <v>0</v>
      </c>
      <c r="J760" s="87" t="b">
        <v>0</v>
      </c>
      <c r="K760" s="87" t="b">
        <v>0</v>
      </c>
      <c r="L760" s="87" t="b">
        <v>0</v>
      </c>
    </row>
    <row r="761" spans="1:12" ht="15">
      <c r="A761" s="88" t="s">
        <v>292</v>
      </c>
      <c r="B761" s="87" t="s">
        <v>1467</v>
      </c>
      <c r="C761" s="87">
        <v>2</v>
      </c>
      <c r="D761" s="110">
        <v>0.008374519407376201</v>
      </c>
      <c r="E761" s="110">
        <v>1.0704073217401195</v>
      </c>
      <c r="F761" s="87" t="s">
        <v>1331</v>
      </c>
      <c r="G761" s="87" t="b">
        <v>0</v>
      </c>
      <c r="H761" s="87" t="b">
        <v>0</v>
      </c>
      <c r="I761" s="87" t="b">
        <v>0</v>
      </c>
      <c r="J761" s="87" t="b">
        <v>0</v>
      </c>
      <c r="K761" s="87" t="b">
        <v>0</v>
      </c>
      <c r="L761" s="87" t="b">
        <v>0</v>
      </c>
    </row>
    <row r="762" spans="1:12" ht="15">
      <c r="A762" s="88" t="s">
        <v>1467</v>
      </c>
      <c r="B762" s="87" t="s">
        <v>1839</v>
      </c>
      <c r="C762" s="87">
        <v>2</v>
      </c>
      <c r="D762" s="110">
        <v>0.008374519407376201</v>
      </c>
      <c r="E762" s="110">
        <v>1.4683473304121573</v>
      </c>
      <c r="F762" s="87" t="s">
        <v>1331</v>
      </c>
      <c r="G762" s="87" t="b">
        <v>0</v>
      </c>
      <c r="H762" s="87" t="b">
        <v>0</v>
      </c>
      <c r="I762" s="87" t="b">
        <v>0</v>
      </c>
      <c r="J762" s="87" t="b">
        <v>0</v>
      </c>
      <c r="K762" s="87" t="b">
        <v>0</v>
      </c>
      <c r="L762" s="87" t="b">
        <v>0</v>
      </c>
    </row>
    <row r="763" spans="1:12" ht="15">
      <c r="A763" s="88" t="s">
        <v>1839</v>
      </c>
      <c r="B763" s="87" t="s">
        <v>1930</v>
      </c>
      <c r="C763" s="87">
        <v>2</v>
      </c>
      <c r="D763" s="110">
        <v>0.008374519407376201</v>
      </c>
      <c r="E763" s="110">
        <v>1.866287339084195</v>
      </c>
      <c r="F763" s="87" t="s">
        <v>1331</v>
      </c>
      <c r="G763" s="87" t="b">
        <v>0</v>
      </c>
      <c r="H763" s="87" t="b">
        <v>0</v>
      </c>
      <c r="I763" s="87" t="b">
        <v>0</v>
      </c>
      <c r="J763" s="87" t="b">
        <v>0</v>
      </c>
      <c r="K763" s="87" t="b">
        <v>0</v>
      </c>
      <c r="L763" s="87" t="b">
        <v>0</v>
      </c>
    </row>
    <row r="764" spans="1:12" ht="15">
      <c r="A764" s="88" t="s">
        <v>1930</v>
      </c>
      <c r="B764" s="87" t="s">
        <v>1831</v>
      </c>
      <c r="C764" s="87">
        <v>2</v>
      </c>
      <c r="D764" s="110">
        <v>0.008374519407376201</v>
      </c>
      <c r="E764" s="110">
        <v>1.866287339084195</v>
      </c>
      <c r="F764" s="87" t="s">
        <v>1331</v>
      </c>
      <c r="G764" s="87" t="b">
        <v>0</v>
      </c>
      <c r="H764" s="87" t="b">
        <v>0</v>
      </c>
      <c r="I764" s="87" t="b">
        <v>0</v>
      </c>
      <c r="J764" s="87" t="b">
        <v>0</v>
      </c>
      <c r="K764" s="87" t="b">
        <v>0</v>
      </c>
      <c r="L764" s="87" t="b">
        <v>0</v>
      </c>
    </row>
    <row r="765" spans="1:12" ht="15">
      <c r="A765" s="88" t="s">
        <v>1831</v>
      </c>
      <c r="B765" s="87" t="s">
        <v>1821</v>
      </c>
      <c r="C765" s="87">
        <v>2</v>
      </c>
      <c r="D765" s="110">
        <v>0.008374519407376201</v>
      </c>
      <c r="E765" s="110">
        <v>1.866287339084195</v>
      </c>
      <c r="F765" s="87" t="s">
        <v>1331</v>
      </c>
      <c r="G765" s="87" t="b">
        <v>0</v>
      </c>
      <c r="H765" s="87" t="b">
        <v>0</v>
      </c>
      <c r="I765" s="87" t="b">
        <v>0</v>
      </c>
      <c r="J765" s="87" t="b">
        <v>0</v>
      </c>
      <c r="K765" s="87" t="b">
        <v>0</v>
      </c>
      <c r="L765" s="87" t="b">
        <v>0</v>
      </c>
    </row>
    <row r="766" spans="1:12" ht="15">
      <c r="A766" s="88" t="s">
        <v>1821</v>
      </c>
      <c r="B766" s="87" t="s">
        <v>1437</v>
      </c>
      <c r="C766" s="87">
        <v>2</v>
      </c>
      <c r="D766" s="110">
        <v>0.008374519407376201</v>
      </c>
      <c r="E766" s="110">
        <v>1.2642273477562325</v>
      </c>
      <c r="F766" s="87" t="s">
        <v>1331</v>
      </c>
      <c r="G766" s="87" t="b">
        <v>0</v>
      </c>
      <c r="H766" s="87" t="b">
        <v>0</v>
      </c>
      <c r="I766" s="87" t="b">
        <v>0</v>
      </c>
      <c r="J766" s="87" t="b">
        <v>0</v>
      </c>
      <c r="K766" s="87" t="b">
        <v>0</v>
      </c>
      <c r="L766" s="87" t="b">
        <v>0</v>
      </c>
    </row>
    <row r="767" spans="1:12" ht="15">
      <c r="A767" s="88" t="s">
        <v>1437</v>
      </c>
      <c r="B767" s="87" t="s">
        <v>1832</v>
      </c>
      <c r="C767" s="87">
        <v>2</v>
      </c>
      <c r="D767" s="110">
        <v>0.008374519407376201</v>
      </c>
      <c r="E767" s="110">
        <v>1.2642273477562325</v>
      </c>
      <c r="F767" s="87" t="s">
        <v>1331</v>
      </c>
      <c r="G767" s="87" t="b">
        <v>0</v>
      </c>
      <c r="H767" s="87" t="b">
        <v>0</v>
      </c>
      <c r="I767" s="87" t="b">
        <v>0</v>
      </c>
      <c r="J767" s="87" t="b">
        <v>1</v>
      </c>
      <c r="K767" s="87" t="b">
        <v>0</v>
      </c>
      <c r="L767" s="87" t="b">
        <v>0</v>
      </c>
    </row>
    <row r="768" spans="1:12" ht="15">
      <c r="A768" s="88" t="s">
        <v>1832</v>
      </c>
      <c r="B768" s="87" t="s">
        <v>1459</v>
      </c>
      <c r="C768" s="87">
        <v>2</v>
      </c>
      <c r="D768" s="110">
        <v>0.008374519407376201</v>
      </c>
      <c r="E768" s="110">
        <v>1.866287339084195</v>
      </c>
      <c r="F768" s="87" t="s">
        <v>1331</v>
      </c>
      <c r="G768" s="87" t="b">
        <v>1</v>
      </c>
      <c r="H768" s="87" t="b">
        <v>0</v>
      </c>
      <c r="I768" s="87" t="b">
        <v>0</v>
      </c>
      <c r="J768" s="87" t="b">
        <v>0</v>
      </c>
      <c r="K768" s="87" t="b">
        <v>0</v>
      </c>
      <c r="L768" s="87" t="b">
        <v>0</v>
      </c>
    </row>
    <row r="769" spans="1:12" ht="15">
      <c r="A769" s="88" t="s">
        <v>1459</v>
      </c>
      <c r="B769" s="87" t="s">
        <v>294</v>
      </c>
      <c r="C769" s="87">
        <v>2</v>
      </c>
      <c r="D769" s="110">
        <v>0.008374519407376201</v>
      </c>
      <c r="E769" s="110">
        <v>1.866287339084195</v>
      </c>
      <c r="F769" s="87" t="s">
        <v>1331</v>
      </c>
      <c r="G769" s="87" t="b">
        <v>0</v>
      </c>
      <c r="H769" s="87" t="b">
        <v>0</v>
      </c>
      <c r="I769" s="87" t="b">
        <v>0</v>
      </c>
      <c r="J769" s="87" t="b">
        <v>0</v>
      </c>
      <c r="K769" s="87" t="b">
        <v>0</v>
      </c>
      <c r="L769" s="87" t="b">
        <v>0</v>
      </c>
    </row>
    <row r="770" spans="1:12" ht="15">
      <c r="A770" s="88" t="s">
        <v>294</v>
      </c>
      <c r="B770" s="87" t="s">
        <v>1455</v>
      </c>
      <c r="C770" s="87">
        <v>2</v>
      </c>
      <c r="D770" s="110">
        <v>0.008374519407376201</v>
      </c>
      <c r="E770" s="110">
        <v>1.3222192947339193</v>
      </c>
      <c r="F770" s="87" t="s">
        <v>1331</v>
      </c>
      <c r="G770" s="87" t="b">
        <v>0</v>
      </c>
      <c r="H770" s="87" t="b">
        <v>0</v>
      </c>
      <c r="I770" s="87" t="b">
        <v>0</v>
      </c>
      <c r="J770" s="87" t="b">
        <v>0</v>
      </c>
      <c r="K770" s="87" t="b">
        <v>0</v>
      </c>
      <c r="L770" s="87" t="b">
        <v>0</v>
      </c>
    </row>
    <row r="771" spans="1:12" ht="15">
      <c r="A771" s="88" t="s">
        <v>1454</v>
      </c>
      <c r="B771" s="87" t="s">
        <v>1458</v>
      </c>
      <c r="C771" s="87">
        <v>12</v>
      </c>
      <c r="D771" s="110">
        <v>0</v>
      </c>
      <c r="E771" s="110">
        <v>1.3099848383169077</v>
      </c>
      <c r="F771" s="87" t="s">
        <v>1332</v>
      </c>
      <c r="G771" s="87" t="b">
        <v>0</v>
      </c>
      <c r="H771" s="87" t="b">
        <v>0</v>
      </c>
      <c r="I771" s="87" t="b">
        <v>0</v>
      </c>
      <c r="J771" s="87" t="b">
        <v>0</v>
      </c>
      <c r="K771" s="87" t="b">
        <v>0</v>
      </c>
      <c r="L771" s="87" t="b">
        <v>0</v>
      </c>
    </row>
    <row r="772" spans="1:12" ht="15">
      <c r="A772" s="88" t="s">
        <v>1437</v>
      </c>
      <c r="B772" s="87" t="s">
        <v>1446</v>
      </c>
      <c r="C772" s="87">
        <v>8</v>
      </c>
      <c r="D772" s="110">
        <v>0.005481439970604863</v>
      </c>
      <c r="E772" s="110">
        <v>1.1338935792612264</v>
      </c>
      <c r="F772" s="87" t="s">
        <v>1332</v>
      </c>
      <c r="G772" s="87" t="b">
        <v>0</v>
      </c>
      <c r="H772" s="87" t="b">
        <v>0</v>
      </c>
      <c r="I772" s="87" t="b">
        <v>0</v>
      </c>
      <c r="J772" s="87" t="b">
        <v>0</v>
      </c>
      <c r="K772" s="87" t="b">
        <v>0</v>
      </c>
      <c r="L772" s="87" t="b">
        <v>0</v>
      </c>
    </row>
    <row r="773" spans="1:12" ht="15">
      <c r="A773" s="88" t="s">
        <v>1455</v>
      </c>
      <c r="B773" s="87" t="s">
        <v>1457</v>
      </c>
      <c r="C773" s="87">
        <v>7</v>
      </c>
      <c r="D773" s="110">
        <v>0.00637580716822403</v>
      </c>
      <c r="E773" s="110">
        <v>1.5440680443502757</v>
      </c>
      <c r="F773" s="87" t="s">
        <v>1332</v>
      </c>
      <c r="G773" s="87" t="b">
        <v>0</v>
      </c>
      <c r="H773" s="87" t="b">
        <v>0</v>
      </c>
      <c r="I773" s="87" t="b">
        <v>0</v>
      </c>
      <c r="J773" s="87" t="b">
        <v>0</v>
      </c>
      <c r="K773" s="87" t="b">
        <v>0</v>
      </c>
      <c r="L773" s="87" t="b">
        <v>0</v>
      </c>
    </row>
    <row r="774" spans="1:12" ht="15">
      <c r="A774" s="88" t="s">
        <v>1457</v>
      </c>
      <c r="B774" s="87" t="s">
        <v>1454</v>
      </c>
      <c r="C774" s="87">
        <v>7</v>
      </c>
      <c r="D774" s="110">
        <v>0.00637580716822403</v>
      </c>
      <c r="E774" s="110">
        <v>1.3099848383169077</v>
      </c>
      <c r="F774" s="87" t="s">
        <v>1332</v>
      </c>
      <c r="G774" s="87" t="b">
        <v>0</v>
      </c>
      <c r="H774" s="87" t="b">
        <v>0</v>
      </c>
      <c r="I774" s="87" t="b">
        <v>0</v>
      </c>
      <c r="J774" s="87" t="b">
        <v>0</v>
      </c>
      <c r="K774" s="87" t="b">
        <v>0</v>
      </c>
      <c r="L774" s="87" t="b">
        <v>0</v>
      </c>
    </row>
    <row r="775" spans="1:12" ht="15">
      <c r="A775" s="88" t="s">
        <v>1446</v>
      </c>
      <c r="B775" s="87" t="s">
        <v>1819</v>
      </c>
      <c r="C775" s="87">
        <v>5</v>
      </c>
      <c r="D775" s="110">
        <v>0.007397105869875604</v>
      </c>
      <c r="E775" s="110">
        <v>1.4860760973725888</v>
      </c>
      <c r="F775" s="87" t="s">
        <v>1332</v>
      </c>
      <c r="G775" s="87" t="b">
        <v>0</v>
      </c>
      <c r="H775" s="87" t="b">
        <v>0</v>
      </c>
      <c r="I775" s="87" t="b">
        <v>0</v>
      </c>
      <c r="J775" s="87" t="b">
        <v>0</v>
      </c>
      <c r="K775" s="87" t="b">
        <v>0</v>
      </c>
      <c r="L775" s="87" t="b">
        <v>0</v>
      </c>
    </row>
    <row r="776" spans="1:12" ht="15">
      <c r="A776" s="88" t="s">
        <v>1456</v>
      </c>
      <c r="B776" s="87" t="s">
        <v>1490</v>
      </c>
      <c r="C776" s="87">
        <v>3</v>
      </c>
      <c r="D776" s="110">
        <v>0.007027937641960651</v>
      </c>
      <c r="E776" s="110">
        <v>1.5440680443502757</v>
      </c>
      <c r="F776" s="87" t="s">
        <v>1332</v>
      </c>
      <c r="G776" s="87" t="b">
        <v>0</v>
      </c>
      <c r="H776" s="87" t="b">
        <v>0</v>
      </c>
      <c r="I776" s="87" t="b">
        <v>0</v>
      </c>
      <c r="J776" s="87" t="b">
        <v>0</v>
      </c>
      <c r="K776" s="87" t="b">
        <v>0</v>
      </c>
      <c r="L776" s="87" t="b">
        <v>0</v>
      </c>
    </row>
    <row r="777" spans="1:12" ht="15">
      <c r="A777" s="88" t="s">
        <v>1490</v>
      </c>
      <c r="B777" s="87" t="s">
        <v>1911</v>
      </c>
      <c r="C777" s="87">
        <v>3</v>
      </c>
      <c r="D777" s="110">
        <v>0.007027937641960651</v>
      </c>
      <c r="E777" s="110">
        <v>1.91204482964487</v>
      </c>
      <c r="F777" s="87" t="s">
        <v>1332</v>
      </c>
      <c r="G777" s="87" t="b">
        <v>0</v>
      </c>
      <c r="H777" s="87" t="b">
        <v>0</v>
      </c>
      <c r="I777" s="87" t="b">
        <v>0</v>
      </c>
      <c r="J777" s="87" t="b">
        <v>0</v>
      </c>
      <c r="K777" s="87" t="b">
        <v>0</v>
      </c>
      <c r="L777" s="87" t="b">
        <v>0</v>
      </c>
    </row>
    <row r="778" spans="1:12" ht="15">
      <c r="A778" s="88" t="s">
        <v>1911</v>
      </c>
      <c r="B778" s="87" t="s">
        <v>1912</v>
      </c>
      <c r="C778" s="87">
        <v>3</v>
      </c>
      <c r="D778" s="110">
        <v>0.007027937641960651</v>
      </c>
      <c r="E778" s="110">
        <v>1.91204482964487</v>
      </c>
      <c r="F778" s="87" t="s">
        <v>1332</v>
      </c>
      <c r="G778" s="87" t="b">
        <v>0</v>
      </c>
      <c r="H778" s="87" t="b">
        <v>0</v>
      </c>
      <c r="I778" s="87" t="b">
        <v>0</v>
      </c>
      <c r="J778" s="87" t="b">
        <v>0</v>
      </c>
      <c r="K778" s="87" t="b">
        <v>0</v>
      </c>
      <c r="L778" s="87" t="b">
        <v>0</v>
      </c>
    </row>
    <row r="779" spans="1:12" ht="15">
      <c r="A779" s="88" t="s">
        <v>1912</v>
      </c>
      <c r="B779" s="87" t="s">
        <v>1913</v>
      </c>
      <c r="C779" s="87">
        <v>3</v>
      </c>
      <c r="D779" s="110">
        <v>0.007027937641960651</v>
      </c>
      <c r="E779" s="110">
        <v>1.91204482964487</v>
      </c>
      <c r="F779" s="87" t="s">
        <v>1332</v>
      </c>
      <c r="G779" s="87" t="b">
        <v>0</v>
      </c>
      <c r="H779" s="87" t="b">
        <v>0</v>
      </c>
      <c r="I779" s="87" t="b">
        <v>0</v>
      </c>
      <c r="J779" s="87" t="b">
        <v>0</v>
      </c>
      <c r="K779" s="87" t="b">
        <v>0</v>
      </c>
      <c r="L779" s="87" t="b">
        <v>0</v>
      </c>
    </row>
    <row r="780" spans="1:12" ht="15">
      <c r="A780" s="88" t="s">
        <v>1913</v>
      </c>
      <c r="B780" s="87" t="s">
        <v>1857</v>
      </c>
      <c r="C780" s="87">
        <v>3</v>
      </c>
      <c r="D780" s="110">
        <v>0.007027937641960651</v>
      </c>
      <c r="E780" s="110">
        <v>1.91204482964487</v>
      </c>
      <c r="F780" s="87" t="s">
        <v>1332</v>
      </c>
      <c r="G780" s="87" t="b">
        <v>0</v>
      </c>
      <c r="H780" s="87" t="b">
        <v>0</v>
      </c>
      <c r="I780" s="87" t="b">
        <v>0</v>
      </c>
      <c r="J780" s="87" t="b">
        <v>0</v>
      </c>
      <c r="K780" s="87" t="b">
        <v>0</v>
      </c>
      <c r="L780" s="87" t="b">
        <v>0</v>
      </c>
    </row>
    <row r="781" spans="1:12" ht="15">
      <c r="A781" s="88" t="s">
        <v>1857</v>
      </c>
      <c r="B781" s="87" t="s">
        <v>1853</v>
      </c>
      <c r="C781" s="87">
        <v>3</v>
      </c>
      <c r="D781" s="110">
        <v>0.007027937641960651</v>
      </c>
      <c r="E781" s="110">
        <v>1.91204482964487</v>
      </c>
      <c r="F781" s="87" t="s">
        <v>1332</v>
      </c>
      <c r="G781" s="87" t="b">
        <v>0</v>
      </c>
      <c r="H781" s="87" t="b">
        <v>0</v>
      </c>
      <c r="I781" s="87" t="b">
        <v>0</v>
      </c>
      <c r="J781" s="87" t="b">
        <v>0</v>
      </c>
      <c r="K781" s="87" t="b">
        <v>0</v>
      </c>
      <c r="L781" s="87" t="b">
        <v>0</v>
      </c>
    </row>
    <row r="782" spans="1:12" ht="15">
      <c r="A782" s="88" t="s">
        <v>1853</v>
      </c>
      <c r="B782" s="87" t="s">
        <v>1914</v>
      </c>
      <c r="C782" s="87">
        <v>3</v>
      </c>
      <c r="D782" s="110">
        <v>0.007027937641960651</v>
      </c>
      <c r="E782" s="110">
        <v>1.91204482964487</v>
      </c>
      <c r="F782" s="87" t="s">
        <v>1332</v>
      </c>
      <c r="G782" s="87" t="b">
        <v>0</v>
      </c>
      <c r="H782" s="87" t="b">
        <v>0</v>
      </c>
      <c r="I782" s="87" t="b">
        <v>0</v>
      </c>
      <c r="J782" s="87" t="b">
        <v>0</v>
      </c>
      <c r="K782" s="87" t="b">
        <v>0</v>
      </c>
      <c r="L782" s="87" t="b">
        <v>0</v>
      </c>
    </row>
    <row r="783" spans="1:12" ht="15">
      <c r="A783" s="88" t="s">
        <v>1914</v>
      </c>
      <c r="B783" s="87" t="s">
        <v>1882</v>
      </c>
      <c r="C783" s="87">
        <v>3</v>
      </c>
      <c r="D783" s="110">
        <v>0.007027937641960651</v>
      </c>
      <c r="E783" s="110">
        <v>1.91204482964487</v>
      </c>
      <c r="F783" s="87" t="s">
        <v>1332</v>
      </c>
      <c r="G783" s="87" t="b">
        <v>0</v>
      </c>
      <c r="H783" s="87" t="b">
        <v>0</v>
      </c>
      <c r="I783" s="87" t="b">
        <v>0</v>
      </c>
      <c r="J783" s="87" t="b">
        <v>0</v>
      </c>
      <c r="K783" s="87" t="b">
        <v>0</v>
      </c>
      <c r="L783" s="87" t="b">
        <v>0</v>
      </c>
    </row>
    <row r="784" spans="1:12" ht="15">
      <c r="A784" s="88" t="s">
        <v>1882</v>
      </c>
      <c r="B784" s="87" t="s">
        <v>1915</v>
      </c>
      <c r="C784" s="87">
        <v>3</v>
      </c>
      <c r="D784" s="110">
        <v>0.007027937641960651</v>
      </c>
      <c r="E784" s="110">
        <v>1.91204482964487</v>
      </c>
      <c r="F784" s="87" t="s">
        <v>1332</v>
      </c>
      <c r="G784" s="87" t="b">
        <v>0</v>
      </c>
      <c r="H784" s="87" t="b">
        <v>0</v>
      </c>
      <c r="I784" s="87" t="b">
        <v>0</v>
      </c>
      <c r="J784" s="87" t="b">
        <v>0</v>
      </c>
      <c r="K784" s="87" t="b">
        <v>0</v>
      </c>
      <c r="L784" s="87" t="b">
        <v>0</v>
      </c>
    </row>
    <row r="785" spans="1:12" ht="15">
      <c r="A785" s="88" t="s">
        <v>1915</v>
      </c>
      <c r="B785" s="87" t="s">
        <v>306</v>
      </c>
      <c r="C785" s="87">
        <v>3</v>
      </c>
      <c r="D785" s="110">
        <v>0.007027937641960651</v>
      </c>
      <c r="E785" s="110">
        <v>1.91204482964487</v>
      </c>
      <c r="F785" s="87" t="s">
        <v>1332</v>
      </c>
      <c r="G785" s="87" t="b">
        <v>0</v>
      </c>
      <c r="H785" s="87" t="b">
        <v>0</v>
      </c>
      <c r="I785" s="87" t="b">
        <v>0</v>
      </c>
      <c r="J785" s="87" t="b">
        <v>0</v>
      </c>
      <c r="K785" s="87" t="b">
        <v>0</v>
      </c>
      <c r="L785" s="87" t="b">
        <v>0</v>
      </c>
    </row>
    <row r="786" spans="1:12" ht="15">
      <c r="A786" s="88" t="s">
        <v>306</v>
      </c>
      <c r="B786" s="87" t="s">
        <v>1916</v>
      </c>
      <c r="C786" s="87">
        <v>3</v>
      </c>
      <c r="D786" s="110">
        <v>0.007027937641960651</v>
      </c>
      <c r="E786" s="110">
        <v>1.91204482964487</v>
      </c>
      <c r="F786" s="87" t="s">
        <v>1332</v>
      </c>
      <c r="G786" s="87" t="b">
        <v>0</v>
      </c>
      <c r="H786" s="87" t="b">
        <v>0</v>
      </c>
      <c r="I786" s="87" t="b">
        <v>0</v>
      </c>
      <c r="J786" s="87" t="b">
        <v>0</v>
      </c>
      <c r="K786" s="87" t="b">
        <v>0</v>
      </c>
      <c r="L786" s="87" t="b">
        <v>0</v>
      </c>
    </row>
    <row r="787" spans="1:12" ht="15">
      <c r="A787" s="88" t="s">
        <v>1916</v>
      </c>
      <c r="B787" s="87" t="s">
        <v>1453</v>
      </c>
      <c r="C787" s="87">
        <v>3</v>
      </c>
      <c r="D787" s="110">
        <v>0.007027937641960651</v>
      </c>
      <c r="E787" s="110">
        <v>1.6901960800285136</v>
      </c>
      <c r="F787" s="87" t="s">
        <v>1332</v>
      </c>
      <c r="G787" s="87" t="b">
        <v>0</v>
      </c>
      <c r="H787" s="87" t="b">
        <v>0</v>
      </c>
      <c r="I787" s="87" t="b">
        <v>0</v>
      </c>
      <c r="J787" s="87" t="b">
        <v>0</v>
      </c>
      <c r="K787" s="87" t="b">
        <v>0</v>
      </c>
      <c r="L787" s="87" t="b">
        <v>0</v>
      </c>
    </row>
    <row r="788" spans="1:12" ht="15">
      <c r="A788" s="88" t="s">
        <v>1453</v>
      </c>
      <c r="B788" s="87" t="s">
        <v>1462</v>
      </c>
      <c r="C788" s="87">
        <v>3</v>
      </c>
      <c r="D788" s="110">
        <v>0.007027937641960651</v>
      </c>
      <c r="E788" s="110">
        <v>0.8328635835972451</v>
      </c>
      <c r="F788" s="87" t="s">
        <v>1332</v>
      </c>
      <c r="G788" s="87" t="b">
        <v>0</v>
      </c>
      <c r="H788" s="87" t="b">
        <v>0</v>
      </c>
      <c r="I788" s="87" t="b">
        <v>0</v>
      </c>
      <c r="J788" s="87" t="b">
        <v>0</v>
      </c>
      <c r="K788" s="87" t="b">
        <v>0</v>
      </c>
      <c r="L788" s="87" t="b">
        <v>0</v>
      </c>
    </row>
    <row r="789" spans="1:12" ht="15">
      <c r="A789" s="88" t="s">
        <v>1462</v>
      </c>
      <c r="B789" s="87" t="s">
        <v>1820</v>
      </c>
      <c r="C789" s="87">
        <v>3</v>
      </c>
      <c r="D789" s="110">
        <v>0.007027937641960651</v>
      </c>
      <c r="E789" s="110">
        <v>1.2130748253088512</v>
      </c>
      <c r="F789" s="87" t="s">
        <v>1332</v>
      </c>
      <c r="G789" s="87" t="b">
        <v>0</v>
      </c>
      <c r="H789" s="87" t="b">
        <v>0</v>
      </c>
      <c r="I789" s="87" t="b">
        <v>0</v>
      </c>
      <c r="J789" s="87" t="b">
        <v>0</v>
      </c>
      <c r="K789" s="87" t="b">
        <v>0</v>
      </c>
      <c r="L789" s="87" t="b">
        <v>0</v>
      </c>
    </row>
    <row r="790" spans="1:12" ht="15">
      <c r="A790" s="88" t="s">
        <v>1820</v>
      </c>
      <c r="B790" s="87" t="s">
        <v>1459</v>
      </c>
      <c r="C790" s="87">
        <v>3</v>
      </c>
      <c r="D790" s="110">
        <v>0.007027937641960651</v>
      </c>
      <c r="E790" s="110">
        <v>1.5652573434202137</v>
      </c>
      <c r="F790" s="87" t="s">
        <v>1332</v>
      </c>
      <c r="G790" s="87" t="b">
        <v>0</v>
      </c>
      <c r="H790" s="87" t="b">
        <v>0</v>
      </c>
      <c r="I790" s="87" t="b">
        <v>0</v>
      </c>
      <c r="J790" s="87" t="b">
        <v>0</v>
      </c>
      <c r="K790" s="87" t="b">
        <v>0</v>
      </c>
      <c r="L790" s="87" t="b">
        <v>0</v>
      </c>
    </row>
    <row r="791" spans="1:12" ht="15">
      <c r="A791" s="88" t="s">
        <v>1459</v>
      </c>
      <c r="B791" s="87" t="s">
        <v>1437</v>
      </c>
      <c r="C791" s="87">
        <v>3</v>
      </c>
      <c r="D791" s="110">
        <v>0.007027937641960651</v>
      </c>
      <c r="E791" s="110">
        <v>1.0089548426529262</v>
      </c>
      <c r="F791" s="87" t="s">
        <v>1332</v>
      </c>
      <c r="G791" s="87" t="b">
        <v>0</v>
      </c>
      <c r="H791" s="87" t="b">
        <v>0</v>
      </c>
      <c r="I791" s="87" t="b">
        <v>0</v>
      </c>
      <c r="J791" s="87" t="b">
        <v>0</v>
      </c>
      <c r="K791" s="87" t="b">
        <v>0</v>
      </c>
      <c r="L791" s="87" t="b">
        <v>0</v>
      </c>
    </row>
    <row r="792" spans="1:12" ht="15">
      <c r="A792" s="88" t="s">
        <v>1819</v>
      </c>
      <c r="B792" s="87" t="s">
        <v>1455</v>
      </c>
      <c r="C792" s="87">
        <v>3</v>
      </c>
      <c r="D792" s="110">
        <v>0.007027937641960651</v>
      </c>
      <c r="E792" s="110">
        <v>1.3222192947339193</v>
      </c>
      <c r="F792" s="87" t="s">
        <v>1332</v>
      </c>
      <c r="G792" s="87" t="b">
        <v>0</v>
      </c>
      <c r="H792" s="87" t="b">
        <v>0</v>
      </c>
      <c r="I792" s="87" t="b">
        <v>0</v>
      </c>
      <c r="J792" s="87" t="b">
        <v>0</v>
      </c>
      <c r="K792" s="87" t="b">
        <v>0</v>
      </c>
      <c r="L792" s="87" t="b">
        <v>0</v>
      </c>
    </row>
    <row r="793" spans="1:12" ht="15">
      <c r="A793" s="88" t="s">
        <v>1844</v>
      </c>
      <c r="B793" s="87" t="s">
        <v>1834</v>
      </c>
      <c r="C793" s="87">
        <v>3</v>
      </c>
      <c r="D793" s="110">
        <v>0.007027937641960651</v>
      </c>
      <c r="E793" s="110">
        <v>1.91204482964487</v>
      </c>
      <c r="F793" s="87" t="s">
        <v>1332</v>
      </c>
      <c r="G793" s="87" t="b">
        <v>1</v>
      </c>
      <c r="H793" s="87" t="b">
        <v>0</v>
      </c>
      <c r="I793" s="87" t="b">
        <v>0</v>
      </c>
      <c r="J793" s="87" t="b">
        <v>0</v>
      </c>
      <c r="K793" s="87" t="b">
        <v>0</v>
      </c>
      <c r="L793" s="87" t="b">
        <v>0</v>
      </c>
    </row>
    <row r="794" spans="1:12" ht="15">
      <c r="A794" s="88" t="s">
        <v>1834</v>
      </c>
      <c r="B794" s="87" t="s">
        <v>1845</v>
      </c>
      <c r="C794" s="87">
        <v>3</v>
      </c>
      <c r="D794" s="110">
        <v>0.007027937641960651</v>
      </c>
      <c r="E794" s="110">
        <v>1.91204482964487</v>
      </c>
      <c r="F794" s="87" t="s">
        <v>1332</v>
      </c>
      <c r="G794" s="87" t="b">
        <v>0</v>
      </c>
      <c r="H794" s="87" t="b">
        <v>0</v>
      </c>
      <c r="I794" s="87" t="b">
        <v>0</v>
      </c>
      <c r="J794" s="87" t="b">
        <v>1</v>
      </c>
      <c r="K794" s="87" t="b">
        <v>0</v>
      </c>
      <c r="L794" s="87" t="b">
        <v>0</v>
      </c>
    </row>
    <row r="795" spans="1:12" ht="15">
      <c r="A795" s="88" t="s">
        <v>1845</v>
      </c>
      <c r="B795" s="87" t="s">
        <v>1462</v>
      </c>
      <c r="C795" s="87">
        <v>3</v>
      </c>
      <c r="D795" s="110">
        <v>0.007027937641960651</v>
      </c>
      <c r="E795" s="110">
        <v>1.4349235749252076</v>
      </c>
      <c r="F795" s="87" t="s">
        <v>1332</v>
      </c>
      <c r="G795" s="87" t="b">
        <v>1</v>
      </c>
      <c r="H795" s="87" t="b">
        <v>0</v>
      </c>
      <c r="I795" s="87" t="b">
        <v>0</v>
      </c>
      <c r="J795" s="87" t="b">
        <v>0</v>
      </c>
      <c r="K795" s="87" t="b">
        <v>0</v>
      </c>
      <c r="L795" s="87" t="b">
        <v>0</v>
      </c>
    </row>
    <row r="796" spans="1:12" ht="15">
      <c r="A796" s="88" t="s">
        <v>1462</v>
      </c>
      <c r="B796" s="87" t="s">
        <v>1469</v>
      </c>
      <c r="C796" s="87">
        <v>3</v>
      </c>
      <c r="D796" s="110">
        <v>0.007027937641960651</v>
      </c>
      <c r="E796" s="110">
        <v>1.1338935792612264</v>
      </c>
      <c r="F796" s="87" t="s">
        <v>1332</v>
      </c>
      <c r="G796" s="87" t="b">
        <v>0</v>
      </c>
      <c r="H796" s="87" t="b">
        <v>0</v>
      </c>
      <c r="I796" s="87" t="b">
        <v>0</v>
      </c>
      <c r="J796" s="87" t="b">
        <v>0</v>
      </c>
      <c r="K796" s="87" t="b">
        <v>0</v>
      </c>
      <c r="L796" s="87" t="b">
        <v>0</v>
      </c>
    </row>
    <row r="797" spans="1:12" ht="15">
      <c r="A797" s="88" t="s">
        <v>1469</v>
      </c>
      <c r="B797" s="87" t="s">
        <v>1437</v>
      </c>
      <c r="C797" s="87">
        <v>3</v>
      </c>
      <c r="D797" s="110">
        <v>0.007027937641960651</v>
      </c>
      <c r="E797" s="110">
        <v>0.8328635835972451</v>
      </c>
      <c r="F797" s="87" t="s">
        <v>1332</v>
      </c>
      <c r="G797" s="87" t="b">
        <v>0</v>
      </c>
      <c r="H797" s="87" t="b">
        <v>0</v>
      </c>
      <c r="I797" s="87" t="b">
        <v>0</v>
      </c>
      <c r="J797" s="87" t="b">
        <v>0</v>
      </c>
      <c r="K797" s="87" t="b">
        <v>0</v>
      </c>
      <c r="L797" s="87" t="b">
        <v>0</v>
      </c>
    </row>
    <row r="798" spans="1:12" ht="15">
      <c r="A798" s="88" t="s">
        <v>1437</v>
      </c>
      <c r="B798" s="87" t="s">
        <v>1846</v>
      </c>
      <c r="C798" s="87">
        <v>3</v>
      </c>
      <c r="D798" s="110">
        <v>0.007027937641960651</v>
      </c>
      <c r="E798" s="110">
        <v>1.1338935792612264</v>
      </c>
      <c r="F798" s="87" t="s">
        <v>1332</v>
      </c>
      <c r="G798" s="87" t="b">
        <v>0</v>
      </c>
      <c r="H798" s="87" t="b">
        <v>0</v>
      </c>
      <c r="I798" s="87" t="b">
        <v>0</v>
      </c>
      <c r="J798" s="87" t="b">
        <v>0</v>
      </c>
      <c r="K798" s="87" t="b">
        <v>0</v>
      </c>
      <c r="L798" s="87" t="b">
        <v>0</v>
      </c>
    </row>
    <row r="799" spans="1:12" ht="15">
      <c r="A799" s="88" t="s">
        <v>1846</v>
      </c>
      <c r="B799" s="87" t="s">
        <v>1847</v>
      </c>
      <c r="C799" s="87">
        <v>3</v>
      </c>
      <c r="D799" s="110">
        <v>0.007027937641960651</v>
      </c>
      <c r="E799" s="110">
        <v>1.91204482964487</v>
      </c>
      <c r="F799" s="87" t="s">
        <v>1332</v>
      </c>
      <c r="G799" s="87" t="b">
        <v>0</v>
      </c>
      <c r="H799" s="87" t="b">
        <v>0</v>
      </c>
      <c r="I799" s="87" t="b">
        <v>0</v>
      </c>
      <c r="J799" s="87" t="b">
        <v>0</v>
      </c>
      <c r="K799" s="87" t="b">
        <v>0</v>
      </c>
      <c r="L799" s="87" t="b">
        <v>0</v>
      </c>
    </row>
    <row r="800" spans="1:12" ht="15">
      <c r="A800" s="88" t="s">
        <v>1847</v>
      </c>
      <c r="B800" s="87" t="s">
        <v>1848</v>
      </c>
      <c r="C800" s="87">
        <v>3</v>
      </c>
      <c r="D800" s="110">
        <v>0.007027937641960651</v>
      </c>
      <c r="E800" s="110">
        <v>1.91204482964487</v>
      </c>
      <c r="F800" s="87" t="s">
        <v>1332</v>
      </c>
      <c r="G800" s="87" t="b">
        <v>0</v>
      </c>
      <c r="H800" s="87" t="b">
        <v>0</v>
      </c>
      <c r="I800" s="87" t="b">
        <v>0</v>
      </c>
      <c r="J800" s="87" t="b">
        <v>0</v>
      </c>
      <c r="K800" s="87" t="b">
        <v>0</v>
      </c>
      <c r="L800" s="87" t="b">
        <v>0</v>
      </c>
    </row>
    <row r="801" spans="1:12" ht="15">
      <c r="A801" s="88" t="s">
        <v>1848</v>
      </c>
      <c r="B801" s="87" t="s">
        <v>1849</v>
      </c>
      <c r="C801" s="87">
        <v>3</v>
      </c>
      <c r="D801" s="110">
        <v>0.007027937641960651</v>
      </c>
      <c r="E801" s="110">
        <v>1.91204482964487</v>
      </c>
      <c r="F801" s="87" t="s">
        <v>1332</v>
      </c>
      <c r="G801" s="87" t="b">
        <v>0</v>
      </c>
      <c r="H801" s="87" t="b">
        <v>0</v>
      </c>
      <c r="I801" s="87" t="b">
        <v>0</v>
      </c>
      <c r="J801" s="87" t="b">
        <v>0</v>
      </c>
      <c r="K801" s="87" t="b">
        <v>0</v>
      </c>
      <c r="L801" s="87" t="b">
        <v>0</v>
      </c>
    </row>
    <row r="802" spans="1:12" ht="15">
      <c r="A802" s="88" t="s">
        <v>1849</v>
      </c>
      <c r="B802" s="87" t="s">
        <v>1850</v>
      </c>
      <c r="C802" s="87">
        <v>3</v>
      </c>
      <c r="D802" s="110">
        <v>0.007027937641960651</v>
      </c>
      <c r="E802" s="110">
        <v>1.91204482964487</v>
      </c>
      <c r="F802" s="87" t="s">
        <v>1332</v>
      </c>
      <c r="G802" s="87" t="b">
        <v>0</v>
      </c>
      <c r="H802" s="87" t="b">
        <v>0</v>
      </c>
      <c r="I802" s="87" t="b">
        <v>0</v>
      </c>
      <c r="J802" s="87" t="b">
        <v>0</v>
      </c>
      <c r="K802" s="87" t="b">
        <v>0</v>
      </c>
      <c r="L802" s="87" t="b">
        <v>0</v>
      </c>
    </row>
    <row r="803" spans="1:12" ht="15">
      <c r="A803" s="88" t="s">
        <v>1850</v>
      </c>
      <c r="B803" s="87" t="s">
        <v>1851</v>
      </c>
      <c r="C803" s="87">
        <v>3</v>
      </c>
      <c r="D803" s="110">
        <v>0.007027937641960651</v>
      </c>
      <c r="E803" s="110">
        <v>1.91204482964487</v>
      </c>
      <c r="F803" s="87" t="s">
        <v>1332</v>
      </c>
      <c r="G803" s="87" t="b">
        <v>0</v>
      </c>
      <c r="H803" s="87" t="b">
        <v>0</v>
      </c>
      <c r="I803" s="87" t="b">
        <v>0</v>
      </c>
      <c r="J803" s="87" t="b">
        <v>0</v>
      </c>
      <c r="K803" s="87" t="b">
        <v>0</v>
      </c>
      <c r="L803" s="87" t="b">
        <v>0</v>
      </c>
    </row>
    <row r="804" spans="1:12" ht="15">
      <c r="A804" s="88" t="s">
        <v>1851</v>
      </c>
      <c r="B804" s="87" t="s">
        <v>1852</v>
      </c>
      <c r="C804" s="87">
        <v>3</v>
      </c>
      <c r="D804" s="110">
        <v>0.007027937641960651</v>
      </c>
      <c r="E804" s="110">
        <v>1.91204482964487</v>
      </c>
      <c r="F804" s="87" t="s">
        <v>1332</v>
      </c>
      <c r="G804" s="87" t="b">
        <v>0</v>
      </c>
      <c r="H804" s="87" t="b">
        <v>0</v>
      </c>
      <c r="I804" s="87" t="b">
        <v>0</v>
      </c>
      <c r="J804" s="87" t="b">
        <v>0</v>
      </c>
      <c r="K804" s="87" t="b">
        <v>0</v>
      </c>
      <c r="L804" s="87" t="b">
        <v>0</v>
      </c>
    </row>
    <row r="805" spans="1:12" ht="15">
      <c r="A805" s="88" t="s">
        <v>1453</v>
      </c>
      <c r="B805" s="87" t="s">
        <v>1923</v>
      </c>
      <c r="C805" s="87">
        <v>3</v>
      </c>
      <c r="D805" s="110">
        <v>0.007027937641960651</v>
      </c>
      <c r="E805" s="110">
        <v>1.3099848383169077</v>
      </c>
      <c r="F805" s="87" t="s">
        <v>1332</v>
      </c>
      <c r="G805" s="87" t="b">
        <v>0</v>
      </c>
      <c r="H805" s="87" t="b">
        <v>0</v>
      </c>
      <c r="I805" s="87" t="b">
        <v>0</v>
      </c>
      <c r="J805" s="87" t="b">
        <v>0</v>
      </c>
      <c r="K805" s="87" t="b">
        <v>0</v>
      </c>
      <c r="L805" s="87" t="b">
        <v>0</v>
      </c>
    </row>
    <row r="806" spans="1:12" ht="15">
      <c r="A806" s="88" t="s">
        <v>1923</v>
      </c>
      <c r="B806" s="87" t="s">
        <v>1860</v>
      </c>
      <c r="C806" s="87">
        <v>3</v>
      </c>
      <c r="D806" s="110">
        <v>0.007027937641960651</v>
      </c>
      <c r="E806" s="110">
        <v>1.91204482964487</v>
      </c>
      <c r="F806" s="87" t="s">
        <v>1332</v>
      </c>
      <c r="G806" s="87" t="b">
        <v>0</v>
      </c>
      <c r="H806" s="87" t="b">
        <v>0</v>
      </c>
      <c r="I806" s="87" t="b">
        <v>0</v>
      </c>
      <c r="J806" s="87" t="b">
        <v>0</v>
      </c>
      <c r="K806" s="87" t="b">
        <v>0</v>
      </c>
      <c r="L806" s="87" t="b">
        <v>0</v>
      </c>
    </row>
    <row r="807" spans="1:12" ht="15">
      <c r="A807" s="88" t="s">
        <v>1860</v>
      </c>
      <c r="B807" s="87" t="s">
        <v>1924</v>
      </c>
      <c r="C807" s="87">
        <v>3</v>
      </c>
      <c r="D807" s="110">
        <v>0.007027937641960651</v>
      </c>
      <c r="E807" s="110">
        <v>1.91204482964487</v>
      </c>
      <c r="F807" s="87" t="s">
        <v>1332</v>
      </c>
      <c r="G807" s="87" t="b">
        <v>0</v>
      </c>
      <c r="H807" s="87" t="b">
        <v>0</v>
      </c>
      <c r="I807" s="87" t="b">
        <v>0</v>
      </c>
      <c r="J807" s="87" t="b">
        <v>1</v>
      </c>
      <c r="K807" s="87" t="b">
        <v>0</v>
      </c>
      <c r="L807" s="87" t="b">
        <v>0</v>
      </c>
    </row>
    <row r="808" spans="1:12" ht="15">
      <c r="A808" s="88" t="s">
        <v>1924</v>
      </c>
      <c r="B808" s="87" t="s">
        <v>1469</v>
      </c>
      <c r="C808" s="87">
        <v>3</v>
      </c>
      <c r="D808" s="110">
        <v>0.007027937641960651</v>
      </c>
      <c r="E808" s="110">
        <v>1.611014833980889</v>
      </c>
      <c r="F808" s="87" t="s">
        <v>1332</v>
      </c>
      <c r="G808" s="87" t="b">
        <v>1</v>
      </c>
      <c r="H808" s="87" t="b">
        <v>0</v>
      </c>
      <c r="I808" s="87" t="b">
        <v>0</v>
      </c>
      <c r="J808" s="87" t="b">
        <v>0</v>
      </c>
      <c r="K808" s="87" t="b">
        <v>0</v>
      </c>
      <c r="L808" s="87" t="b">
        <v>0</v>
      </c>
    </row>
    <row r="809" spans="1:12" ht="15">
      <c r="A809" s="88" t="s">
        <v>1469</v>
      </c>
      <c r="B809" s="87" t="s">
        <v>1462</v>
      </c>
      <c r="C809" s="87">
        <v>3</v>
      </c>
      <c r="D809" s="110">
        <v>0.007027937641960651</v>
      </c>
      <c r="E809" s="110">
        <v>1.1338935792612264</v>
      </c>
      <c r="F809" s="87" t="s">
        <v>1332</v>
      </c>
      <c r="G809" s="87" t="b">
        <v>0</v>
      </c>
      <c r="H809" s="87" t="b">
        <v>0</v>
      </c>
      <c r="I809" s="87" t="b">
        <v>0</v>
      </c>
      <c r="J809" s="87" t="b">
        <v>0</v>
      </c>
      <c r="K809" s="87" t="b">
        <v>0</v>
      </c>
      <c r="L809" s="87" t="b">
        <v>0</v>
      </c>
    </row>
    <row r="810" spans="1:12" ht="15">
      <c r="A810" s="88" t="s">
        <v>1462</v>
      </c>
      <c r="B810" s="87" t="s">
        <v>1437</v>
      </c>
      <c r="C810" s="87">
        <v>3</v>
      </c>
      <c r="D810" s="110">
        <v>0.007027937641960651</v>
      </c>
      <c r="E810" s="110">
        <v>0.6567723245415638</v>
      </c>
      <c r="F810" s="87" t="s">
        <v>1332</v>
      </c>
      <c r="G810" s="87" t="b">
        <v>0</v>
      </c>
      <c r="H810" s="87" t="b">
        <v>0</v>
      </c>
      <c r="I810" s="87" t="b">
        <v>0</v>
      </c>
      <c r="J810" s="87" t="b">
        <v>0</v>
      </c>
      <c r="K810" s="87" t="b">
        <v>0</v>
      </c>
      <c r="L810" s="87" t="b">
        <v>0</v>
      </c>
    </row>
    <row r="811" spans="1:12" ht="15">
      <c r="A811" s="88" t="s">
        <v>1437</v>
      </c>
      <c r="B811" s="87" t="s">
        <v>1863</v>
      </c>
      <c r="C811" s="87">
        <v>3</v>
      </c>
      <c r="D811" s="110">
        <v>0.007027937641960651</v>
      </c>
      <c r="E811" s="110">
        <v>1.1338935792612264</v>
      </c>
      <c r="F811" s="87" t="s">
        <v>1332</v>
      </c>
      <c r="G811" s="87" t="b">
        <v>0</v>
      </c>
      <c r="H811" s="87" t="b">
        <v>0</v>
      </c>
      <c r="I811" s="87" t="b">
        <v>0</v>
      </c>
      <c r="J811" s="87" t="b">
        <v>0</v>
      </c>
      <c r="K811" s="87" t="b">
        <v>0</v>
      </c>
      <c r="L811" s="87" t="b">
        <v>0</v>
      </c>
    </row>
    <row r="812" spans="1:12" ht="15">
      <c r="A812" s="88" t="s">
        <v>1863</v>
      </c>
      <c r="B812" s="87" t="s">
        <v>1456</v>
      </c>
      <c r="C812" s="87">
        <v>3</v>
      </c>
      <c r="D812" s="110">
        <v>0.007027937641960651</v>
      </c>
      <c r="E812" s="110">
        <v>1.78710609303657</v>
      </c>
      <c r="F812" s="87" t="s">
        <v>1332</v>
      </c>
      <c r="G812" s="87" t="b">
        <v>0</v>
      </c>
      <c r="H812" s="87" t="b">
        <v>0</v>
      </c>
      <c r="I812" s="87" t="b">
        <v>0</v>
      </c>
      <c r="J812" s="87" t="b">
        <v>0</v>
      </c>
      <c r="K812" s="87" t="b">
        <v>0</v>
      </c>
      <c r="L812" s="87" t="b">
        <v>0</v>
      </c>
    </row>
    <row r="813" spans="1:12" ht="15">
      <c r="A813" s="88" t="s">
        <v>1456</v>
      </c>
      <c r="B813" s="87" t="s">
        <v>1827</v>
      </c>
      <c r="C813" s="87">
        <v>3</v>
      </c>
      <c r="D813" s="110">
        <v>0.007027937641960651</v>
      </c>
      <c r="E813" s="110">
        <v>1.5440680443502757</v>
      </c>
      <c r="F813" s="87" t="s">
        <v>1332</v>
      </c>
      <c r="G813" s="87" t="b">
        <v>0</v>
      </c>
      <c r="H813" s="87" t="b">
        <v>0</v>
      </c>
      <c r="I813" s="87" t="b">
        <v>0</v>
      </c>
      <c r="J813" s="87" t="b">
        <v>0</v>
      </c>
      <c r="K813" s="87" t="b">
        <v>0</v>
      </c>
      <c r="L813" s="87" t="b">
        <v>0</v>
      </c>
    </row>
    <row r="814" spans="1:12" ht="15">
      <c r="A814" s="88" t="s">
        <v>1827</v>
      </c>
      <c r="B814" s="87" t="s">
        <v>272</v>
      </c>
      <c r="C814" s="87">
        <v>3</v>
      </c>
      <c r="D814" s="110">
        <v>0.007027937641960651</v>
      </c>
      <c r="E814" s="110">
        <v>1.91204482964487</v>
      </c>
      <c r="F814" s="87" t="s">
        <v>1332</v>
      </c>
      <c r="G814" s="87" t="b">
        <v>0</v>
      </c>
      <c r="H814" s="87" t="b">
        <v>0</v>
      </c>
      <c r="I814" s="87" t="b">
        <v>0</v>
      </c>
      <c r="J814" s="87" t="b">
        <v>0</v>
      </c>
      <c r="K814" s="87" t="b">
        <v>0</v>
      </c>
      <c r="L814" s="87" t="b">
        <v>0</v>
      </c>
    </row>
    <row r="815" spans="1:12" ht="15">
      <c r="A815" s="88" t="s">
        <v>272</v>
      </c>
      <c r="B815" s="87" t="s">
        <v>1493</v>
      </c>
      <c r="C815" s="87">
        <v>3</v>
      </c>
      <c r="D815" s="110">
        <v>0.007027937641960651</v>
      </c>
      <c r="E815" s="110">
        <v>1.91204482964487</v>
      </c>
      <c r="F815" s="87" t="s">
        <v>1332</v>
      </c>
      <c r="G815" s="87" t="b">
        <v>0</v>
      </c>
      <c r="H815" s="87" t="b">
        <v>0</v>
      </c>
      <c r="I815" s="87" t="b">
        <v>0</v>
      </c>
      <c r="J815" s="87" t="b">
        <v>0</v>
      </c>
      <c r="K815" s="87" t="b">
        <v>0</v>
      </c>
      <c r="L815" s="87" t="b">
        <v>0</v>
      </c>
    </row>
    <row r="816" spans="1:12" ht="15">
      <c r="A816" s="88" t="s">
        <v>1493</v>
      </c>
      <c r="B816" s="87" t="s">
        <v>1437</v>
      </c>
      <c r="C816" s="87">
        <v>3</v>
      </c>
      <c r="D816" s="110">
        <v>0.007027937641960651</v>
      </c>
      <c r="E816" s="110">
        <v>1.1338935792612264</v>
      </c>
      <c r="F816" s="87" t="s">
        <v>1332</v>
      </c>
      <c r="G816" s="87" t="b">
        <v>0</v>
      </c>
      <c r="H816" s="87" t="b">
        <v>0</v>
      </c>
      <c r="I816" s="87" t="b">
        <v>0</v>
      </c>
      <c r="J816" s="87" t="b">
        <v>0</v>
      </c>
      <c r="K816" s="87" t="b">
        <v>0</v>
      </c>
      <c r="L816" s="87" t="b">
        <v>0</v>
      </c>
    </row>
    <row r="817" spans="1:12" ht="15">
      <c r="A817" s="88" t="s">
        <v>1446</v>
      </c>
      <c r="B817" s="87" t="s">
        <v>273</v>
      </c>
      <c r="C817" s="87">
        <v>3</v>
      </c>
      <c r="D817" s="110">
        <v>0.007027937641960651</v>
      </c>
      <c r="E817" s="110">
        <v>1.4860760973725888</v>
      </c>
      <c r="F817" s="87" t="s">
        <v>1332</v>
      </c>
      <c r="G817" s="87" t="b">
        <v>0</v>
      </c>
      <c r="H817" s="87" t="b">
        <v>0</v>
      </c>
      <c r="I817" s="87" t="b">
        <v>0</v>
      </c>
      <c r="J817" s="87" t="b">
        <v>0</v>
      </c>
      <c r="K817" s="87" t="b">
        <v>0</v>
      </c>
      <c r="L817" s="87" t="b">
        <v>0</v>
      </c>
    </row>
    <row r="818" spans="1:12" ht="15">
      <c r="A818" s="88" t="s">
        <v>273</v>
      </c>
      <c r="B818" s="87" t="s">
        <v>1880</v>
      </c>
      <c r="C818" s="87">
        <v>3</v>
      </c>
      <c r="D818" s="110">
        <v>0.007027937641960651</v>
      </c>
      <c r="E818" s="110">
        <v>1.91204482964487</v>
      </c>
      <c r="F818" s="87" t="s">
        <v>1332</v>
      </c>
      <c r="G818" s="87" t="b">
        <v>0</v>
      </c>
      <c r="H818" s="87" t="b">
        <v>0</v>
      </c>
      <c r="I818" s="87" t="b">
        <v>0</v>
      </c>
      <c r="J818" s="87" t="b">
        <v>0</v>
      </c>
      <c r="K818" s="87" t="b">
        <v>0</v>
      </c>
      <c r="L818" s="87" t="b">
        <v>0</v>
      </c>
    </row>
    <row r="819" spans="1:12" ht="15">
      <c r="A819" s="88" t="s">
        <v>1880</v>
      </c>
      <c r="B819" s="87" t="s">
        <v>1455</v>
      </c>
      <c r="C819" s="87">
        <v>3</v>
      </c>
      <c r="D819" s="110">
        <v>0.007027937641960651</v>
      </c>
      <c r="E819" s="110">
        <v>1.5440680443502757</v>
      </c>
      <c r="F819" s="87" t="s">
        <v>1332</v>
      </c>
      <c r="G819" s="87" t="b">
        <v>0</v>
      </c>
      <c r="H819" s="87" t="b">
        <v>0</v>
      </c>
      <c r="I819" s="87" t="b">
        <v>0</v>
      </c>
      <c r="J819" s="87" t="b">
        <v>0</v>
      </c>
      <c r="K819" s="87" t="b">
        <v>0</v>
      </c>
      <c r="L819" s="87" t="b">
        <v>0</v>
      </c>
    </row>
    <row r="820" spans="1:12" ht="15">
      <c r="A820" s="88" t="s">
        <v>1453</v>
      </c>
      <c r="B820" s="87" t="s">
        <v>1936</v>
      </c>
      <c r="C820" s="87">
        <v>2</v>
      </c>
      <c r="D820" s="110">
        <v>0.006055651753958316</v>
      </c>
      <c r="E820" s="110">
        <v>1.3099848383169077</v>
      </c>
      <c r="F820" s="87" t="s">
        <v>1332</v>
      </c>
      <c r="G820" s="87" t="b">
        <v>0</v>
      </c>
      <c r="H820" s="87" t="b">
        <v>0</v>
      </c>
      <c r="I820" s="87" t="b">
        <v>0</v>
      </c>
      <c r="J820" s="87" t="b">
        <v>0</v>
      </c>
      <c r="K820" s="87" t="b">
        <v>0</v>
      </c>
      <c r="L820" s="87" t="b">
        <v>0</v>
      </c>
    </row>
    <row r="821" spans="1:12" ht="15">
      <c r="A821" s="88" t="s">
        <v>1936</v>
      </c>
      <c r="B821" s="87" t="s">
        <v>1937</v>
      </c>
      <c r="C821" s="87">
        <v>2</v>
      </c>
      <c r="D821" s="110">
        <v>0.006055651753958316</v>
      </c>
      <c r="E821" s="110">
        <v>2.0881360887005513</v>
      </c>
      <c r="F821" s="87" t="s">
        <v>1332</v>
      </c>
      <c r="G821" s="87" t="b">
        <v>0</v>
      </c>
      <c r="H821" s="87" t="b">
        <v>0</v>
      </c>
      <c r="I821" s="87" t="b">
        <v>0</v>
      </c>
      <c r="J821" s="87" t="b">
        <v>0</v>
      </c>
      <c r="K821" s="87" t="b">
        <v>0</v>
      </c>
      <c r="L821" s="87" t="b">
        <v>0</v>
      </c>
    </row>
    <row r="822" spans="1:12" ht="15">
      <c r="A822" s="88" t="s">
        <v>1937</v>
      </c>
      <c r="B822" s="87" t="s">
        <v>1938</v>
      </c>
      <c r="C822" s="87">
        <v>2</v>
      </c>
      <c r="D822" s="110">
        <v>0.006055651753958316</v>
      </c>
      <c r="E822" s="110">
        <v>2.0881360887005513</v>
      </c>
      <c r="F822" s="87" t="s">
        <v>1332</v>
      </c>
      <c r="G822" s="87" t="b">
        <v>0</v>
      </c>
      <c r="H822" s="87" t="b">
        <v>0</v>
      </c>
      <c r="I822" s="87" t="b">
        <v>0</v>
      </c>
      <c r="J822" s="87" t="b">
        <v>0</v>
      </c>
      <c r="K822" s="87" t="b">
        <v>0</v>
      </c>
      <c r="L822" s="87" t="b">
        <v>0</v>
      </c>
    </row>
    <row r="823" spans="1:12" ht="15">
      <c r="A823" s="88" t="s">
        <v>1938</v>
      </c>
      <c r="B823" s="87" t="s">
        <v>1820</v>
      </c>
      <c r="C823" s="87">
        <v>2</v>
      </c>
      <c r="D823" s="110">
        <v>0.006055651753958316</v>
      </c>
      <c r="E823" s="110">
        <v>1.6901960800285136</v>
      </c>
      <c r="F823" s="87" t="s">
        <v>1332</v>
      </c>
      <c r="G823" s="87" t="b">
        <v>0</v>
      </c>
      <c r="H823" s="87" t="b">
        <v>0</v>
      </c>
      <c r="I823" s="87" t="b">
        <v>0</v>
      </c>
      <c r="J823" s="87" t="b">
        <v>0</v>
      </c>
      <c r="K823" s="87" t="b">
        <v>0</v>
      </c>
      <c r="L823" s="87" t="b">
        <v>0</v>
      </c>
    </row>
    <row r="824" spans="1:12" ht="15">
      <c r="A824" s="88" t="s">
        <v>1820</v>
      </c>
      <c r="B824" s="87" t="s">
        <v>1830</v>
      </c>
      <c r="C824" s="87">
        <v>2</v>
      </c>
      <c r="D824" s="110">
        <v>0.006055651753958316</v>
      </c>
      <c r="E824" s="110">
        <v>1.6901960800285136</v>
      </c>
      <c r="F824" s="87" t="s">
        <v>1332</v>
      </c>
      <c r="G824" s="87" t="b">
        <v>0</v>
      </c>
      <c r="H824" s="87" t="b">
        <v>0</v>
      </c>
      <c r="I824" s="87" t="b">
        <v>0</v>
      </c>
      <c r="J824" s="87" t="b">
        <v>0</v>
      </c>
      <c r="K824" s="87" t="b">
        <v>0</v>
      </c>
      <c r="L824" s="87" t="b">
        <v>0</v>
      </c>
    </row>
    <row r="825" spans="1:12" ht="15">
      <c r="A825" s="88" t="s">
        <v>1830</v>
      </c>
      <c r="B825" s="87" t="s">
        <v>1437</v>
      </c>
      <c r="C825" s="87">
        <v>2</v>
      </c>
      <c r="D825" s="110">
        <v>0.006055651753958316</v>
      </c>
      <c r="E825" s="110">
        <v>1.1338935792612264</v>
      </c>
      <c r="F825" s="87" t="s">
        <v>1332</v>
      </c>
      <c r="G825" s="87" t="b">
        <v>0</v>
      </c>
      <c r="H825" s="87" t="b">
        <v>0</v>
      </c>
      <c r="I825" s="87" t="b">
        <v>0</v>
      </c>
      <c r="J825" s="87" t="b">
        <v>0</v>
      </c>
      <c r="K825" s="87" t="b">
        <v>0</v>
      </c>
      <c r="L825" s="87" t="b">
        <v>0</v>
      </c>
    </row>
    <row r="826" spans="1:12" ht="15">
      <c r="A826" s="88" t="s">
        <v>1819</v>
      </c>
      <c r="B826" s="87" t="s">
        <v>1844</v>
      </c>
      <c r="C826" s="87">
        <v>2</v>
      </c>
      <c r="D826" s="110">
        <v>0.006055651753958316</v>
      </c>
      <c r="E826" s="110">
        <v>1.5141048209728325</v>
      </c>
      <c r="F826" s="87" t="s">
        <v>1332</v>
      </c>
      <c r="G826" s="87" t="b">
        <v>0</v>
      </c>
      <c r="H826" s="87" t="b">
        <v>0</v>
      </c>
      <c r="I826" s="87" t="b">
        <v>0</v>
      </c>
      <c r="J826" s="87" t="b">
        <v>1</v>
      </c>
      <c r="K826" s="87" t="b">
        <v>0</v>
      </c>
      <c r="L826" s="87" t="b">
        <v>0</v>
      </c>
    </row>
    <row r="827" spans="1:12" ht="15">
      <c r="A827" s="88" t="s">
        <v>1852</v>
      </c>
      <c r="B827" s="87" t="s">
        <v>1454</v>
      </c>
      <c r="C827" s="87">
        <v>2</v>
      </c>
      <c r="D827" s="110">
        <v>0.006055651753958316</v>
      </c>
      <c r="E827" s="110">
        <v>1.1338935792612266</v>
      </c>
      <c r="F827" s="87" t="s">
        <v>1332</v>
      </c>
      <c r="G827" s="87" t="b">
        <v>0</v>
      </c>
      <c r="H827" s="87" t="b">
        <v>0</v>
      </c>
      <c r="I827" s="87" t="b">
        <v>0</v>
      </c>
      <c r="J827" s="87" t="b">
        <v>0</v>
      </c>
      <c r="K827" s="87" t="b">
        <v>0</v>
      </c>
      <c r="L827" s="87" t="b">
        <v>0</v>
      </c>
    </row>
    <row r="828" spans="1:12" ht="15">
      <c r="A828" s="88" t="s">
        <v>2000</v>
      </c>
      <c r="B828" s="87" t="s">
        <v>2001</v>
      </c>
      <c r="C828" s="87">
        <v>2</v>
      </c>
      <c r="D828" s="110">
        <v>0.006055651753958316</v>
      </c>
      <c r="E828" s="110">
        <v>2.0881360887005513</v>
      </c>
      <c r="F828" s="87" t="s">
        <v>1332</v>
      </c>
      <c r="G828" s="87" t="b">
        <v>0</v>
      </c>
      <c r="H828" s="87" t="b">
        <v>0</v>
      </c>
      <c r="I828" s="87" t="b">
        <v>0</v>
      </c>
      <c r="J828" s="87" t="b">
        <v>0</v>
      </c>
      <c r="K828" s="87" t="b">
        <v>0</v>
      </c>
      <c r="L828" s="87" t="b">
        <v>0</v>
      </c>
    </row>
    <row r="829" spans="1:12" ht="15">
      <c r="A829" s="88" t="s">
        <v>2001</v>
      </c>
      <c r="B829" s="87" t="s">
        <v>1871</v>
      </c>
      <c r="C829" s="87">
        <v>2</v>
      </c>
      <c r="D829" s="110">
        <v>0.006055651753958316</v>
      </c>
      <c r="E829" s="110">
        <v>2.0881360887005513</v>
      </c>
      <c r="F829" s="87" t="s">
        <v>1332</v>
      </c>
      <c r="G829" s="87" t="b">
        <v>0</v>
      </c>
      <c r="H829" s="87" t="b">
        <v>0</v>
      </c>
      <c r="I829" s="87" t="b">
        <v>0</v>
      </c>
      <c r="J829" s="87" t="b">
        <v>0</v>
      </c>
      <c r="K829" s="87" t="b">
        <v>0</v>
      </c>
      <c r="L829" s="87" t="b">
        <v>0</v>
      </c>
    </row>
    <row r="830" spans="1:12" ht="15">
      <c r="A830" s="88" t="s">
        <v>1871</v>
      </c>
      <c r="B830" s="87" t="s">
        <v>1872</v>
      </c>
      <c r="C830" s="87">
        <v>2</v>
      </c>
      <c r="D830" s="110">
        <v>0.006055651753958316</v>
      </c>
      <c r="E830" s="110">
        <v>2.0881360887005513</v>
      </c>
      <c r="F830" s="87" t="s">
        <v>1332</v>
      </c>
      <c r="G830" s="87" t="b">
        <v>0</v>
      </c>
      <c r="H830" s="87" t="b">
        <v>0</v>
      </c>
      <c r="I830" s="87" t="b">
        <v>0</v>
      </c>
      <c r="J830" s="87" t="b">
        <v>0</v>
      </c>
      <c r="K830" s="87" t="b">
        <v>0</v>
      </c>
      <c r="L830" s="87" t="b">
        <v>0</v>
      </c>
    </row>
    <row r="831" spans="1:12" ht="15">
      <c r="A831" s="88" t="s">
        <v>1872</v>
      </c>
      <c r="B831" s="87" t="s">
        <v>2002</v>
      </c>
      <c r="C831" s="87">
        <v>2</v>
      </c>
      <c r="D831" s="110">
        <v>0.006055651753958316</v>
      </c>
      <c r="E831" s="110">
        <v>2.0881360887005513</v>
      </c>
      <c r="F831" s="87" t="s">
        <v>1332</v>
      </c>
      <c r="G831" s="87" t="b">
        <v>0</v>
      </c>
      <c r="H831" s="87" t="b">
        <v>0</v>
      </c>
      <c r="I831" s="87" t="b">
        <v>0</v>
      </c>
      <c r="J831" s="87" t="b">
        <v>0</v>
      </c>
      <c r="K831" s="87" t="b">
        <v>0</v>
      </c>
      <c r="L831" s="87" t="b">
        <v>0</v>
      </c>
    </row>
    <row r="832" spans="1:12" ht="15">
      <c r="A832" s="88" t="s">
        <v>2002</v>
      </c>
      <c r="B832" s="87" t="s">
        <v>1453</v>
      </c>
      <c r="C832" s="87">
        <v>2</v>
      </c>
      <c r="D832" s="110">
        <v>0.006055651753958316</v>
      </c>
      <c r="E832" s="110">
        <v>1.6901960800285136</v>
      </c>
      <c r="F832" s="87" t="s">
        <v>1332</v>
      </c>
      <c r="G832" s="87" t="b">
        <v>0</v>
      </c>
      <c r="H832" s="87" t="b">
        <v>0</v>
      </c>
      <c r="I832" s="87" t="b">
        <v>0</v>
      </c>
      <c r="J832" s="87" t="b">
        <v>0</v>
      </c>
      <c r="K832" s="87" t="b">
        <v>0</v>
      </c>
      <c r="L832" s="87" t="b">
        <v>0</v>
      </c>
    </row>
    <row r="833" spans="1:12" ht="15">
      <c r="A833" s="88" t="s">
        <v>1453</v>
      </c>
      <c r="B833" s="87" t="s">
        <v>1454</v>
      </c>
      <c r="C833" s="87">
        <v>2</v>
      </c>
      <c r="D833" s="110">
        <v>0.006055651753958316</v>
      </c>
      <c r="E833" s="110">
        <v>0.5318335879332641</v>
      </c>
      <c r="F833" s="87" t="s">
        <v>1332</v>
      </c>
      <c r="G833" s="87" t="b">
        <v>0</v>
      </c>
      <c r="H833" s="87" t="b">
        <v>0</v>
      </c>
      <c r="I833" s="87" t="b">
        <v>0</v>
      </c>
      <c r="J833" s="87" t="b">
        <v>0</v>
      </c>
      <c r="K833" s="87" t="b">
        <v>0</v>
      </c>
      <c r="L833" s="87" t="b">
        <v>0</v>
      </c>
    </row>
    <row r="834" spans="1:12" ht="15">
      <c r="A834" s="88" t="s">
        <v>1458</v>
      </c>
      <c r="B834" s="87" t="s">
        <v>271</v>
      </c>
      <c r="C834" s="87">
        <v>2</v>
      </c>
      <c r="D834" s="110">
        <v>0.006055651753958316</v>
      </c>
      <c r="E834" s="110">
        <v>1.91204482964487</v>
      </c>
      <c r="F834" s="87" t="s">
        <v>1332</v>
      </c>
      <c r="G834" s="87" t="b">
        <v>0</v>
      </c>
      <c r="H834" s="87" t="b">
        <v>0</v>
      </c>
      <c r="I834" s="87" t="b">
        <v>0</v>
      </c>
      <c r="J834" s="87" t="b">
        <v>0</v>
      </c>
      <c r="K834" s="87" t="b">
        <v>0</v>
      </c>
      <c r="L834" s="87" t="b">
        <v>0</v>
      </c>
    </row>
    <row r="835" spans="1:12" ht="15">
      <c r="A835" s="88" t="s">
        <v>271</v>
      </c>
      <c r="B835" s="87" t="s">
        <v>283</v>
      </c>
      <c r="C835" s="87">
        <v>2</v>
      </c>
      <c r="D835" s="110">
        <v>0.006055651753958316</v>
      </c>
      <c r="E835" s="110">
        <v>1.91204482964487</v>
      </c>
      <c r="F835" s="87" t="s">
        <v>1332</v>
      </c>
      <c r="G835" s="87" t="b">
        <v>0</v>
      </c>
      <c r="H835" s="87" t="b">
        <v>0</v>
      </c>
      <c r="I835" s="87" t="b">
        <v>0</v>
      </c>
      <c r="J835" s="87" t="b">
        <v>0</v>
      </c>
      <c r="K835" s="87" t="b">
        <v>0</v>
      </c>
      <c r="L835" s="87" t="b">
        <v>0</v>
      </c>
    </row>
    <row r="836" spans="1:12" ht="15">
      <c r="A836" s="88" t="s">
        <v>283</v>
      </c>
      <c r="B836" s="87" t="s">
        <v>2003</v>
      </c>
      <c r="C836" s="87">
        <v>2</v>
      </c>
      <c r="D836" s="110">
        <v>0.006055651753958316</v>
      </c>
      <c r="E836" s="110">
        <v>1.91204482964487</v>
      </c>
      <c r="F836" s="87" t="s">
        <v>1332</v>
      </c>
      <c r="G836" s="87" t="b">
        <v>0</v>
      </c>
      <c r="H836" s="87" t="b">
        <v>0</v>
      </c>
      <c r="I836" s="87" t="b">
        <v>0</v>
      </c>
      <c r="J836" s="87" t="b">
        <v>0</v>
      </c>
      <c r="K836" s="87" t="b">
        <v>0</v>
      </c>
      <c r="L836" s="87" t="b">
        <v>0</v>
      </c>
    </row>
    <row r="837" spans="1:12" ht="15">
      <c r="A837" s="88" t="s">
        <v>2003</v>
      </c>
      <c r="B837" s="87" t="s">
        <v>2004</v>
      </c>
      <c r="C837" s="87">
        <v>2</v>
      </c>
      <c r="D837" s="110">
        <v>0.006055651753958316</v>
      </c>
      <c r="E837" s="110">
        <v>2.0881360887005513</v>
      </c>
      <c r="F837" s="87" t="s">
        <v>1332</v>
      </c>
      <c r="G837" s="87" t="b">
        <v>0</v>
      </c>
      <c r="H837" s="87" t="b">
        <v>0</v>
      </c>
      <c r="I837" s="87" t="b">
        <v>0</v>
      </c>
      <c r="J837" s="87" t="b">
        <v>0</v>
      </c>
      <c r="K837" s="87" t="b">
        <v>0</v>
      </c>
      <c r="L837" s="87" t="b">
        <v>0</v>
      </c>
    </row>
    <row r="838" spans="1:12" ht="15">
      <c r="A838" s="88" t="s">
        <v>2004</v>
      </c>
      <c r="B838" s="87" t="s">
        <v>2005</v>
      </c>
      <c r="C838" s="87">
        <v>2</v>
      </c>
      <c r="D838" s="110">
        <v>0.006055651753958316</v>
      </c>
      <c r="E838" s="110">
        <v>2.0881360887005513</v>
      </c>
      <c r="F838" s="87" t="s">
        <v>1332</v>
      </c>
      <c r="G838" s="87" t="b">
        <v>0</v>
      </c>
      <c r="H838" s="87" t="b">
        <v>0</v>
      </c>
      <c r="I838" s="87" t="b">
        <v>0</v>
      </c>
      <c r="J838" s="87" t="b">
        <v>0</v>
      </c>
      <c r="K838" s="87" t="b">
        <v>0</v>
      </c>
      <c r="L838" s="87" t="b">
        <v>0</v>
      </c>
    </row>
    <row r="839" spans="1:12" ht="15">
      <c r="A839" s="88" t="s">
        <v>2005</v>
      </c>
      <c r="B839" s="87" t="s">
        <v>2006</v>
      </c>
      <c r="C839" s="87">
        <v>2</v>
      </c>
      <c r="D839" s="110">
        <v>0.006055651753958316</v>
      </c>
      <c r="E839" s="110">
        <v>2.0881360887005513</v>
      </c>
      <c r="F839" s="87" t="s">
        <v>1332</v>
      </c>
      <c r="G839" s="87" t="b">
        <v>0</v>
      </c>
      <c r="H839" s="87" t="b">
        <v>0</v>
      </c>
      <c r="I839" s="87" t="b">
        <v>0</v>
      </c>
      <c r="J839" s="87" t="b">
        <v>0</v>
      </c>
      <c r="K839" s="87" t="b">
        <v>0</v>
      </c>
      <c r="L839" s="87" t="b">
        <v>0</v>
      </c>
    </row>
    <row r="840" spans="1:12" ht="15">
      <c r="A840" s="88" t="s">
        <v>2006</v>
      </c>
      <c r="B840" s="87" t="s">
        <v>2007</v>
      </c>
      <c r="C840" s="87">
        <v>2</v>
      </c>
      <c r="D840" s="110">
        <v>0.006055651753958316</v>
      </c>
      <c r="E840" s="110">
        <v>2.0881360887005513</v>
      </c>
      <c r="F840" s="87" t="s">
        <v>1332</v>
      </c>
      <c r="G840" s="87" t="b">
        <v>0</v>
      </c>
      <c r="H840" s="87" t="b">
        <v>0</v>
      </c>
      <c r="I840" s="87" t="b">
        <v>0</v>
      </c>
      <c r="J840" s="87" t="b">
        <v>0</v>
      </c>
      <c r="K840" s="87" t="b">
        <v>0</v>
      </c>
      <c r="L840" s="87" t="b">
        <v>0</v>
      </c>
    </row>
    <row r="841" spans="1:12" ht="15">
      <c r="A841" s="88" t="s">
        <v>2007</v>
      </c>
      <c r="B841" s="87" t="s">
        <v>1437</v>
      </c>
      <c r="C841" s="87">
        <v>2</v>
      </c>
      <c r="D841" s="110">
        <v>0.006055651753958316</v>
      </c>
      <c r="E841" s="110">
        <v>1.1338935792612264</v>
      </c>
      <c r="F841" s="87" t="s">
        <v>1332</v>
      </c>
      <c r="G841" s="87" t="b">
        <v>0</v>
      </c>
      <c r="H841" s="87" t="b">
        <v>0</v>
      </c>
      <c r="I841" s="87" t="b">
        <v>0</v>
      </c>
      <c r="J841" s="87" t="b">
        <v>0</v>
      </c>
      <c r="K841" s="87" t="b">
        <v>0</v>
      </c>
      <c r="L841" s="87" t="b">
        <v>0</v>
      </c>
    </row>
    <row r="842" spans="1:12" ht="15">
      <c r="A842" s="88" t="s">
        <v>1437</v>
      </c>
      <c r="B842" s="87" t="s">
        <v>2008</v>
      </c>
      <c r="C842" s="87">
        <v>2</v>
      </c>
      <c r="D842" s="110">
        <v>0.006055651753958316</v>
      </c>
      <c r="E842" s="110">
        <v>1.1338935792612264</v>
      </c>
      <c r="F842" s="87" t="s">
        <v>1332</v>
      </c>
      <c r="G842" s="87" t="b">
        <v>0</v>
      </c>
      <c r="H842" s="87" t="b">
        <v>0</v>
      </c>
      <c r="I842" s="87" t="b">
        <v>0</v>
      </c>
      <c r="J842" s="87" t="b">
        <v>0</v>
      </c>
      <c r="K842" s="87" t="b">
        <v>0</v>
      </c>
      <c r="L842" s="87" t="b">
        <v>0</v>
      </c>
    </row>
    <row r="843" spans="1:12" ht="15">
      <c r="A843" s="88" t="s">
        <v>2008</v>
      </c>
      <c r="B843" s="87" t="s">
        <v>2009</v>
      </c>
      <c r="C843" s="87">
        <v>2</v>
      </c>
      <c r="D843" s="110">
        <v>0.006055651753958316</v>
      </c>
      <c r="E843" s="110">
        <v>2.0881360887005513</v>
      </c>
      <c r="F843" s="87" t="s">
        <v>1332</v>
      </c>
      <c r="G843" s="87" t="b">
        <v>0</v>
      </c>
      <c r="H843" s="87" t="b">
        <v>0</v>
      </c>
      <c r="I843" s="87" t="b">
        <v>0</v>
      </c>
      <c r="J843" s="87" t="b">
        <v>0</v>
      </c>
      <c r="K843" s="87" t="b">
        <v>0</v>
      </c>
      <c r="L843" s="87" t="b">
        <v>0</v>
      </c>
    </row>
    <row r="844" spans="1:12" ht="15">
      <c r="A844" s="88" t="s">
        <v>1456</v>
      </c>
      <c r="B844" s="87" t="s">
        <v>1460</v>
      </c>
      <c r="C844" s="87">
        <v>7</v>
      </c>
      <c r="D844" s="110">
        <v>0</v>
      </c>
      <c r="E844" s="110">
        <v>1.380211241711606</v>
      </c>
      <c r="F844" s="87" t="s">
        <v>1333</v>
      </c>
      <c r="G844" s="87" t="b">
        <v>0</v>
      </c>
      <c r="H844" s="87" t="b">
        <v>0</v>
      </c>
      <c r="I844" s="87" t="b">
        <v>0</v>
      </c>
      <c r="J844" s="87" t="b">
        <v>0</v>
      </c>
      <c r="K844" s="87" t="b">
        <v>0</v>
      </c>
      <c r="L844" s="87" t="b">
        <v>0</v>
      </c>
    </row>
    <row r="845" spans="1:12" ht="15">
      <c r="A845" s="88" t="s">
        <v>1460</v>
      </c>
      <c r="B845" s="87" t="s">
        <v>1472</v>
      </c>
      <c r="C845" s="87">
        <v>7</v>
      </c>
      <c r="D845" s="110">
        <v>0</v>
      </c>
      <c r="E845" s="110">
        <v>1.380211241711606</v>
      </c>
      <c r="F845" s="87" t="s">
        <v>1333</v>
      </c>
      <c r="G845" s="87" t="b">
        <v>0</v>
      </c>
      <c r="H845" s="87" t="b">
        <v>0</v>
      </c>
      <c r="I845" s="87" t="b">
        <v>0</v>
      </c>
      <c r="J845" s="87" t="b">
        <v>0</v>
      </c>
      <c r="K845" s="87" t="b">
        <v>0</v>
      </c>
      <c r="L845" s="87" t="b">
        <v>0</v>
      </c>
    </row>
    <row r="846" spans="1:12" ht="15">
      <c r="A846" s="88" t="s">
        <v>1472</v>
      </c>
      <c r="B846" s="87" t="s">
        <v>1473</v>
      </c>
      <c r="C846" s="87">
        <v>7</v>
      </c>
      <c r="D846" s="110">
        <v>0</v>
      </c>
      <c r="E846" s="110">
        <v>1.380211241711606</v>
      </c>
      <c r="F846" s="87" t="s">
        <v>1333</v>
      </c>
      <c r="G846" s="87" t="b">
        <v>0</v>
      </c>
      <c r="H846" s="87" t="b">
        <v>0</v>
      </c>
      <c r="I846" s="87" t="b">
        <v>0</v>
      </c>
      <c r="J846" s="87" t="b">
        <v>0</v>
      </c>
      <c r="K846" s="87" t="b">
        <v>0</v>
      </c>
      <c r="L846" s="87" t="b">
        <v>0</v>
      </c>
    </row>
    <row r="847" spans="1:12" ht="15">
      <c r="A847" s="88" t="s">
        <v>1473</v>
      </c>
      <c r="B847" s="87" t="s">
        <v>1474</v>
      </c>
      <c r="C847" s="87">
        <v>7</v>
      </c>
      <c r="D847" s="110">
        <v>0</v>
      </c>
      <c r="E847" s="110">
        <v>1.380211241711606</v>
      </c>
      <c r="F847" s="87" t="s">
        <v>1333</v>
      </c>
      <c r="G847" s="87" t="b">
        <v>0</v>
      </c>
      <c r="H847" s="87" t="b">
        <v>0</v>
      </c>
      <c r="I847" s="87" t="b">
        <v>0</v>
      </c>
      <c r="J847" s="87" t="b">
        <v>0</v>
      </c>
      <c r="K847" s="87" t="b">
        <v>0</v>
      </c>
      <c r="L847" s="87" t="b">
        <v>0</v>
      </c>
    </row>
    <row r="848" spans="1:12" ht="15">
      <c r="A848" s="88" t="s">
        <v>1474</v>
      </c>
      <c r="B848" s="87" t="s">
        <v>1475</v>
      </c>
      <c r="C848" s="87">
        <v>7</v>
      </c>
      <c r="D848" s="110">
        <v>0</v>
      </c>
      <c r="E848" s="110">
        <v>1.380211241711606</v>
      </c>
      <c r="F848" s="87" t="s">
        <v>1333</v>
      </c>
      <c r="G848" s="87" t="b">
        <v>0</v>
      </c>
      <c r="H848" s="87" t="b">
        <v>0</v>
      </c>
      <c r="I848" s="87" t="b">
        <v>0</v>
      </c>
      <c r="J848" s="87" t="b">
        <v>0</v>
      </c>
      <c r="K848" s="87" t="b">
        <v>0</v>
      </c>
      <c r="L848" s="87" t="b">
        <v>0</v>
      </c>
    </row>
    <row r="849" spans="1:12" ht="15">
      <c r="A849" s="88" t="s">
        <v>1475</v>
      </c>
      <c r="B849" s="87" t="s">
        <v>1471</v>
      </c>
      <c r="C849" s="87">
        <v>7</v>
      </c>
      <c r="D849" s="110">
        <v>0</v>
      </c>
      <c r="E849" s="110">
        <v>1.0791812460476249</v>
      </c>
      <c r="F849" s="87" t="s">
        <v>1333</v>
      </c>
      <c r="G849" s="87" t="b">
        <v>0</v>
      </c>
      <c r="H849" s="87" t="b">
        <v>0</v>
      </c>
      <c r="I849" s="87" t="b">
        <v>0</v>
      </c>
      <c r="J849" s="87" t="b">
        <v>1</v>
      </c>
      <c r="K849" s="87" t="b">
        <v>0</v>
      </c>
      <c r="L849" s="87" t="b">
        <v>0</v>
      </c>
    </row>
    <row r="850" spans="1:12" ht="15">
      <c r="A850" s="88" t="s">
        <v>1471</v>
      </c>
      <c r="B850" s="87" t="s">
        <v>1437</v>
      </c>
      <c r="C850" s="87">
        <v>7</v>
      </c>
      <c r="D850" s="110">
        <v>0</v>
      </c>
      <c r="E850" s="110">
        <v>0.7781512503836436</v>
      </c>
      <c r="F850" s="87" t="s">
        <v>1333</v>
      </c>
      <c r="G850" s="87" t="b">
        <v>1</v>
      </c>
      <c r="H850" s="87" t="b">
        <v>0</v>
      </c>
      <c r="I850" s="87" t="b">
        <v>0</v>
      </c>
      <c r="J850" s="87" t="b">
        <v>0</v>
      </c>
      <c r="K850" s="87" t="b">
        <v>0</v>
      </c>
      <c r="L850" s="87" t="b">
        <v>0</v>
      </c>
    </row>
    <row r="851" spans="1:12" ht="15">
      <c r="A851" s="88" t="s">
        <v>1437</v>
      </c>
      <c r="B851" s="87" t="s">
        <v>1476</v>
      </c>
      <c r="C851" s="87">
        <v>7</v>
      </c>
      <c r="D851" s="110">
        <v>0</v>
      </c>
      <c r="E851" s="110">
        <v>1.0791812460476249</v>
      </c>
      <c r="F851" s="87" t="s">
        <v>1333</v>
      </c>
      <c r="G851" s="87" t="b">
        <v>0</v>
      </c>
      <c r="H851" s="87" t="b">
        <v>0</v>
      </c>
      <c r="I851" s="87" t="b">
        <v>0</v>
      </c>
      <c r="J851" s="87" t="b">
        <v>0</v>
      </c>
      <c r="K851" s="87" t="b">
        <v>0</v>
      </c>
      <c r="L851" s="87" t="b">
        <v>0</v>
      </c>
    </row>
    <row r="852" spans="1:12" ht="15">
      <c r="A852" s="88" t="s">
        <v>1476</v>
      </c>
      <c r="B852" s="87" t="s">
        <v>1477</v>
      </c>
      <c r="C852" s="87">
        <v>7</v>
      </c>
      <c r="D852" s="110">
        <v>0</v>
      </c>
      <c r="E852" s="110">
        <v>1.380211241711606</v>
      </c>
      <c r="F852" s="87" t="s">
        <v>1333</v>
      </c>
      <c r="G852" s="87" t="b">
        <v>0</v>
      </c>
      <c r="H852" s="87" t="b">
        <v>0</v>
      </c>
      <c r="I852" s="87" t="b">
        <v>0</v>
      </c>
      <c r="J852" s="87" t="b">
        <v>0</v>
      </c>
      <c r="K852" s="87" t="b">
        <v>0</v>
      </c>
      <c r="L852" s="87" t="b">
        <v>0</v>
      </c>
    </row>
    <row r="853" spans="1:12" ht="15">
      <c r="A853" s="88" t="s">
        <v>1477</v>
      </c>
      <c r="B853" s="87" t="s">
        <v>1471</v>
      </c>
      <c r="C853" s="87">
        <v>7</v>
      </c>
      <c r="D853" s="110">
        <v>0</v>
      </c>
      <c r="E853" s="110">
        <v>1.0791812460476249</v>
      </c>
      <c r="F853" s="87" t="s">
        <v>1333</v>
      </c>
      <c r="G853" s="87" t="b">
        <v>0</v>
      </c>
      <c r="H853" s="87" t="b">
        <v>0</v>
      </c>
      <c r="I853" s="87" t="b">
        <v>0</v>
      </c>
      <c r="J853" s="87" t="b">
        <v>1</v>
      </c>
      <c r="K853" s="87" t="b">
        <v>0</v>
      </c>
      <c r="L853" s="87" t="b">
        <v>0</v>
      </c>
    </row>
    <row r="854" spans="1:12" ht="15">
      <c r="A854" s="88" t="s">
        <v>1471</v>
      </c>
      <c r="B854" s="87" t="s">
        <v>1854</v>
      </c>
      <c r="C854" s="87">
        <v>7</v>
      </c>
      <c r="D854" s="110">
        <v>0</v>
      </c>
      <c r="E854" s="110">
        <v>1.0791812460476249</v>
      </c>
      <c r="F854" s="87" t="s">
        <v>1333</v>
      </c>
      <c r="G854" s="87" t="b">
        <v>1</v>
      </c>
      <c r="H854" s="87" t="b">
        <v>0</v>
      </c>
      <c r="I854" s="87" t="b">
        <v>0</v>
      </c>
      <c r="J854" s="87" t="b">
        <v>0</v>
      </c>
      <c r="K854" s="87" t="b">
        <v>0</v>
      </c>
      <c r="L854" s="87" t="b">
        <v>0</v>
      </c>
    </row>
    <row r="855" spans="1:12" ht="15">
      <c r="A855" s="88" t="s">
        <v>1854</v>
      </c>
      <c r="B855" s="87" t="s">
        <v>341</v>
      </c>
      <c r="C855" s="87">
        <v>7</v>
      </c>
      <c r="D855" s="110">
        <v>0</v>
      </c>
      <c r="E855" s="110">
        <v>1.380211241711606</v>
      </c>
      <c r="F855" s="87" t="s">
        <v>1333</v>
      </c>
      <c r="G855" s="87" t="b">
        <v>0</v>
      </c>
      <c r="H855" s="87" t="b">
        <v>0</v>
      </c>
      <c r="I855" s="87" t="b">
        <v>0</v>
      </c>
      <c r="J855" s="87" t="b">
        <v>0</v>
      </c>
      <c r="K855" s="87" t="b">
        <v>0</v>
      </c>
      <c r="L855" s="87" t="b">
        <v>0</v>
      </c>
    </row>
    <row r="856" spans="1:12" ht="15">
      <c r="A856" s="88" t="s">
        <v>341</v>
      </c>
      <c r="B856" s="87" t="s">
        <v>1453</v>
      </c>
      <c r="C856" s="87">
        <v>7</v>
      </c>
      <c r="D856" s="110">
        <v>0</v>
      </c>
      <c r="E856" s="110">
        <v>1.380211241711606</v>
      </c>
      <c r="F856" s="87" t="s">
        <v>1333</v>
      </c>
      <c r="G856" s="87" t="b">
        <v>0</v>
      </c>
      <c r="H856" s="87" t="b">
        <v>0</v>
      </c>
      <c r="I856" s="87" t="b">
        <v>0</v>
      </c>
      <c r="J856" s="87" t="b">
        <v>0</v>
      </c>
      <c r="K856" s="87" t="b">
        <v>0</v>
      </c>
      <c r="L856" s="87" t="b">
        <v>0</v>
      </c>
    </row>
    <row r="857" spans="1:12" ht="15">
      <c r="A857" s="88" t="s">
        <v>1453</v>
      </c>
      <c r="B857" s="87" t="s">
        <v>1513</v>
      </c>
      <c r="C857" s="87">
        <v>7</v>
      </c>
      <c r="D857" s="110">
        <v>0</v>
      </c>
      <c r="E857" s="110">
        <v>1.380211241711606</v>
      </c>
      <c r="F857" s="87" t="s">
        <v>1333</v>
      </c>
      <c r="G857" s="87" t="b">
        <v>0</v>
      </c>
      <c r="H857" s="87" t="b">
        <v>0</v>
      </c>
      <c r="I857" s="87" t="b">
        <v>0</v>
      </c>
      <c r="J857" s="87" t="b">
        <v>0</v>
      </c>
      <c r="K857" s="87" t="b">
        <v>0</v>
      </c>
      <c r="L857" s="87" t="b">
        <v>0</v>
      </c>
    </row>
    <row r="858" spans="1:12" ht="15">
      <c r="A858" s="88" t="s">
        <v>1513</v>
      </c>
      <c r="B858" s="87" t="s">
        <v>1822</v>
      </c>
      <c r="C858" s="87">
        <v>7</v>
      </c>
      <c r="D858" s="110">
        <v>0</v>
      </c>
      <c r="E858" s="110">
        <v>1.380211241711606</v>
      </c>
      <c r="F858" s="87" t="s">
        <v>1333</v>
      </c>
      <c r="G858" s="87" t="b">
        <v>0</v>
      </c>
      <c r="H858" s="87" t="b">
        <v>0</v>
      </c>
      <c r="I858" s="87" t="b">
        <v>0</v>
      </c>
      <c r="J858" s="87" t="b">
        <v>0</v>
      </c>
      <c r="K858" s="87" t="b">
        <v>0</v>
      </c>
      <c r="L858" s="87" t="b">
        <v>0</v>
      </c>
    </row>
    <row r="859" spans="1:12" ht="15">
      <c r="A859" s="88" t="s">
        <v>1822</v>
      </c>
      <c r="B859" s="87" t="s">
        <v>1829</v>
      </c>
      <c r="C859" s="87">
        <v>7</v>
      </c>
      <c r="D859" s="110">
        <v>0</v>
      </c>
      <c r="E859" s="110">
        <v>1.380211241711606</v>
      </c>
      <c r="F859" s="87" t="s">
        <v>1333</v>
      </c>
      <c r="G859" s="87" t="b">
        <v>0</v>
      </c>
      <c r="H859" s="87" t="b">
        <v>0</v>
      </c>
      <c r="I859" s="87" t="b">
        <v>0</v>
      </c>
      <c r="J859" s="87" t="b">
        <v>1</v>
      </c>
      <c r="K859" s="87" t="b">
        <v>0</v>
      </c>
      <c r="L859" s="87" t="b">
        <v>0</v>
      </c>
    </row>
    <row r="860" spans="1:12" ht="15">
      <c r="A860" s="88" t="s">
        <v>1829</v>
      </c>
      <c r="B860" s="87" t="s">
        <v>1820</v>
      </c>
      <c r="C860" s="87">
        <v>7</v>
      </c>
      <c r="D860" s="110">
        <v>0</v>
      </c>
      <c r="E860" s="110">
        <v>1.380211241711606</v>
      </c>
      <c r="F860" s="87" t="s">
        <v>1333</v>
      </c>
      <c r="G860" s="87" t="b">
        <v>1</v>
      </c>
      <c r="H860" s="87" t="b">
        <v>0</v>
      </c>
      <c r="I860" s="87" t="b">
        <v>0</v>
      </c>
      <c r="J860" s="87" t="b">
        <v>0</v>
      </c>
      <c r="K860" s="87" t="b">
        <v>0</v>
      </c>
      <c r="L860" s="87" t="b">
        <v>0</v>
      </c>
    </row>
    <row r="861" spans="1:12" ht="15">
      <c r="A861" s="88" t="s">
        <v>1820</v>
      </c>
      <c r="B861" s="87" t="s">
        <v>1459</v>
      </c>
      <c r="C861" s="87">
        <v>7</v>
      </c>
      <c r="D861" s="110">
        <v>0</v>
      </c>
      <c r="E861" s="110">
        <v>1.380211241711606</v>
      </c>
      <c r="F861" s="87" t="s">
        <v>1333</v>
      </c>
      <c r="G861" s="87" t="b">
        <v>0</v>
      </c>
      <c r="H861" s="87" t="b">
        <v>0</v>
      </c>
      <c r="I861" s="87" t="b">
        <v>0</v>
      </c>
      <c r="J861" s="87" t="b">
        <v>0</v>
      </c>
      <c r="K861" s="87" t="b">
        <v>0</v>
      </c>
      <c r="L861" s="87" t="b">
        <v>0</v>
      </c>
    </row>
    <row r="862" spans="1:12" ht="15">
      <c r="A862" s="88" t="s">
        <v>1459</v>
      </c>
      <c r="B862" s="87" t="s">
        <v>1437</v>
      </c>
      <c r="C862" s="87">
        <v>7</v>
      </c>
      <c r="D862" s="110">
        <v>0</v>
      </c>
      <c r="E862" s="110">
        <v>1.0791812460476249</v>
      </c>
      <c r="F862" s="87" t="s">
        <v>1333</v>
      </c>
      <c r="G862" s="87" t="b">
        <v>0</v>
      </c>
      <c r="H862" s="87" t="b">
        <v>0</v>
      </c>
      <c r="I862" s="87" t="b">
        <v>0</v>
      </c>
      <c r="J862" s="87" t="b">
        <v>0</v>
      </c>
      <c r="K862" s="87" t="b">
        <v>0</v>
      </c>
      <c r="L862" s="87" t="b">
        <v>0</v>
      </c>
    </row>
    <row r="863" spans="1:12" ht="15">
      <c r="A863" s="88" t="s">
        <v>1437</v>
      </c>
      <c r="B863" s="87" t="s">
        <v>1446</v>
      </c>
      <c r="C863" s="87">
        <v>7</v>
      </c>
      <c r="D863" s="110">
        <v>0</v>
      </c>
      <c r="E863" s="110">
        <v>1.0791812460476249</v>
      </c>
      <c r="F863" s="87" t="s">
        <v>1333</v>
      </c>
      <c r="G863" s="87" t="b">
        <v>0</v>
      </c>
      <c r="H863" s="87" t="b">
        <v>0</v>
      </c>
      <c r="I863" s="87" t="b">
        <v>0</v>
      </c>
      <c r="J863" s="87" t="b">
        <v>0</v>
      </c>
      <c r="K863" s="87" t="b">
        <v>0</v>
      </c>
      <c r="L863" s="87" t="b">
        <v>0</v>
      </c>
    </row>
    <row r="864" spans="1:12" ht="15">
      <c r="A864" s="88" t="s">
        <v>1446</v>
      </c>
      <c r="B864" s="87" t="s">
        <v>1819</v>
      </c>
      <c r="C864" s="87">
        <v>7</v>
      </c>
      <c r="D864" s="110">
        <v>0</v>
      </c>
      <c r="E864" s="110">
        <v>1.380211241711606</v>
      </c>
      <c r="F864" s="87" t="s">
        <v>1333</v>
      </c>
      <c r="G864" s="87" t="b">
        <v>0</v>
      </c>
      <c r="H864" s="87" t="b">
        <v>0</v>
      </c>
      <c r="I864" s="87" t="b">
        <v>0</v>
      </c>
      <c r="J864" s="87" t="b">
        <v>0</v>
      </c>
      <c r="K864" s="87" t="b">
        <v>0</v>
      </c>
      <c r="L864" s="87" t="b">
        <v>0</v>
      </c>
    </row>
    <row r="865" spans="1:12" ht="15">
      <c r="A865" s="88" t="s">
        <v>1819</v>
      </c>
      <c r="B865" s="87" t="s">
        <v>307</v>
      </c>
      <c r="C865" s="87">
        <v>7</v>
      </c>
      <c r="D865" s="110">
        <v>0</v>
      </c>
      <c r="E865" s="110">
        <v>1.380211241711606</v>
      </c>
      <c r="F865" s="87" t="s">
        <v>1333</v>
      </c>
      <c r="G865" s="87" t="b">
        <v>0</v>
      </c>
      <c r="H865" s="87" t="b">
        <v>0</v>
      </c>
      <c r="I865" s="87" t="b">
        <v>0</v>
      </c>
      <c r="J865" s="87" t="b">
        <v>0</v>
      </c>
      <c r="K865" s="87" t="b">
        <v>0</v>
      </c>
      <c r="L865" s="87" t="b">
        <v>0</v>
      </c>
    </row>
    <row r="866" spans="1:12" ht="15">
      <c r="A866" s="88" t="s">
        <v>307</v>
      </c>
      <c r="B866" s="87" t="s">
        <v>1455</v>
      </c>
      <c r="C866" s="87">
        <v>7</v>
      </c>
      <c r="D866" s="110">
        <v>0</v>
      </c>
      <c r="E866" s="110">
        <v>1.380211241711606</v>
      </c>
      <c r="F866" s="87" t="s">
        <v>1333</v>
      </c>
      <c r="G866" s="87" t="b">
        <v>0</v>
      </c>
      <c r="H866" s="87" t="b">
        <v>0</v>
      </c>
      <c r="I866" s="87" t="b">
        <v>0</v>
      </c>
      <c r="J866" s="87" t="b">
        <v>0</v>
      </c>
      <c r="K866" s="87" t="b">
        <v>0</v>
      </c>
      <c r="L866" s="87" t="b">
        <v>0</v>
      </c>
    </row>
    <row r="867" spans="1:12" ht="15">
      <c r="A867" s="88" t="s">
        <v>1455</v>
      </c>
      <c r="B867" s="87" t="s">
        <v>1454</v>
      </c>
      <c r="C867" s="87">
        <v>7</v>
      </c>
      <c r="D867" s="110">
        <v>0</v>
      </c>
      <c r="E867" s="110">
        <v>1.380211241711606</v>
      </c>
      <c r="F867" s="87" t="s">
        <v>1333</v>
      </c>
      <c r="G867" s="87" t="b">
        <v>0</v>
      </c>
      <c r="H867" s="87" t="b">
        <v>0</v>
      </c>
      <c r="I867" s="87" t="b">
        <v>0</v>
      </c>
      <c r="J867" s="87" t="b">
        <v>0</v>
      </c>
      <c r="K867" s="87" t="b">
        <v>0</v>
      </c>
      <c r="L867" s="87" t="b">
        <v>0</v>
      </c>
    </row>
    <row r="868" spans="1:12" ht="15">
      <c r="A868" s="88" t="s">
        <v>1480</v>
      </c>
      <c r="B868" s="87" t="s">
        <v>1481</v>
      </c>
      <c r="C868" s="87">
        <v>3</v>
      </c>
      <c r="D868" s="110">
        <v>0.004997549464331998</v>
      </c>
      <c r="E868" s="110">
        <v>1.3741370939994129</v>
      </c>
      <c r="F868" s="87" t="s">
        <v>1334</v>
      </c>
      <c r="G868" s="87" t="b">
        <v>0</v>
      </c>
      <c r="H868" s="87" t="b">
        <v>0</v>
      </c>
      <c r="I868" s="87" t="b">
        <v>0</v>
      </c>
      <c r="J868" s="87" t="b">
        <v>1</v>
      </c>
      <c r="K868" s="87" t="b">
        <v>0</v>
      </c>
      <c r="L868" s="87" t="b">
        <v>0</v>
      </c>
    </row>
    <row r="869" spans="1:12" ht="15">
      <c r="A869" s="88" t="s">
        <v>1481</v>
      </c>
      <c r="B869" s="87" t="s">
        <v>1482</v>
      </c>
      <c r="C869" s="87">
        <v>3</v>
      </c>
      <c r="D869" s="110">
        <v>0.004997549464331998</v>
      </c>
      <c r="E869" s="110">
        <v>1.3741370939994129</v>
      </c>
      <c r="F869" s="87" t="s">
        <v>1334</v>
      </c>
      <c r="G869" s="87" t="b">
        <v>1</v>
      </c>
      <c r="H869" s="87" t="b">
        <v>0</v>
      </c>
      <c r="I869" s="87" t="b">
        <v>0</v>
      </c>
      <c r="J869" s="87" t="b">
        <v>0</v>
      </c>
      <c r="K869" s="87" t="b">
        <v>0</v>
      </c>
      <c r="L869" s="87" t="b">
        <v>0</v>
      </c>
    </row>
    <row r="870" spans="1:12" ht="15">
      <c r="A870" s="88" t="s">
        <v>1482</v>
      </c>
      <c r="B870" s="87" t="s">
        <v>1453</v>
      </c>
      <c r="C870" s="87">
        <v>3</v>
      </c>
      <c r="D870" s="110">
        <v>0.004997549464331998</v>
      </c>
      <c r="E870" s="110">
        <v>1.3741370939994129</v>
      </c>
      <c r="F870" s="87" t="s">
        <v>1334</v>
      </c>
      <c r="G870" s="87" t="b">
        <v>0</v>
      </c>
      <c r="H870" s="87" t="b">
        <v>0</v>
      </c>
      <c r="I870" s="87" t="b">
        <v>0</v>
      </c>
      <c r="J870" s="87" t="b">
        <v>0</v>
      </c>
      <c r="K870" s="87" t="b">
        <v>0</v>
      </c>
      <c r="L870" s="87" t="b">
        <v>0</v>
      </c>
    </row>
    <row r="871" spans="1:12" ht="15">
      <c r="A871" s="88" t="s">
        <v>1453</v>
      </c>
      <c r="B871" s="87" t="s">
        <v>1483</v>
      </c>
      <c r="C871" s="87">
        <v>3</v>
      </c>
      <c r="D871" s="110">
        <v>0.004997549464331998</v>
      </c>
      <c r="E871" s="110">
        <v>1.2491983573911127</v>
      </c>
      <c r="F871" s="87" t="s">
        <v>1334</v>
      </c>
      <c r="G871" s="87" t="b">
        <v>0</v>
      </c>
      <c r="H871" s="87" t="b">
        <v>0</v>
      </c>
      <c r="I871" s="87" t="b">
        <v>0</v>
      </c>
      <c r="J871" s="87" t="b">
        <v>0</v>
      </c>
      <c r="K871" s="87" t="b">
        <v>0</v>
      </c>
      <c r="L871" s="87" t="b">
        <v>0</v>
      </c>
    </row>
    <row r="872" spans="1:12" ht="15">
      <c r="A872" s="88" t="s">
        <v>1483</v>
      </c>
      <c r="B872" s="87" t="s">
        <v>1484</v>
      </c>
      <c r="C872" s="87">
        <v>3</v>
      </c>
      <c r="D872" s="110">
        <v>0.004997549464331998</v>
      </c>
      <c r="E872" s="110">
        <v>1.3741370939994129</v>
      </c>
      <c r="F872" s="87" t="s">
        <v>1334</v>
      </c>
      <c r="G872" s="87" t="b">
        <v>0</v>
      </c>
      <c r="H872" s="87" t="b">
        <v>0</v>
      </c>
      <c r="I872" s="87" t="b">
        <v>0</v>
      </c>
      <c r="J872" s="87" t="b">
        <v>0</v>
      </c>
      <c r="K872" s="87" t="b">
        <v>0</v>
      </c>
      <c r="L872" s="87" t="b">
        <v>0</v>
      </c>
    </row>
    <row r="873" spans="1:12" ht="15">
      <c r="A873" s="88" t="s">
        <v>1484</v>
      </c>
      <c r="B873" s="87" t="s">
        <v>1485</v>
      </c>
      <c r="C873" s="87">
        <v>3</v>
      </c>
      <c r="D873" s="110">
        <v>0.004997549464331998</v>
      </c>
      <c r="E873" s="110">
        <v>1.3741370939994129</v>
      </c>
      <c r="F873" s="87" t="s">
        <v>1334</v>
      </c>
      <c r="G873" s="87" t="b">
        <v>0</v>
      </c>
      <c r="H873" s="87" t="b">
        <v>0</v>
      </c>
      <c r="I873" s="87" t="b">
        <v>0</v>
      </c>
      <c r="J873" s="87" t="b">
        <v>0</v>
      </c>
      <c r="K873" s="87" t="b">
        <v>0</v>
      </c>
      <c r="L873" s="87" t="b">
        <v>0</v>
      </c>
    </row>
    <row r="874" spans="1:12" ht="15">
      <c r="A874" s="88" t="s">
        <v>1485</v>
      </c>
      <c r="B874" s="87" t="s">
        <v>1486</v>
      </c>
      <c r="C874" s="87">
        <v>3</v>
      </c>
      <c r="D874" s="110">
        <v>0.004997549464331998</v>
      </c>
      <c r="E874" s="110">
        <v>1.3741370939994129</v>
      </c>
      <c r="F874" s="87" t="s">
        <v>1334</v>
      </c>
      <c r="G874" s="87" t="b">
        <v>0</v>
      </c>
      <c r="H874" s="87" t="b">
        <v>0</v>
      </c>
      <c r="I874" s="87" t="b">
        <v>0</v>
      </c>
      <c r="J874" s="87" t="b">
        <v>0</v>
      </c>
      <c r="K874" s="87" t="b">
        <v>0</v>
      </c>
      <c r="L874" s="87" t="b">
        <v>0</v>
      </c>
    </row>
    <row r="875" spans="1:12" ht="15">
      <c r="A875" s="88" t="s">
        <v>1486</v>
      </c>
      <c r="B875" s="87" t="s">
        <v>1479</v>
      </c>
      <c r="C875" s="87">
        <v>3</v>
      </c>
      <c r="D875" s="110">
        <v>0.004997549464331998</v>
      </c>
      <c r="E875" s="110">
        <v>1.2491983573911127</v>
      </c>
      <c r="F875" s="87" t="s">
        <v>1334</v>
      </c>
      <c r="G875" s="87" t="b">
        <v>0</v>
      </c>
      <c r="H875" s="87" t="b">
        <v>0</v>
      </c>
      <c r="I875" s="87" t="b">
        <v>0</v>
      </c>
      <c r="J875" s="87" t="b">
        <v>0</v>
      </c>
      <c r="K875" s="87" t="b">
        <v>0</v>
      </c>
      <c r="L875" s="87" t="b">
        <v>0</v>
      </c>
    </row>
    <row r="876" spans="1:12" ht="15">
      <c r="A876" s="88" t="s">
        <v>1479</v>
      </c>
      <c r="B876" s="87" t="s">
        <v>1487</v>
      </c>
      <c r="C876" s="87">
        <v>3</v>
      </c>
      <c r="D876" s="110">
        <v>0.004997549464331998</v>
      </c>
      <c r="E876" s="110">
        <v>1.2491983573911127</v>
      </c>
      <c r="F876" s="87" t="s">
        <v>1334</v>
      </c>
      <c r="G876" s="87" t="b">
        <v>0</v>
      </c>
      <c r="H876" s="87" t="b">
        <v>0</v>
      </c>
      <c r="I876" s="87" t="b">
        <v>0</v>
      </c>
      <c r="J876" s="87" t="b">
        <v>0</v>
      </c>
      <c r="K876" s="87" t="b">
        <v>0</v>
      </c>
      <c r="L876" s="87" t="b">
        <v>0</v>
      </c>
    </row>
    <row r="877" spans="1:12" ht="15">
      <c r="A877" s="88" t="s">
        <v>1487</v>
      </c>
      <c r="B877" s="87" t="s">
        <v>1948</v>
      </c>
      <c r="C877" s="87">
        <v>3</v>
      </c>
      <c r="D877" s="110">
        <v>0.004997549464331998</v>
      </c>
      <c r="E877" s="110">
        <v>1.3741370939994129</v>
      </c>
      <c r="F877" s="87" t="s">
        <v>1334</v>
      </c>
      <c r="G877" s="87" t="b">
        <v>0</v>
      </c>
      <c r="H877" s="87" t="b">
        <v>0</v>
      </c>
      <c r="I877" s="87" t="b">
        <v>0</v>
      </c>
      <c r="J877" s="87" t="b">
        <v>0</v>
      </c>
      <c r="K877" s="87" t="b">
        <v>0</v>
      </c>
      <c r="L877" s="87" t="b">
        <v>0</v>
      </c>
    </row>
    <row r="878" spans="1:12" ht="15">
      <c r="A878" s="88" t="s">
        <v>1948</v>
      </c>
      <c r="B878" s="87" t="s">
        <v>305</v>
      </c>
      <c r="C878" s="87">
        <v>3</v>
      </c>
      <c r="D878" s="110">
        <v>0.004997549464331998</v>
      </c>
      <c r="E878" s="110">
        <v>1.3741370939994129</v>
      </c>
      <c r="F878" s="87" t="s">
        <v>1334</v>
      </c>
      <c r="G878" s="87" t="b">
        <v>0</v>
      </c>
      <c r="H878" s="87" t="b">
        <v>0</v>
      </c>
      <c r="I878" s="87" t="b">
        <v>0</v>
      </c>
      <c r="J878" s="87" t="b">
        <v>0</v>
      </c>
      <c r="K878" s="87" t="b">
        <v>0</v>
      </c>
      <c r="L878" s="87" t="b">
        <v>0</v>
      </c>
    </row>
    <row r="879" spans="1:12" ht="15">
      <c r="A879" s="88" t="s">
        <v>305</v>
      </c>
      <c r="B879" s="87" t="s">
        <v>1860</v>
      </c>
      <c r="C879" s="87">
        <v>3</v>
      </c>
      <c r="D879" s="110">
        <v>0.004997549464331998</v>
      </c>
      <c r="E879" s="110">
        <v>1.3741370939994129</v>
      </c>
      <c r="F879" s="87" t="s">
        <v>1334</v>
      </c>
      <c r="G879" s="87" t="b">
        <v>0</v>
      </c>
      <c r="H879" s="87" t="b">
        <v>0</v>
      </c>
      <c r="I879" s="87" t="b">
        <v>0</v>
      </c>
      <c r="J879" s="87" t="b">
        <v>0</v>
      </c>
      <c r="K879" s="87" t="b">
        <v>0</v>
      </c>
      <c r="L879" s="87" t="b">
        <v>0</v>
      </c>
    </row>
    <row r="880" spans="1:12" ht="15">
      <c r="A880" s="88" t="s">
        <v>1860</v>
      </c>
      <c r="B880" s="87" t="s">
        <v>1949</v>
      </c>
      <c r="C880" s="87">
        <v>3</v>
      </c>
      <c r="D880" s="110">
        <v>0.004997549464331998</v>
      </c>
      <c r="E880" s="110">
        <v>1.3741370939994129</v>
      </c>
      <c r="F880" s="87" t="s">
        <v>1334</v>
      </c>
      <c r="G880" s="87" t="b">
        <v>0</v>
      </c>
      <c r="H880" s="87" t="b">
        <v>0</v>
      </c>
      <c r="I880" s="87" t="b">
        <v>0</v>
      </c>
      <c r="J880" s="87" t="b">
        <v>0</v>
      </c>
      <c r="K880" s="87" t="b">
        <v>0</v>
      </c>
      <c r="L880" s="87" t="b">
        <v>0</v>
      </c>
    </row>
    <row r="881" spans="1:12" ht="15">
      <c r="A881" s="88" t="s">
        <v>1949</v>
      </c>
      <c r="B881" s="87" t="s">
        <v>1950</v>
      </c>
      <c r="C881" s="87">
        <v>3</v>
      </c>
      <c r="D881" s="110">
        <v>0.004997549464331998</v>
      </c>
      <c r="E881" s="110">
        <v>1.3741370939994129</v>
      </c>
      <c r="F881" s="87" t="s">
        <v>1334</v>
      </c>
      <c r="G881" s="87" t="b">
        <v>0</v>
      </c>
      <c r="H881" s="87" t="b">
        <v>0</v>
      </c>
      <c r="I881" s="87" t="b">
        <v>0</v>
      </c>
      <c r="J881" s="87" t="b">
        <v>0</v>
      </c>
      <c r="K881" s="87" t="b">
        <v>0</v>
      </c>
      <c r="L881" s="87" t="b">
        <v>0</v>
      </c>
    </row>
    <row r="882" spans="1:12" ht="15">
      <c r="A882" s="88" t="s">
        <v>1950</v>
      </c>
      <c r="B882" s="87" t="s">
        <v>1951</v>
      </c>
      <c r="C882" s="87">
        <v>3</v>
      </c>
      <c r="D882" s="110">
        <v>0.004997549464331998</v>
      </c>
      <c r="E882" s="110">
        <v>1.3741370939994129</v>
      </c>
      <c r="F882" s="87" t="s">
        <v>1334</v>
      </c>
      <c r="G882" s="87" t="b">
        <v>0</v>
      </c>
      <c r="H882" s="87" t="b">
        <v>0</v>
      </c>
      <c r="I882" s="87" t="b">
        <v>0</v>
      </c>
      <c r="J882" s="87" t="b">
        <v>0</v>
      </c>
      <c r="K882" s="87" t="b">
        <v>0</v>
      </c>
      <c r="L882" s="87" t="b">
        <v>0</v>
      </c>
    </row>
    <row r="883" spans="1:12" ht="15">
      <c r="A883" s="88" t="s">
        <v>1456</v>
      </c>
      <c r="B883" s="87" t="s">
        <v>1460</v>
      </c>
      <c r="C883" s="87">
        <v>3</v>
      </c>
      <c r="D883" s="110">
        <v>0</v>
      </c>
      <c r="E883" s="110">
        <v>1.414973347970818</v>
      </c>
      <c r="F883" s="87" t="s">
        <v>1335</v>
      </c>
      <c r="G883" s="87" t="b">
        <v>0</v>
      </c>
      <c r="H883" s="87" t="b">
        <v>0</v>
      </c>
      <c r="I883" s="87" t="b">
        <v>0</v>
      </c>
      <c r="J883" s="87" t="b">
        <v>0</v>
      </c>
      <c r="K883" s="87" t="b">
        <v>0</v>
      </c>
      <c r="L883" s="87" t="b">
        <v>0</v>
      </c>
    </row>
    <row r="884" spans="1:12" ht="15">
      <c r="A884" s="88" t="s">
        <v>1460</v>
      </c>
      <c r="B884" s="87" t="s">
        <v>1490</v>
      </c>
      <c r="C884" s="87">
        <v>3</v>
      </c>
      <c r="D884" s="110">
        <v>0</v>
      </c>
      <c r="E884" s="110">
        <v>1.414973347970818</v>
      </c>
      <c r="F884" s="87" t="s">
        <v>1335</v>
      </c>
      <c r="G884" s="87" t="b">
        <v>0</v>
      </c>
      <c r="H884" s="87" t="b">
        <v>0</v>
      </c>
      <c r="I884" s="87" t="b">
        <v>0</v>
      </c>
      <c r="J884" s="87" t="b">
        <v>0</v>
      </c>
      <c r="K884" s="87" t="b">
        <v>0</v>
      </c>
      <c r="L884" s="87" t="b">
        <v>0</v>
      </c>
    </row>
    <row r="885" spans="1:12" ht="15">
      <c r="A885" s="88" t="s">
        <v>1490</v>
      </c>
      <c r="B885" s="87" t="s">
        <v>1491</v>
      </c>
      <c r="C885" s="87">
        <v>3</v>
      </c>
      <c r="D885" s="110">
        <v>0</v>
      </c>
      <c r="E885" s="110">
        <v>1.414973347970818</v>
      </c>
      <c r="F885" s="87" t="s">
        <v>1335</v>
      </c>
      <c r="G885" s="87" t="b">
        <v>0</v>
      </c>
      <c r="H885" s="87" t="b">
        <v>0</v>
      </c>
      <c r="I885" s="87" t="b">
        <v>0</v>
      </c>
      <c r="J885" s="87" t="b">
        <v>0</v>
      </c>
      <c r="K885" s="87" t="b">
        <v>0</v>
      </c>
      <c r="L885" s="87" t="b">
        <v>0</v>
      </c>
    </row>
    <row r="886" spans="1:12" ht="15">
      <c r="A886" s="88" t="s">
        <v>1491</v>
      </c>
      <c r="B886" s="87" t="s">
        <v>1492</v>
      </c>
      <c r="C886" s="87">
        <v>3</v>
      </c>
      <c r="D886" s="110">
        <v>0</v>
      </c>
      <c r="E886" s="110">
        <v>1.414973347970818</v>
      </c>
      <c r="F886" s="87" t="s">
        <v>1335</v>
      </c>
      <c r="G886" s="87" t="b">
        <v>0</v>
      </c>
      <c r="H886" s="87" t="b">
        <v>0</v>
      </c>
      <c r="I886" s="87" t="b">
        <v>0</v>
      </c>
      <c r="J886" s="87" t="b">
        <v>0</v>
      </c>
      <c r="K886" s="87" t="b">
        <v>0</v>
      </c>
      <c r="L886" s="87" t="b">
        <v>0</v>
      </c>
    </row>
    <row r="887" spans="1:12" ht="15">
      <c r="A887" s="88" t="s">
        <v>1492</v>
      </c>
      <c r="B887" s="87" t="s">
        <v>1489</v>
      </c>
      <c r="C887" s="87">
        <v>3</v>
      </c>
      <c r="D887" s="110">
        <v>0</v>
      </c>
      <c r="E887" s="110">
        <v>1.1139433523068367</v>
      </c>
      <c r="F887" s="87" t="s">
        <v>1335</v>
      </c>
      <c r="G887" s="87" t="b">
        <v>0</v>
      </c>
      <c r="H887" s="87" t="b">
        <v>0</v>
      </c>
      <c r="I887" s="87" t="b">
        <v>0</v>
      </c>
      <c r="J887" s="87" t="b">
        <v>0</v>
      </c>
      <c r="K887" s="87" t="b">
        <v>0</v>
      </c>
      <c r="L887" s="87" t="b">
        <v>0</v>
      </c>
    </row>
    <row r="888" spans="1:12" ht="15">
      <c r="A888" s="88" t="s">
        <v>1489</v>
      </c>
      <c r="B888" s="87" t="s">
        <v>1493</v>
      </c>
      <c r="C888" s="87">
        <v>3</v>
      </c>
      <c r="D888" s="110">
        <v>0</v>
      </c>
      <c r="E888" s="110">
        <v>1.1139433523068367</v>
      </c>
      <c r="F888" s="87" t="s">
        <v>1335</v>
      </c>
      <c r="G888" s="87" t="b">
        <v>0</v>
      </c>
      <c r="H888" s="87" t="b">
        <v>0</v>
      </c>
      <c r="I888" s="87" t="b">
        <v>0</v>
      </c>
      <c r="J888" s="87" t="b">
        <v>0</v>
      </c>
      <c r="K888" s="87" t="b">
        <v>0</v>
      </c>
      <c r="L888" s="87" t="b">
        <v>0</v>
      </c>
    </row>
    <row r="889" spans="1:12" ht="15">
      <c r="A889" s="88" t="s">
        <v>1493</v>
      </c>
      <c r="B889" s="87" t="s">
        <v>1494</v>
      </c>
      <c r="C889" s="87">
        <v>3</v>
      </c>
      <c r="D889" s="110">
        <v>0</v>
      </c>
      <c r="E889" s="110">
        <v>1.414973347970818</v>
      </c>
      <c r="F889" s="87" t="s">
        <v>1335</v>
      </c>
      <c r="G889" s="87" t="b">
        <v>0</v>
      </c>
      <c r="H889" s="87" t="b">
        <v>0</v>
      </c>
      <c r="I889" s="87" t="b">
        <v>0</v>
      </c>
      <c r="J889" s="87" t="b">
        <v>0</v>
      </c>
      <c r="K889" s="87" t="b">
        <v>0</v>
      </c>
      <c r="L889" s="87" t="b">
        <v>0</v>
      </c>
    </row>
    <row r="890" spans="1:12" ht="15">
      <c r="A890" s="88" t="s">
        <v>1494</v>
      </c>
      <c r="B890" s="87" t="s">
        <v>1495</v>
      </c>
      <c r="C890" s="87">
        <v>3</v>
      </c>
      <c r="D890" s="110">
        <v>0</v>
      </c>
      <c r="E890" s="110">
        <v>1.414973347970818</v>
      </c>
      <c r="F890" s="87" t="s">
        <v>1335</v>
      </c>
      <c r="G890" s="87" t="b">
        <v>0</v>
      </c>
      <c r="H890" s="87" t="b">
        <v>0</v>
      </c>
      <c r="I890" s="87" t="b">
        <v>0</v>
      </c>
      <c r="J890" s="87" t="b">
        <v>1</v>
      </c>
      <c r="K890" s="87" t="b">
        <v>0</v>
      </c>
      <c r="L890" s="87" t="b">
        <v>0</v>
      </c>
    </row>
    <row r="891" spans="1:12" ht="15">
      <c r="A891" s="88" t="s">
        <v>1495</v>
      </c>
      <c r="B891" s="87" t="s">
        <v>1489</v>
      </c>
      <c r="C891" s="87">
        <v>3</v>
      </c>
      <c r="D891" s="110">
        <v>0</v>
      </c>
      <c r="E891" s="110">
        <v>1.1139433523068367</v>
      </c>
      <c r="F891" s="87" t="s">
        <v>1335</v>
      </c>
      <c r="G891" s="87" t="b">
        <v>1</v>
      </c>
      <c r="H891" s="87" t="b">
        <v>0</v>
      </c>
      <c r="I891" s="87" t="b">
        <v>0</v>
      </c>
      <c r="J891" s="87" t="b">
        <v>0</v>
      </c>
      <c r="K891" s="87" t="b">
        <v>0</v>
      </c>
      <c r="L891" s="87" t="b">
        <v>0</v>
      </c>
    </row>
    <row r="892" spans="1:12" ht="15">
      <c r="A892" s="88" t="s">
        <v>1489</v>
      </c>
      <c r="B892" s="87" t="s">
        <v>1496</v>
      </c>
      <c r="C892" s="87">
        <v>3</v>
      </c>
      <c r="D892" s="110">
        <v>0</v>
      </c>
      <c r="E892" s="110">
        <v>1.1139433523068367</v>
      </c>
      <c r="F892" s="87" t="s">
        <v>1335</v>
      </c>
      <c r="G892" s="87" t="b">
        <v>0</v>
      </c>
      <c r="H892" s="87" t="b">
        <v>0</v>
      </c>
      <c r="I892" s="87" t="b">
        <v>0</v>
      </c>
      <c r="J892" s="87" t="b">
        <v>0</v>
      </c>
      <c r="K892" s="87" t="b">
        <v>0</v>
      </c>
      <c r="L892" s="87" t="b">
        <v>0</v>
      </c>
    </row>
    <row r="893" spans="1:12" ht="15">
      <c r="A893" s="88" t="s">
        <v>1496</v>
      </c>
      <c r="B893" s="87" t="s">
        <v>1840</v>
      </c>
      <c r="C893" s="87">
        <v>3</v>
      </c>
      <c r="D893" s="110">
        <v>0</v>
      </c>
      <c r="E893" s="110">
        <v>1.414973347970818</v>
      </c>
      <c r="F893" s="87" t="s">
        <v>1335</v>
      </c>
      <c r="G893" s="87" t="b">
        <v>0</v>
      </c>
      <c r="H893" s="87" t="b">
        <v>0</v>
      </c>
      <c r="I893" s="87" t="b">
        <v>0</v>
      </c>
      <c r="J893" s="87" t="b">
        <v>0</v>
      </c>
      <c r="K893" s="87" t="b">
        <v>0</v>
      </c>
      <c r="L893" s="87" t="b">
        <v>0</v>
      </c>
    </row>
    <row r="894" spans="1:12" ht="15">
      <c r="A894" s="88" t="s">
        <v>1840</v>
      </c>
      <c r="B894" s="87" t="s">
        <v>309</v>
      </c>
      <c r="C894" s="87">
        <v>3</v>
      </c>
      <c r="D894" s="110">
        <v>0</v>
      </c>
      <c r="E894" s="110">
        <v>1.414973347970818</v>
      </c>
      <c r="F894" s="87" t="s">
        <v>1335</v>
      </c>
      <c r="G894" s="87" t="b">
        <v>0</v>
      </c>
      <c r="H894" s="87" t="b">
        <v>0</v>
      </c>
      <c r="I894" s="87" t="b">
        <v>0</v>
      </c>
      <c r="J894" s="87" t="b">
        <v>0</v>
      </c>
      <c r="K894" s="87" t="b">
        <v>0</v>
      </c>
      <c r="L894" s="87" t="b">
        <v>0</v>
      </c>
    </row>
    <row r="895" spans="1:12" ht="15">
      <c r="A895" s="88" t="s">
        <v>309</v>
      </c>
      <c r="B895" s="87" t="s">
        <v>1921</v>
      </c>
      <c r="C895" s="87">
        <v>3</v>
      </c>
      <c r="D895" s="110">
        <v>0</v>
      </c>
      <c r="E895" s="110">
        <v>1.414973347970818</v>
      </c>
      <c r="F895" s="87" t="s">
        <v>1335</v>
      </c>
      <c r="G895" s="87" t="b">
        <v>0</v>
      </c>
      <c r="H895" s="87" t="b">
        <v>0</v>
      </c>
      <c r="I895" s="87" t="b">
        <v>0</v>
      </c>
      <c r="J895" s="87" t="b">
        <v>0</v>
      </c>
      <c r="K895" s="87" t="b">
        <v>0</v>
      </c>
      <c r="L895" s="87" t="b">
        <v>0</v>
      </c>
    </row>
    <row r="896" spans="1:12" ht="15">
      <c r="A896" s="88" t="s">
        <v>1921</v>
      </c>
      <c r="B896" s="87" t="s">
        <v>341</v>
      </c>
      <c r="C896" s="87">
        <v>3</v>
      </c>
      <c r="D896" s="110">
        <v>0</v>
      </c>
      <c r="E896" s="110">
        <v>1.414973347970818</v>
      </c>
      <c r="F896" s="87" t="s">
        <v>1335</v>
      </c>
      <c r="G896" s="87" t="b">
        <v>0</v>
      </c>
      <c r="H896" s="87" t="b">
        <v>0</v>
      </c>
      <c r="I896" s="87" t="b">
        <v>0</v>
      </c>
      <c r="J896" s="87" t="b">
        <v>0</v>
      </c>
      <c r="K896" s="87" t="b">
        <v>0</v>
      </c>
      <c r="L896" s="87" t="b">
        <v>0</v>
      </c>
    </row>
    <row r="897" spans="1:12" ht="15">
      <c r="A897" s="88" t="s">
        <v>341</v>
      </c>
      <c r="B897" s="87" t="s">
        <v>1453</v>
      </c>
      <c r="C897" s="87">
        <v>3</v>
      </c>
      <c r="D897" s="110">
        <v>0</v>
      </c>
      <c r="E897" s="110">
        <v>1.414973347970818</v>
      </c>
      <c r="F897" s="87" t="s">
        <v>1335</v>
      </c>
      <c r="G897" s="87" t="b">
        <v>0</v>
      </c>
      <c r="H897" s="87" t="b">
        <v>0</v>
      </c>
      <c r="I897" s="87" t="b">
        <v>0</v>
      </c>
      <c r="J897" s="87" t="b">
        <v>0</v>
      </c>
      <c r="K897" s="87" t="b">
        <v>0</v>
      </c>
      <c r="L897" s="87" t="b">
        <v>0</v>
      </c>
    </row>
    <row r="898" spans="1:12" ht="15">
      <c r="A898" s="88" t="s">
        <v>1453</v>
      </c>
      <c r="B898" s="87" t="s">
        <v>1513</v>
      </c>
      <c r="C898" s="87">
        <v>3</v>
      </c>
      <c r="D898" s="110">
        <v>0</v>
      </c>
      <c r="E898" s="110">
        <v>1.414973347970818</v>
      </c>
      <c r="F898" s="87" t="s">
        <v>1335</v>
      </c>
      <c r="G898" s="87" t="b">
        <v>0</v>
      </c>
      <c r="H898" s="87" t="b">
        <v>0</v>
      </c>
      <c r="I898" s="87" t="b">
        <v>0</v>
      </c>
      <c r="J898" s="87" t="b">
        <v>0</v>
      </c>
      <c r="K898" s="87" t="b">
        <v>0</v>
      </c>
      <c r="L898" s="87" t="b">
        <v>0</v>
      </c>
    </row>
    <row r="899" spans="1:12" ht="15">
      <c r="A899" s="88" t="s">
        <v>1513</v>
      </c>
      <c r="B899" s="87" t="s">
        <v>1822</v>
      </c>
      <c r="C899" s="87">
        <v>3</v>
      </c>
      <c r="D899" s="110">
        <v>0</v>
      </c>
      <c r="E899" s="110">
        <v>1.414973347970818</v>
      </c>
      <c r="F899" s="87" t="s">
        <v>1335</v>
      </c>
      <c r="G899" s="87" t="b">
        <v>0</v>
      </c>
      <c r="H899" s="87" t="b">
        <v>0</v>
      </c>
      <c r="I899" s="87" t="b">
        <v>0</v>
      </c>
      <c r="J899" s="87" t="b">
        <v>0</v>
      </c>
      <c r="K899" s="87" t="b">
        <v>0</v>
      </c>
      <c r="L899" s="87" t="b">
        <v>0</v>
      </c>
    </row>
    <row r="900" spans="1:12" ht="15">
      <c r="A900" s="88" t="s">
        <v>1822</v>
      </c>
      <c r="B900" s="87" t="s">
        <v>1823</v>
      </c>
      <c r="C900" s="87">
        <v>3</v>
      </c>
      <c r="D900" s="110">
        <v>0</v>
      </c>
      <c r="E900" s="110">
        <v>1.414973347970818</v>
      </c>
      <c r="F900" s="87" t="s">
        <v>1335</v>
      </c>
      <c r="G900" s="87" t="b">
        <v>0</v>
      </c>
      <c r="H900" s="87" t="b">
        <v>0</v>
      </c>
      <c r="I900" s="87" t="b">
        <v>0</v>
      </c>
      <c r="J900" s="87" t="b">
        <v>0</v>
      </c>
      <c r="K900" s="87" t="b">
        <v>0</v>
      </c>
      <c r="L900" s="87" t="b">
        <v>0</v>
      </c>
    </row>
    <row r="901" spans="1:12" ht="15">
      <c r="A901" s="88" t="s">
        <v>1823</v>
      </c>
      <c r="B901" s="87" t="s">
        <v>1462</v>
      </c>
      <c r="C901" s="87">
        <v>3</v>
      </c>
      <c r="D901" s="110">
        <v>0</v>
      </c>
      <c r="E901" s="110">
        <v>1.414973347970818</v>
      </c>
      <c r="F901" s="87" t="s">
        <v>1335</v>
      </c>
      <c r="G901" s="87" t="b">
        <v>0</v>
      </c>
      <c r="H901" s="87" t="b">
        <v>0</v>
      </c>
      <c r="I901" s="87" t="b">
        <v>0</v>
      </c>
      <c r="J901" s="87" t="b">
        <v>0</v>
      </c>
      <c r="K901" s="87" t="b">
        <v>0</v>
      </c>
      <c r="L901" s="87" t="b">
        <v>0</v>
      </c>
    </row>
    <row r="902" spans="1:12" ht="15">
      <c r="A902" s="88" t="s">
        <v>1462</v>
      </c>
      <c r="B902" s="87" t="s">
        <v>1459</v>
      </c>
      <c r="C902" s="87">
        <v>3</v>
      </c>
      <c r="D902" s="110">
        <v>0</v>
      </c>
      <c r="E902" s="110">
        <v>1.414973347970818</v>
      </c>
      <c r="F902" s="87" t="s">
        <v>1335</v>
      </c>
      <c r="G902" s="87" t="b">
        <v>0</v>
      </c>
      <c r="H902" s="87" t="b">
        <v>0</v>
      </c>
      <c r="I902" s="87" t="b">
        <v>0</v>
      </c>
      <c r="J902" s="87" t="b">
        <v>0</v>
      </c>
      <c r="K902" s="87" t="b">
        <v>0</v>
      </c>
      <c r="L902" s="87" t="b">
        <v>0</v>
      </c>
    </row>
    <row r="903" spans="1:12" ht="15">
      <c r="A903" s="88" t="s">
        <v>1459</v>
      </c>
      <c r="B903" s="87" t="s">
        <v>1437</v>
      </c>
      <c r="C903" s="87">
        <v>3</v>
      </c>
      <c r="D903" s="110">
        <v>0</v>
      </c>
      <c r="E903" s="110">
        <v>1.414973347970818</v>
      </c>
      <c r="F903" s="87" t="s">
        <v>1335</v>
      </c>
      <c r="G903" s="87" t="b">
        <v>0</v>
      </c>
      <c r="H903" s="87" t="b">
        <v>0</v>
      </c>
      <c r="I903" s="87" t="b">
        <v>0</v>
      </c>
      <c r="J903" s="87" t="b">
        <v>0</v>
      </c>
      <c r="K903" s="87" t="b">
        <v>0</v>
      </c>
      <c r="L903" s="87" t="b">
        <v>0</v>
      </c>
    </row>
    <row r="904" spans="1:12" ht="15">
      <c r="A904" s="88" t="s">
        <v>1437</v>
      </c>
      <c r="B904" s="87" t="s">
        <v>1446</v>
      </c>
      <c r="C904" s="87">
        <v>3</v>
      </c>
      <c r="D904" s="110">
        <v>0</v>
      </c>
      <c r="E904" s="110">
        <v>1.414973347970818</v>
      </c>
      <c r="F904" s="87" t="s">
        <v>1335</v>
      </c>
      <c r="G904" s="87" t="b">
        <v>0</v>
      </c>
      <c r="H904" s="87" t="b">
        <v>0</v>
      </c>
      <c r="I904" s="87" t="b">
        <v>0</v>
      </c>
      <c r="J904" s="87" t="b">
        <v>0</v>
      </c>
      <c r="K904" s="87" t="b">
        <v>0</v>
      </c>
      <c r="L904" s="87" t="b">
        <v>0</v>
      </c>
    </row>
    <row r="905" spans="1:12" ht="15">
      <c r="A905" s="88" t="s">
        <v>1446</v>
      </c>
      <c r="B905" s="87" t="s">
        <v>1819</v>
      </c>
      <c r="C905" s="87">
        <v>3</v>
      </c>
      <c r="D905" s="110">
        <v>0</v>
      </c>
      <c r="E905" s="110">
        <v>1.414973347970818</v>
      </c>
      <c r="F905" s="87" t="s">
        <v>1335</v>
      </c>
      <c r="G905" s="87" t="b">
        <v>0</v>
      </c>
      <c r="H905" s="87" t="b">
        <v>0</v>
      </c>
      <c r="I905" s="87" t="b">
        <v>0</v>
      </c>
      <c r="J905" s="87" t="b">
        <v>0</v>
      </c>
      <c r="K905" s="87" t="b">
        <v>0</v>
      </c>
      <c r="L905" s="87" t="b">
        <v>0</v>
      </c>
    </row>
    <row r="906" spans="1:12" ht="15">
      <c r="A906" s="88" t="s">
        <v>1819</v>
      </c>
      <c r="B906" s="87" t="s">
        <v>308</v>
      </c>
      <c r="C906" s="87">
        <v>3</v>
      </c>
      <c r="D906" s="110">
        <v>0</v>
      </c>
      <c r="E906" s="110">
        <v>1.414973347970818</v>
      </c>
      <c r="F906" s="87" t="s">
        <v>1335</v>
      </c>
      <c r="G906" s="87" t="b">
        <v>0</v>
      </c>
      <c r="H906" s="87" t="b">
        <v>0</v>
      </c>
      <c r="I906" s="87" t="b">
        <v>0</v>
      </c>
      <c r="J906" s="87" t="b">
        <v>0</v>
      </c>
      <c r="K906" s="87" t="b">
        <v>0</v>
      </c>
      <c r="L906" s="87" t="b">
        <v>0</v>
      </c>
    </row>
    <row r="907" spans="1:12" ht="15">
      <c r="A907" s="88" t="s">
        <v>308</v>
      </c>
      <c r="B907" s="87" t="s">
        <v>1455</v>
      </c>
      <c r="C907" s="87">
        <v>3</v>
      </c>
      <c r="D907" s="110">
        <v>0</v>
      </c>
      <c r="E907" s="110">
        <v>1.414973347970818</v>
      </c>
      <c r="F907" s="87" t="s">
        <v>1335</v>
      </c>
      <c r="G907" s="87" t="b">
        <v>0</v>
      </c>
      <c r="H907" s="87" t="b">
        <v>0</v>
      </c>
      <c r="I907" s="87" t="b">
        <v>0</v>
      </c>
      <c r="J907" s="87" t="b">
        <v>0</v>
      </c>
      <c r="K907" s="87" t="b">
        <v>0</v>
      </c>
      <c r="L907" s="87" t="b">
        <v>0</v>
      </c>
    </row>
    <row r="908" spans="1:12" ht="15">
      <c r="A908" s="88" t="s">
        <v>1455</v>
      </c>
      <c r="B908" s="87" t="s">
        <v>1457</v>
      </c>
      <c r="C908" s="87">
        <v>3</v>
      </c>
      <c r="D908" s="110">
        <v>0</v>
      </c>
      <c r="E908" s="110">
        <v>1.414973347970818</v>
      </c>
      <c r="F908" s="87" t="s">
        <v>1335</v>
      </c>
      <c r="G908" s="87" t="b">
        <v>0</v>
      </c>
      <c r="H908" s="87" t="b">
        <v>0</v>
      </c>
      <c r="I908" s="87" t="b">
        <v>0</v>
      </c>
      <c r="J908" s="87" t="b">
        <v>0</v>
      </c>
      <c r="K908" s="87" t="b">
        <v>0</v>
      </c>
      <c r="L908" s="87" t="b">
        <v>0</v>
      </c>
    </row>
    <row r="909" spans="1:12" ht="15">
      <c r="A909" s="88" t="s">
        <v>1498</v>
      </c>
      <c r="B909" s="87" t="s">
        <v>1499</v>
      </c>
      <c r="C909" s="87">
        <v>4</v>
      </c>
      <c r="D909" s="110">
        <v>0</v>
      </c>
      <c r="E909" s="110">
        <v>1.2041199826559248</v>
      </c>
      <c r="F909" s="87" t="s">
        <v>1336</v>
      </c>
      <c r="G909" s="87" t="b">
        <v>0</v>
      </c>
      <c r="H909" s="87" t="b">
        <v>0</v>
      </c>
      <c r="I909" s="87" t="b">
        <v>0</v>
      </c>
      <c r="J909" s="87" t="b">
        <v>0</v>
      </c>
      <c r="K909" s="87" t="b">
        <v>0</v>
      </c>
      <c r="L909" s="87" t="b">
        <v>0</v>
      </c>
    </row>
    <row r="910" spans="1:12" ht="15">
      <c r="A910" s="88" t="s">
        <v>1499</v>
      </c>
      <c r="B910" s="87" t="s">
        <v>1500</v>
      </c>
      <c r="C910" s="87">
        <v>4</v>
      </c>
      <c r="D910" s="110">
        <v>0</v>
      </c>
      <c r="E910" s="110">
        <v>1.2041199826559248</v>
      </c>
      <c r="F910" s="87" t="s">
        <v>1336</v>
      </c>
      <c r="G910" s="87" t="b">
        <v>0</v>
      </c>
      <c r="H910" s="87" t="b">
        <v>0</v>
      </c>
      <c r="I910" s="87" t="b">
        <v>0</v>
      </c>
      <c r="J910" s="87" t="b">
        <v>0</v>
      </c>
      <c r="K910" s="87" t="b">
        <v>0</v>
      </c>
      <c r="L910" s="87" t="b">
        <v>0</v>
      </c>
    </row>
    <row r="911" spans="1:12" ht="15">
      <c r="A911" s="88" t="s">
        <v>1500</v>
      </c>
      <c r="B911" s="87" t="s">
        <v>1501</v>
      </c>
      <c r="C911" s="87">
        <v>4</v>
      </c>
      <c r="D911" s="110">
        <v>0</v>
      </c>
      <c r="E911" s="110">
        <v>1.2041199826559248</v>
      </c>
      <c r="F911" s="87" t="s">
        <v>1336</v>
      </c>
      <c r="G911" s="87" t="b">
        <v>0</v>
      </c>
      <c r="H911" s="87" t="b">
        <v>0</v>
      </c>
      <c r="I911" s="87" t="b">
        <v>0</v>
      </c>
      <c r="J911" s="87" t="b">
        <v>1</v>
      </c>
      <c r="K911" s="87" t="b">
        <v>0</v>
      </c>
      <c r="L911" s="87" t="b">
        <v>0</v>
      </c>
    </row>
    <row r="912" spans="1:12" ht="15">
      <c r="A912" s="88" t="s">
        <v>1501</v>
      </c>
      <c r="B912" s="87" t="s">
        <v>1502</v>
      </c>
      <c r="C912" s="87">
        <v>4</v>
      </c>
      <c r="D912" s="110">
        <v>0</v>
      </c>
      <c r="E912" s="110">
        <v>1.2041199826559248</v>
      </c>
      <c r="F912" s="87" t="s">
        <v>1336</v>
      </c>
      <c r="G912" s="87" t="b">
        <v>1</v>
      </c>
      <c r="H912" s="87" t="b">
        <v>0</v>
      </c>
      <c r="I912" s="87" t="b">
        <v>0</v>
      </c>
      <c r="J912" s="87" t="b">
        <v>0</v>
      </c>
      <c r="K912" s="87" t="b">
        <v>0</v>
      </c>
      <c r="L912" s="87" t="b">
        <v>0</v>
      </c>
    </row>
    <row r="913" spans="1:12" ht="15">
      <c r="A913" s="88" t="s">
        <v>1502</v>
      </c>
      <c r="B913" s="87" t="s">
        <v>1503</v>
      </c>
      <c r="C913" s="87">
        <v>4</v>
      </c>
      <c r="D913" s="110">
        <v>0</v>
      </c>
      <c r="E913" s="110">
        <v>1.2041199826559248</v>
      </c>
      <c r="F913" s="87" t="s">
        <v>1336</v>
      </c>
      <c r="G913" s="87" t="b">
        <v>0</v>
      </c>
      <c r="H913" s="87" t="b">
        <v>0</v>
      </c>
      <c r="I913" s="87" t="b">
        <v>0</v>
      </c>
      <c r="J913" s="87" t="b">
        <v>0</v>
      </c>
      <c r="K913" s="87" t="b">
        <v>0</v>
      </c>
      <c r="L913" s="87" t="b">
        <v>0</v>
      </c>
    </row>
    <row r="914" spans="1:12" ht="15">
      <c r="A914" s="88" t="s">
        <v>1503</v>
      </c>
      <c r="B914" s="87" t="s">
        <v>1504</v>
      </c>
      <c r="C914" s="87">
        <v>4</v>
      </c>
      <c r="D914" s="110">
        <v>0</v>
      </c>
      <c r="E914" s="110">
        <v>1.2041199826559248</v>
      </c>
      <c r="F914" s="87" t="s">
        <v>1336</v>
      </c>
      <c r="G914" s="87" t="b">
        <v>0</v>
      </c>
      <c r="H914" s="87" t="b">
        <v>0</v>
      </c>
      <c r="I914" s="87" t="b">
        <v>0</v>
      </c>
      <c r="J914" s="87" t="b">
        <v>0</v>
      </c>
      <c r="K914" s="87" t="b">
        <v>0</v>
      </c>
      <c r="L914" s="87" t="b">
        <v>0</v>
      </c>
    </row>
    <row r="915" spans="1:12" ht="15">
      <c r="A915" s="88" t="s">
        <v>1504</v>
      </c>
      <c r="B915" s="87" t="s">
        <v>1484</v>
      </c>
      <c r="C915" s="87">
        <v>4</v>
      </c>
      <c r="D915" s="110">
        <v>0</v>
      </c>
      <c r="E915" s="110">
        <v>1.2041199826559248</v>
      </c>
      <c r="F915" s="87" t="s">
        <v>1336</v>
      </c>
      <c r="G915" s="87" t="b">
        <v>0</v>
      </c>
      <c r="H915" s="87" t="b">
        <v>0</v>
      </c>
      <c r="I915" s="87" t="b">
        <v>0</v>
      </c>
      <c r="J915" s="87" t="b">
        <v>0</v>
      </c>
      <c r="K915" s="87" t="b">
        <v>0</v>
      </c>
      <c r="L915" s="87" t="b">
        <v>0</v>
      </c>
    </row>
    <row r="916" spans="1:12" ht="15">
      <c r="A916" s="88" t="s">
        <v>1484</v>
      </c>
      <c r="B916" s="87" t="s">
        <v>1505</v>
      </c>
      <c r="C916" s="87">
        <v>4</v>
      </c>
      <c r="D916" s="110">
        <v>0</v>
      </c>
      <c r="E916" s="110">
        <v>1.2041199826559248</v>
      </c>
      <c r="F916" s="87" t="s">
        <v>1336</v>
      </c>
      <c r="G916" s="87" t="b">
        <v>0</v>
      </c>
      <c r="H916" s="87" t="b">
        <v>0</v>
      </c>
      <c r="I916" s="87" t="b">
        <v>0</v>
      </c>
      <c r="J916" s="87" t="b">
        <v>0</v>
      </c>
      <c r="K916" s="87" t="b">
        <v>0</v>
      </c>
      <c r="L916" s="87" t="b">
        <v>0</v>
      </c>
    </row>
    <row r="917" spans="1:12" ht="15">
      <c r="A917" s="88" t="s">
        <v>1505</v>
      </c>
      <c r="B917" s="87" t="s">
        <v>1506</v>
      </c>
      <c r="C917" s="87">
        <v>4</v>
      </c>
      <c r="D917" s="110">
        <v>0</v>
      </c>
      <c r="E917" s="110">
        <v>1.2041199826559248</v>
      </c>
      <c r="F917" s="87" t="s">
        <v>1336</v>
      </c>
      <c r="G917" s="87" t="b">
        <v>0</v>
      </c>
      <c r="H917" s="87" t="b">
        <v>0</v>
      </c>
      <c r="I917" s="87" t="b">
        <v>0</v>
      </c>
      <c r="J917" s="87" t="b">
        <v>1</v>
      </c>
      <c r="K917" s="87" t="b">
        <v>0</v>
      </c>
      <c r="L917" s="87" t="b">
        <v>0</v>
      </c>
    </row>
    <row r="918" spans="1:12" ht="15">
      <c r="A918" s="88" t="s">
        <v>1506</v>
      </c>
      <c r="B918" s="87" t="s">
        <v>1893</v>
      </c>
      <c r="C918" s="87">
        <v>4</v>
      </c>
      <c r="D918" s="110">
        <v>0</v>
      </c>
      <c r="E918" s="110">
        <v>1.2041199826559248</v>
      </c>
      <c r="F918" s="87" t="s">
        <v>1336</v>
      </c>
      <c r="G918" s="87" t="b">
        <v>1</v>
      </c>
      <c r="H918" s="87" t="b">
        <v>0</v>
      </c>
      <c r="I918" s="87" t="b">
        <v>0</v>
      </c>
      <c r="J918" s="87" t="b">
        <v>0</v>
      </c>
      <c r="K918" s="87" t="b">
        <v>0</v>
      </c>
      <c r="L918" s="87" t="b">
        <v>0</v>
      </c>
    </row>
    <row r="919" spans="1:12" ht="15">
      <c r="A919" s="88" t="s">
        <v>1893</v>
      </c>
      <c r="B919" s="87" t="s">
        <v>1894</v>
      </c>
      <c r="C919" s="87">
        <v>4</v>
      </c>
      <c r="D919" s="110">
        <v>0</v>
      </c>
      <c r="E919" s="110">
        <v>1.2041199826559248</v>
      </c>
      <c r="F919" s="87" t="s">
        <v>1336</v>
      </c>
      <c r="G919" s="87" t="b">
        <v>0</v>
      </c>
      <c r="H919" s="87" t="b">
        <v>0</v>
      </c>
      <c r="I919" s="87" t="b">
        <v>0</v>
      </c>
      <c r="J919" s="87" t="b">
        <v>0</v>
      </c>
      <c r="K919" s="87" t="b">
        <v>0</v>
      </c>
      <c r="L919" s="87" t="b">
        <v>0</v>
      </c>
    </row>
    <row r="920" spans="1:12" ht="15">
      <c r="A920" s="88" t="s">
        <v>1894</v>
      </c>
      <c r="B920" s="87" t="s">
        <v>1895</v>
      </c>
      <c r="C920" s="87">
        <v>4</v>
      </c>
      <c r="D920" s="110">
        <v>0</v>
      </c>
      <c r="E920" s="110">
        <v>1.2041199826559248</v>
      </c>
      <c r="F920" s="87" t="s">
        <v>1336</v>
      </c>
      <c r="G920" s="87" t="b">
        <v>0</v>
      </c>
      <c r="H920" s="87" t="b">
        <v>0</v>
      </c>
      <c r="I920" s="87" t="b">
        <v>0</v>
      </c>
      <c r="J920" s="87" t="b">
        <v>0</v>
      </c>
      <c r="K920" s="87" t="b">
        <v>0</v>
      </c>
      <c r="L920" s="87" t="b">
        <v>0</v>
      </c>
    </row>
    <row r="921" spans="1:12" ht="15">
      <c r="A921" s="88" t="s">
        <v>1895</v>
      </c>
      <c r="B921" s="87" t="s">
        <v>1896</v>
      </c>
      <c r="C921" s="87">
        <v>4</v>
      </c>
      <c r="D921" s="110">
        <v>0</v>
      </c>
      <c r="E921" s="110">
        <v>1.2041199826559248</v>
      </c>
      <c r="F921" s="87" t="s">
        <v>1336</v>
      </c>
      <c r="G921" s="87" t="b">
        <v>0</v>
      </c>
      <c r="H921" s="87" t="b">
        <v>0</v>
      </c>
      <c r="I921" s="87" t="b">
        <v>0</v>
      </c>
      <c r="J921" s="87" t="b">
        <v>0</v>
      </c>
      <c r="K921" s="87" t="b">
        <v>0</v>
      </c>
      <c r="L921" s="87" t="b">
        <v>0</v>
      </c>
    </row>
    <row r="922" spans="1:12" ht="15">
      <c r="A922" s="88" t="s">
        <v>1896</v>
      </c>
      <c r="B922" s="87" t="s">
        <v>1897</v>
      </c>
      <c r="C922" s="87">
        <v>4</v>
      </c>
      <c r="D922" s="110">
        <v>0</v>
      </c>
      <c r="E922" s="110">
        <v>1.2041199826559248</v>
      </c>
      <c r="F922" s="87" t="s">
        <v>1336</v>
      </c>
      <c r="G922" s="87" t="b">
        <v>0</v>
      </c>
      <c r="H922" s="87" t="b">
        <v>0</v>
      </c>
      <c r="I922" s="87" t="b">
        <v>0</v>
      </c>
      <c r="J922" s="87" t="b">
        <v>0</v>
      </c>
      <c r="K922" s="87" t="b">
        <v>0</v>
      </c>
      <c r="L922" s="87" t="b">
        <v>0</v>
      </c>
    </row>
    <row r="923" spans="1:12" ht="15">
      <c r="A923" s="88" t="s">
        <v>1897</v>
      </c>
      <c r="B923" s="87" t="s">
        <v>1456</v>
      </c>
      <c r="C923" s="87">
        <v>4</v>
      </c>
      <c r="D923" s="110">
        <v>0</v>
      </c>
      <c r="E923" s="110">
        <v>1.2041199826559248</v>
      </c>
      <c r="F923" s="87" t="s">
        <v>1336</v>
      </c>
      <c r="G923" s="87" t="b">
        <v>0</v>
      </c>
      <c r="H923" s="87" t="b">
        <v>0</v>
      </c>
      <c r="I923" s="87" t="b">
        <v>0</v>
      </c>
      <c r="J923" s="87" t="b">
        <v>0</v>
      </c>
      <c r="K923" s="87" t="b">
        <v>0</v>
      </c>
      <c r="L923" s="87" t="b">
        <v>0</v>
      </c>
    </row>
    <row r="924" spans="1:12" ht="15">
      <c r="A924" s="88" t="s">
        <v>1456</v>
      </c>
      <c r="B924" s="87" t="s">
        <v>1453</v>
      </c>
      <c r="C924" s="87">
        <v>4</v>
      </c>
      <c r="D924" s="110">
        <v>0</v>
      </c>
      <c r="E924" s="110">
        <v>1.2041199826559248</v>
      </c>
      <c r="F924" s="87" t="s">
        <v>1336</v>
      </c>
      <c r="G924" s="87" t="b">
        <v>0</v>
      </c>
      <c r="H924" s="87" t="b">
        <v>0</v>
      </c>
      <c r="I924" s="87" t="b">
        <v>0</v>
      </c>
      <c r="J924" s="87" t="b">
        <v>0</v>
      </c>
      <c r="K924" s="87" t="b">
        <v>0</v>
      </c>
      <c r="L924" s="87" t="b">
        <v>0</v>
      </c>
    </row>
    <row r="925" spans="1:12" ht="15">
      <c r="A925" s="88" t="s">
        <v>1437</v>
      </c>
      <c r="B925" s="87" t="s">
        <v>1446</v>
      </c>
      <c r="C925" s="87">
        <v>4</v>
      </c>
      <c r="D925" s="110">
        <v>0.010062357660324641</v>
      </c>
      <c r="E925" s="110">
        <v>1.1271047983648077</v>
      </c>
      <c r="F925" s="87" t="s">
        <v>1337</v>
      </c>
      <c r="G925" s="87" t="b">
        <v>0</v>
      </c>
      <c r="H925" s="87" t="b">
        <v>0</v>
      </c>
      <c r="I925" s="87" t="b">
        <v>0</v>
      </c>
      <c r="J925" s="87" t="b">
        <v>0</v>
      </c>
      <c r="K925" s="87" t="b">
        <v>0</v>
      </c>
      <c r="L925" s="87" t="b">
        <v>0</v>
      </c>
    </row>
    <row r="926" spans="1:12" ht="15">
      <c r="A926" s="88" t="s">
        <v>1508</v>
      </c>
      <c r="B926" s="87" t="s">
        <v>1453</v>
      </c>
      <c r="C926" s="87">
        <v>3</v>
      </c>
      <c r="D926" s="110">
        <v>0</v>
      </c>
      <c r="E926" s="110">
        <v>1.348953547981164</v>
      </c>
      <c r="F926" s="87" t="s">
        <v>1337</v>
      </c>
      <c r="G926" s="87" t="b">
        <v>0</v>
      </c>
      <c r="H926" s="87" t="b">
        <v>0</v>
      </c>
      <c r="I926" s="87" t="b">
        <v>0</v>
      </c>
      <c r="J926" s="87" t="b">
        <v>0</v>
      </c>
      <c r="K926" s="87" t="b">
        <v>0</v>
      </c>
      <c r="L926" s="87" t="b">
        <v>0</v>
      </c>
    </row>
    <row r="927" spans="1:12" ht="15">
      <c r="A927" s="88" t="s">
        <v>1509</v>
      </c>
      <c r="B927" s="87" t="s">
        <v>1510</v>
      </c>
      <c r="C927" s="87">
        <v>2</v>
      </c>
      <c r="D927" s="110">
        <v>0.005031178830162321</v>
      </c>
      <c r="E927" s="110">
        <v>1.5250448070368452</v>
      </c>
      <c r="F927" s="87" t="s">
        <v>1337</v>
      </c>
      <c r="G927" s="87" t="b">
        <v>1</v>
      </c>
      <c r="H927" s="87" t="b">
        <v>0</v>
      </c>
      <c r="I927" s="87" t="b">
        <v>0</v>
      </c>
      <c r="J927" s="87" t="b">
        <v>0</v>
      </c>
      <c r="K927" s="87" t="b">
        <v>0</v>
      </c>
      <c r="L927" s="87" t="b">
        <v>0</v>
      </c>
    </row>
    <row r="928" spans="1:12" ht="15">
      <c r="A928" s="88" t="s">
        <v>1510</v>
      </c>
      <c r="B928" s="87" t="s">
        <v>1511</v>
      </c>
      <c r="C928" s="87">
        <v>2</v>
      </c>
      <c r="D928" s="110">
        <v>0.005031178830162321</v>
      </c>
      <c r="E928" s="110">
        <v>1.5250448070368452</v>
      </c>
      <c r="F928" s="87" t="s">
        <v>1337</v>
      </c>
      <c r="G928" s="87" t="b">
        <v>0</v>
      </c>
      <c r="H928" s="87" t="b">
        <v>0</v>
      </c>
      <c r="I928" s="87" t="b">
        <v>0</v>
      </c>
      <c r="J928" s="87" t="b">
        <v>0</v>
      </c>
      <c r="K928" s="87" t="b">
        <v>0</v>
      </c>
      <c r="L928" s="87" t="b">
        <v>0</v>
      </c>
    </row>
    <row r="929" spans="1:12" ht="15">
      <c r="A929" s="88" t="s">
        <v>1511</v>
      </c>
      <c r="B929" s="87" t="s">
        <v>1512</v>
      </c>
      <c r="C929" s="87">
        <v>2</v>
      </c>
      <c r="D929" s="110">
        <v>0.005031178830162321</v>
      </c>
      <c r="E929" s="110">
        <v>1.5250448070368452</v>
      </c>
      <c r="F929" s="87" t="s">
        <v>1337</v>
      </c>
      <c r="G929" s="87" t="b">
        <v>0</v>
      </c>
      <c r="H929" s="87" t="b">
        <v>0</v>
      </c>
      <c r="I929" s="87" t="b">
        <v>0</v>
      </c>
      <c r="J929" s="87" t="b">
        <v>0</v>
      </c>
      <c r="K929" s="87" t="b">
        <v>0</v>
      </c>
      <c r="L929" s="87" t="b">
        <v>0</v>
      </c>
    </row>
    <row r="930" spans="1:12" ht="15">
      <c r="A930" s="88" t="s">
        <v>1512</v>
      </c>
      <c r="B930" s="87" t="s">
        <v>1513</v>
      </c>
      <c r="C930" s="87">
        <v>2</v>
      </c>
      <c r="D930" s="110">
        <v>0.005031178830162321</v>
      </c>
      <c r="E930" s="110">
        <v>1.5250448070368452</v>
      </c>
      <c r="F930" s="87" t="s">
        <v>1337</v>
      </c>
      <c r="G930" s="87" t="b">
        <v>0</v>
      </c>
      <c r="H930" s="87" t="b">
        <v>0</v>
      </c>
      <c r="I930" s="87" t="b">
        <v>0</v>
      </c>
      <c r="J930" s="87" t="b">
        <v>0</v>
      </c>
      <c r="K930" s="87" t="b">
        <v>0</v>
      </c>
      <c r="L930" s="87" t="b">
        <v>0</v>
      </c>
    </row>
    <row r="931" spans="1:12" ht="15">
      <c r="A931" s="88" t="s">
        <v>1513</v>
      </c>
      <c r="B931" s="87" t="s">
        <v>1822</v>
      </c>
      <c r="C931" s="87">
        <v>2</v>
      </c>
      <c r="D931" s="110">
        <v>0.005031178830162321</v>
      </c>
      <c r="E931" s="110">
        <v>1.5250448070368452</v>
      </c>
      <c r="F931" s="87" t="s">
        <v>1337</v>
      </c>
      <c r="G931" s="87" t="b">
        <v>0</v>
      </c>
      <c r="H931" s="87" t="b">
        <v>0</v>
      </c>
      <c r="I931" s="87" t="b">
        <v>0</v>
      </c>
      <c r="J931" s="87" t="b">
        <v>0</v>
      </c>
      <c r="K931" s="87" t="b">
        <v>0</v>
      </c>
      <c r="L931" s="87" t="b">
        <v>0</v>
      </c>
    </row>
    <row r="932" spans="1:12" ht="15">
      <c r="A932" s="88" t="s">
        <v>1822</v>
      </c>
      <c r="B932" s="87" t="s">
        <v>1823</v>
      </c>
      <c r="C932" s="87">
        <v>2</v>
      </c>
      <c r="D932" s="110">
        <v>0.005031178830162321</v>
      </c>
      <c r="E932" s="110">
        <v>1.5250448070368452</v>
      </c>
      <c r="F932" s="87" t="s">
        <v>1337</v>
      </c>
      <c r="G932" s="87" t="b">
        <v>0</v>
      </c>
      <c r="H932" s="87" t="b">
        <v>0</v>
      </c>
      <c r="I932" s="87" t="b">
        <v>0</v>
      </c>
      <c r="J932" s="87" t="b">
        <v>0</v>
      </c>
      <c r="K932" s="87" t="b">
        <v>0</v>
      </c>
      <c r="L932" s="87" t="b">
        <v>0</v>
      </c>
    </row>
    <row r="933" spans="1:12" ht="15">
      <c r="A933" s="88" t="s">
        <v>1823</v>
      </c>
      <c r="B933" s="87" t="s">
        <v>1820</v>
      </c>
      <c r="C933" s="87">
        <v>2</v>
      </c>
      <c r="D933" s="110">
        <v>0.005031178830162321</v>
      </c>
      <c r="E933" s="110">
        <v>1.5250448070368452</v>
      </c>
      <c r="F933" s="87" t="s">
        <v>1337</v>
      </c>
      <c r="G933" s="87" t="b">
        <v>0</v>
      </c>
      <c r="H933" s="87" t="b">
        <v>0</v>
      </c>
      <c r="I933" s="87" t="b">
        <v>0</v>
      </c>
      <c r="J933" s="87" t="b">
        <v>0</v>
      </c>
      <c r="K933" s="87" t="b">
        <v>0</v>
      </c>
      <c r="L933" s="87" t="b">
        <v>0</v>
      </c>
    </row>
    <row r="934" spans="1:12" ht="15">
      <c r="A934" s="88" t="s">
        <v>1820</v>
      </c>
      <c r="B934" s="87" t="s">
        <v>1830</v>
      </c>
      <c r="C934" s="87">
        <v>2</v>
      </c>
      <c r="D934" s="110">
        <v>0.005031178830162321</v>
      </c>
      <c r="E934" s="110">
        <v>1.5250448070368452</v>
      </c>
      <c r="F934" s="87" t="s">
        <v>1337</v>
      </c>
      <c r="G934" s="87" t="b">
        <v>0</v>
      </c>
      <c r="H934" s="87" t="b">
        <v>0</v>
      </c>
      <c r="I934" s="87" t="b">
        <v>0</v>
      </c>
      <c r="J934" s="87" t="b">
        <v>0</v>
      </c>
      <c r="K934" s="87" t="b">
        <v>0</v>
      </c>
      <c r="L934" s="87" t="b">
        <v>0</v>
      </c>
    </row>
    <row r="935" spans="1:12" ht="15">
      <c r="A935" s="88" t="s">
        <v>1830</v>
      </c>
      <c r="B935" s="87" t="s">
        <v>1437</v>
      </c>
      <c r="C935" s="87">
        <v>2</v>
      </c>
      <c r="D935" s="110">
        <v>0.005031178830162321</v>
      </c>
      <c r="E935" s="110">
        <v>1.1271047983648077</v>
      </c>
      <c r="F935" s="87" t="s">
        <v>1337</v>
      </c>
      <c r="G935" s="87" t="b">
        <v>0</v>
      </c>
      <c r="H935" s="87" t="b">
        <v>0</v>
      </c>
      <c r="I935" s="87" t="b">
        <v>0</v>
      </c>
      <c r="J935" s="87" t="b">
        <v>0</v>
      </c>
      <c r="K935" s="87" t="b">
        <v>0</v>
      </c>
      <c r="L935" s="87" t="b">
        <v>0</v>
      </c>
    </row>
    <row r="936" spans="1:12" ht="15">
      <c r="A936" s="88" t="s">
        <v>1446</v>
      </c>
      <c r="B936" s="87" t="s">
        <v>1819</v>
      </c>
      <c r="C936" s="87">
        <v>2</v>
      </c>
      <c r="D936" s="110">
        <v>0.005031178830162321</v>
      </c>
      <c r="E936" s="110">
        <v>1.224014811372864</v>
      </c>
      <c r="F936" s="87" t="s">
        <v>1337</v>
      </c>
      <c r="G936" s="87" t="b">
        <v>0</v>
      </c>
      <c r="H936" s="87" t="b">
        <v>0</v>
      </c>
      <c r="I936" s="87" t="b">
        <v>0</v>
      </c>
      <c r="J936" s="87" t="b">
        <v>0</v>
      </c>
      <c r="K936" s="87" t="b">
        <v>0</v>
      </c>
      <c r="L936" s="87" t="b">
        <v>0</v>
      </c>
    </row>
    <row r="937" spans="1:12" ht="15">
      <c r="A937" s="88" t="s">
        <v>1819</v>
      </c>
      <c r="B937" s="87" t="s">
        <v>1821</v>
      </c>
      <c r="C937" s="87">
        <v>2</v>
      </c>
      <c r="D937" s="110">
        <v>0.005031178830162321</v>
      </c>
      <c r="E937" s="110">
        <v>1.5250448070368452</v>
      </c>
      <c r="F937" s="87" t="s">
        <v>1337</v>
      </c>
      <c r="G937" s="87" t="b">
        <v>0</v>
      </c>
      <c r="H937" s="87" t="b">
        <v>0</v>
      </c>
      <c r="I937" s="87" t="b">
        <v>0</v>
      </c>
      <c r="J937" s="87" t="b">
        <v>0</v>
      </c>
      <c r="K937" s="87" t="b">
        <v>0</v>
      </c>
      <c r="L937" s="87" t="b">
        <v>0</v>
      </c>
    </row>
    <row r="938" spans="1:12" ht="15">
      <c r="A938" s="88" t="s">
        <v>1821</v>
      </c>
      <c r="B938" s="87" t="s">
        <v>1437</v>
      </c>
      <c r="C938" s="87">
        <v>2</v>
      </c>
      <c r="D938" s="110">
        <v>0.005031178830162321</v>
      </c>
      <c r="E938" s="110">
        <v>1.1271047983648077</v>
      </c>
      <c r="F938" s="87" t="s">
        <v>1337</v>
      </c>
      <c r="G938" s="87" t="b">
        <v>0</v>
      </c>
      <c r="H938" s="87" t="b">
        <v>0</v>
      </c>
      <c r="I938" s="87" t="b">
        <v>0</v>
      </c>
      <c r="J938" s="87" t="b">
        <v>0</v>
      </c>
      <c r="K938" s="87" t="b">
        <v>0</v>
      </c>
      <c r="L938" s="87" t="b">
        <v>0</v>
      </c>
    </row>
    <row r="939" spans="1:12" ht="15">
      <c r="A939" s="88" t="s">
        <v>1446</v>
      </c>
      <c r="B939" s="87" t="s">
        <v>1459</v>
      </c>
      <c r="C939" s="87">
        <v>2</v>
      </c>
      <c r="D939" s="110">
        <v>0.005031178830162321</v>
      </c>
      <c r="E939" s="110">
        <v>1.224014811372864</v>
      </c>
      <c r="F939" s="87" t="s">
        <v>1337</v>
      </c>
      <c r="G939" s="87" t="b">
        <v>0</v>
      </c>
      <c r="H939" s="87" t="b">
        <v>0</v>
      </c>
      <c r="I939" s="87" t="b">
        <v>0</v>
      </c>
      <c r="J939" s="87" t="b">
        <v>0</v>
      </c>
      <c r="K939" s="87" t="b">
        <v>0</v>
      </c>
      <c r="L939" s="87" t="b">
        <v>0</v>
      </c>
    </row>
    <row r="940" spans="1:12" ht="15">
      <c r="A940" s="88" t="s">
        <v>1459</v>
      </c>
      <c r="B940" s="87" t="s">
        <v>1508</v>
      </c>
      <c r="C940" s="87">
        <v>2</v>
      </c>
      <c r="D940" s="110">
        <v>0.005031178830162321</v>
      </c>
      <c r="E940" s="110">
        <v>1.348953547981164</v>
      </c>
      <c r="F940" s="87" t="s">
        <v>1337</v>
      </c>
      <c r="G940" s="87" t="b">
        <v>0</v>
      </c>
      <c r="H940" s="87" t="b">
        <v>0</v>
      </c>
      <c r="I940" s="87" t="b">
        <v>0</v>
      </c>
      <c r="J940" s="87" t="b">
        <v>0</v>
      </c>
      <c r="K940" s="87" t="b">
        <v>0</v>
      </c>
      <c r="L940" s="87" t="b">
        <v>0</v>
      </c>
    </row>
    <row r="941" spans="1:12" ht="15">
      <c r="A941" s="88" t="s">
        <v>1453</v>
      </c>
      <c r="B941" s="87" t="s">
        <v>2034</v>
      </c>
      <c r="C941" s="87">
        <v>2</v>
      </c>
      <c r="D941" s="110">
        <v>0.005031178830162321</v>
      </c>
      <c r="E941" s="110">
        <v>1.5250448070368452</v>
      </c>
      <c r="F941" s="87" t="s">
        <v>1337</v>
      </c>
      <c r="G941" s="87" t="b">
        <v>0</v>
      </c>
      <c r="H941" s="87" t="b">
        <v>0</v>
      </c>
      <c r="I941" s="87" t="b">
        <v>0</v>
      </c>
      <c r="J941" s="87" t="b">
        <v>0</v>
      </c>
      <c r="K941" s="87" t="b">
        <v>0</v>
      </c>
      <c r="L941" s="87" t="b">
        <v>0</v>
      </c>
    </row>
    <row r="942" spans="1:12" ht="15">
      <c r="A942" s="88" t="s">
        <v>2034</v>
      </c>
      <c r="B942" s="87" t="s">
        <v>2035</v>
      </c>
      <c r="C942" s="87">
        <v>2</v>
      </c>
      <c r="D942" s="110">
        <v>0.005031178830162321</v>
      </c>
      <c r="E942" s="110">
        <v>1.5250448070368452</v>
      </c>
      <c r="F942" s="87" t="s">
        <v>1337</v>
      </c>
      <c r="G942" s="87" t="b">
        <v>0</v>
      </c>
      <c r="H942" s="87" t="b">
        <v>0</v>
      </c>
      <c r="I942" s="87" t="b">
        <v>0</v>
      </c>
      <c r="J942" s="87" t="b">
        <v>0</v>
      </c>
      <c r="K942" s="87" t="b">
        <v>0</v>
      </c>
      <c r="L942" s="87" t="b">
        <v>0</v>
      </c>
    </row>
    <row r="943" spans="1:12" ht="15">
      <c r="A943" s="88" t="s">
        <v>1453</v>
      </c>
      <c r="B943" s="87" t="s">
        <v>1515</v>
      </c>
      <c r="C943" s="87">
        <v>3</v>
      </c>
      <c r="D943" s="110">
        <v>0</v>
      </c>
      <c r="E943" s="110">
        <v>1.3979400086720377</v>
      </c>
      <c r="F943" s="87" t="s">
        <v>1338</v>
      </c>
      <c r="G943" s="87" t="b">
        <v>0</v>
      </c>
      <c r="H943" s="87" t="b">
        <v>0</v>
      </c>
      <c r="I943" s="87" t="b">
        <v>0</v>
      </c>
      <c r="J943" s="87" t="b">
        <v>1</v>
      </c>
      <c r="K943" s="87" t="b">
        <v>0</v>
      </c>
      <c r="L943" s="87" t="b">
        <v>0</v>
      </c>
    </row>
    <row r="944" spans="1:12" ht="15">
      <c r="A944" s="88" t="s">
        <v>1515</v>
      </c>
      <c r="B944" s="87" t="s">
        <v>1516</v>
      </c>
      <c r="C944" s="87">
        <v>3</v>
      </c>
      <c r="D944" s="110">
        <v>0</v>
      </c>
      <c r="E944" s="110">
        <v>1.3979400086720377</v>
      </c>
      <c r="F944" s="87" t="s">
        <v>1338</v>
      </c>
      <c r="G944" s="87" t="b">
        <v>1</v>
      </c>
      <c r="H944" s="87" t="b">
        <v>0</v>
      </c>
      <c r="I944" s="87" t="b">
        <v>0</v>
      </c>
      <c r="J944" s="87" t="b">
        <v>0</v>
      </c>
      <c r="K944" s="87" t="b">
        <v>0</v>
      </c>
      <c r="L944" s="87" t="b">
        <v>0</v>
      </c>
    </row>
    <row r="945" spans="1:12" ht="15">
      <c r="A945" s="88" t="s">
        <v>1516</v>
      </c>
      <c r="B945" s="87" t="s">
        <v>1456</v>
      </c>
      <c r="C945" s="87">
        <v>3</v>
      </c>
      <c r="D945" s="110">
        <v>0</v>
      </c>
      <c r="E945" s="110">
        <v>1.3979400086720377</v>
      </c>
      <c r="F945" s="87" t="s">
        <v>1338</v>
      </c>
      <c r="G945" s="87" t="b">
        <v>0</v>
      </c>
      <c r="H945" s="87" t="b">
        <v>0</v>
      </c>
      <c r="I945" s="87" t="b">
        <v>0</v>
      </c>
      <c r="J945" s="87" t="b">
        <v>0</v>
      </c>
      <c r="K945" s="87" t="b">
        <v>0</v>
      </c>
      <c r="L945" s="87" t="b">
        <v>0</v>
      </c>
    </row>
    <row r="946" spans="1:12" ht="15">
      <c r="A946" s="88" t="s">
        <v>1456</v>
      </c>
      <c r="B946" s="87" t="s">
        <v>1460</v>
      </c>
      <c r="C946" s="87">
        <v>3</v>
      </c>
      <c r="D946" s="110">
        <v>0</v>
      </c>
      <c r="E946" s="110">
        <v>1.3979400086720377</v>
      </c>
      <c r="F946" s="87" t="s">
        <v>1338</v>
      </c>
      <c r="G946" s="87" t="b">
        <v>0</v>
      </c>
      <c r="H946" s="87" t="b">
        <v>0</v>
      </c>
      <c r="I946" s="87" t="b">
        <v>0</v>
      </c>
      <c r="J946" s="87" t="b">
        <v>0</v>
      </c>
      <c r="K946" s="87" t="b">
        <v>0</v>
      </c>
      <c r="L946" s="87" t="b">
        <v>0</v>
      </c>
    </row>
    <row r="947" spans="1:12" ht="15">
      <c r="A947" s="88" t="s">
        <v>1460</v>
      </c>
      <c r="B947" s="87" t="s">
        <v>275</v>
      </c>
      <c r="C947" s="87">
        <v>3</v>
      </c>
      <c r="D947" s="110">
        <v>0</v>
      </c>
      <c r="E947" s="110">
        <v>1.3979400086720377</v>
      </c>
      <c r="F947" s="87" t="s">
        <v>1338</v>
      </c>
      <c r="G947" s="87" t="b">
        <v>0</v>
      </c>
      <c r="H947" s="87" t="b">
        <v>0</v>
      </c>
      <c r="I947" s="87" t="b">
        <v>0</v>
      </c>
      <c r="J947" s="87" t="b">
        <v>0</v>
      </c>
      <c r="K947" s="87" t="b">
        <v>0</v>
      </c>
      <c r="L947" s="87" t="b">
        <v>0</v>
      </c>
    </row>
    <row r="948" spans="1:12" ht="15">
      <c r="A948" s="88" t="s">
        <v>275</v>
      </c>
      <c r="B948" s="87" t="s">
        <v>1490</v>
      </c>
      <c r="C948" s="87">
        <v>3</v>
      </c>
      <c r="D948" s="110">
        <v>0</v>
      </c>
      <c r="E948" s="110">
        <v>1.3979400086720377</v>
      </c>
      <c r="F948" s="87" t="s">
        <v>1338</v>
      </c>
      <c r="G948" s="87" t="b">
        <v>0</v>
      </c>
      <c r="H948" s="87" t="b">
        <v>0</v>
      </c>
      <c r="I948" s="87" t="b">
        <v>0</v>
      </c>
      <c r="J948" s="87" t="b">
        <v>0</v>
      </c>
      <c r="K948" s="87" t="b">
        <v>0</v>
      </c>
      <c r="L948" s="87" t="b">
        <v>0</v>
      </c>
    </row>
    <row r="949" spans="1:12" ht="15">
      <c r="A949" s="88" t="s">
        <v>1490</v>
      </c>
      <c r="B949" s="87" t="s">
        <v>1517</v>
      </c>
      <c r="C949" s="87">
        <v>3</v>
      </c>
      <c r="D949" s="110">
        <v>0</v>
      </c>
      <c r="E949" s="110">
        <v>1.3979400086720377</v>
      </c>
      <c r="F949" s="87" t="s">
        <v>1338</v>
      </c>
      <c r="G949" s="87" t="b">
        <v>0</v>
      </c>
      <c r="H949" s="87" t="b">
        <v>0</v>
      </c>
      <c r="I949" s="87" t="b">
        <v>0</v>
      </c>
      <c r="J949" s="87" t="b">
        <v>0</v>
      </c>
      <c r="K949" s="87" t="b">
        <v>0</v>
      </c>
      <c r="L949" s="87" t="b">
        <v>0</v>
      </c>
    </row>
    <row r="950" spans="1:12" ht="15">
      <c r="A950" s="88" t="s">
        <v>1517</v>
      </c>
      <c r="B950" s="87" t="s">
        <v>1518</v>
      </c>
      <c r="C950" s="87">
        <v>3</v>
      </c>
      <c r="D950" s="110">
        <v>0</v>
      </c>
      <c r="E950" s="110">
        <v>1.3979400086720377</v>
      </c>
      <c r="F950" s="87" t="s">
        <v>1338</v>
      </c>
      <c r="G950" s="87" t="b">
        <v>0</v>
      </c>
      <c r="H950" s="87" t="b">
        <v>0</v>
      </c>
      <c r="I950" s="87" t="b">
        <v>0</v>
      </c>
      <c r="J950" s="87" t="b">
        <v>0</v>
      </c>
      <c r="K950" s="87" t="b">
        <v>0</v>
      </c>
      <c r="L950" s="87" t="b">
        <v>0</v>
      </c>
    </row>
    <row r="951" spans="1:12" ht="15">
      <c r="A951" s="88" t="s">
        <v>1518</v>
      </c>
      <c r="B951" s="87" t="s">
        <v>1519</v>
      </c>
      <c r="C951" s="87">
        <v>3</v>
      </c>
      <c r="D951" s="110">
        <v>0</v>
      </c>
      <c r="E951" s="110">
        <v>1.3979400086720377</v>
      </c>
      <c r="F951" s="87" t="s">
        <v>1338</v>
      </c>
      <c r="G951" s="87" t="b">
        <v>0</v>
      </c>
      <c r="H951" s="87" t="b">
        <v>0</v>
      </c>
      <c r="I951" s="87" t="b">
        <v>0</v>
      </c>
      <c r="J951" s="87" t="b">
        <v>0</v>
      </c>
      <c r="K951" s="87" t="b">
        <v>0</v>
      </c>
      <c r="L951" s="87" t="b">
        <v>0</v>
      </c>
    </row>
    <row r="952" spans="1:12" ht="15">
      <c r="A952" s="88" t="s">
        <v>1519</v>
      </c>
      <c r="B952" s="87" t="s">
        <v>1493</v>
      </c>
      <c r="C952" s="87">
        <v>3</v>
      </c>
      <c r="D952" s="110">
        <v>0</v>
      </c>
      <c r="E952" s="110">
        <v>1.3979400086720377</v>
      </c>
      <c r="F952" s="87" t="s">
        <v>1338</v>
      </c>
      <c r="G952" s="87" t="b">
        <v>0</v>
      </c>
      <c r="H952" s="87" t="b">
        <v>0</v>
      </c>
      <c r="I952" s="87" t="b">
        <v>0</v>
      </c>
      <c r="J952" s="87" t="b">
        <v>0</v>
      </c>
      <c r="K952" s="87" t="b">
        <v>0</v>
      </c>
      <c r="L952" s="87" t="b">
        <v>0</v>
      </c>
    </row>
    <row r="953" spans="1:12" ht="15">
      <c r="A953" s="88" t="s">
        <v>1493</v>
      </c>
      <c r="B953" s="87" t="s">
        <v>310</v>
      </c>
      <c r="C953" s="87">
        <v>3</v>
      </c>
      <c r="D953" s="110">
        <v>0</v>
      </c>
      <c r="E953" s="110">
        <v>1.3979400086720377</v>
      </c>
      <c r="F953" s="87" t="s">
        <v>1338</v>
      </c>
      <c r="G953" s="87" t="b">
        <v>0</v>
      </c>
      <c r="H953" s="87" t="b">
        <v>0</v>
      </c>
      <c r="I953" s="87" t="b">
        <v>0</v>
      </c>
      <c r="J953" s="87" t="b">
        <v>0</v>
      </c>
      <c r="K953" s="87" t="b">
        <v>0</v>
      </c>
      <c r="L953" s="87" t="b">
        <v>0</v>
      </c>
    </row>
    <row r="954" spans="1:12" ht="15">
      <c r="A954" s="88" t="s">
        <v>310</v>
      </c>
      <c r="B954" s="87" t="s">
        <v>1918</v>
      </c>
      <c r="C954" s="87">
        <v>3</v>
      </c>
      <c r="D954" s="110">
        <v>0</v>
      </c>
      <c r="E954" s="110">
        <v>1.3979400086720377</v>
      </c>
      <c r="F954" s="87" t="s">
        <v>1338</v>
      </c>
      <c r="G954" s="87" t="b">
        <v>0</v>
      </c>
      <c r="H954" s="87" t="b">
        <v>0</v>
      </c>
      <c r="I954" s="87" t="b">
        <v>0</v>
      </c>
      <c r="J954" s="87" t="b">
        <v>0</v>
      </c>
      <c r="K954" s="87" t="b">
        <v>0</v>
      </c>
      <c r="L954" s="87" t="b">
        <v>0</v>
      </c>
    </row>
    <row r="955" spans="1:12" ht="15">
      <c r="A955" s="88" t="s">
        <v>1918</v>
      </c>
      <c r="B955" s="87" t="s">
        <v>1919</v>
      </c>
      <c r="C955" s="87">
        <v>3</v>
      </c>
      <c r="D955" s="110">
        <v>0</v>
      </c>
      <c r="E955" s="110">
        <v>1.3979400086720377</v>
      </c>
      <c r="F955" s="87" t="s">
        <v>1338</v>
      </c>
      <c r="G955" s="87" t="b">
        <v>0</v>
      </c>
      <c r="H955" s="87" t="b">
        <v>0</v>
      </c>
      <c r="I955" s="87" t="b">
        <v>0</v>
      </c>
      <c r="J955" s="87" t="b">
        <v>0</v>
      </c>
      <c r="K955" s="87" t="b">
        <v>0</v>
      </c>
      <c r="L955" s="87" t="b">
        <v>0</v>
      </c>
    </row>
    <row r="956" spans="1:12" ht="15">
      <c r="A956" s="88" t="s">
        <v>1919</v>
      </c>
      <c r="B956" s="87" t="s">
        <v>1920</v>
      </c>
      <c r="C956" s="87">
        <v>3</v>
      </c>
      <c r="D956" s="110">
        <v>0</v>
      </c>
      <c r="E956" s="110">
        <v>1.3979400086720377</v>
      </c>
      <c r="F956" s="87" t="s">
        <v>1338</v>
      </c>
      <c r="G956" s="87" t="b">
        <v>0</v>
      </c>
      <c r="H956" s="87" t="b">
        <v>0</v>
      </c>
      <c r="I956" s="87" t="b">
        <v>0</v>
      </c>
      <c r="J956" s="87" t="b">
        <v>0</v>
      </c>
      <c r="K956" s="87" t="b">
        <v>0</v>
      </c>
      <c r="L956" s="87" t="b">
        <v>0</v>
      </c>
    </row>
    <row r="957" spans="1:12" ht="15">
      <c r="A957" s="88" t="s">
        <v>1920</v>
      </c>
      <c r="B957" s="87" t="s">
        <v>1513</v>
      </c>
      <c r="C957" s="87">
        <v>3</v>
      </c>
      <c r="D957" s="110">
        <v>0</v>
      </c>
      <c r="E957" s="110">
        <v>1.3979400086720377</v>
      </c>
      <c r="F957" s="87" t="s">
        <v>1338</v>
      </c>
      <c r="G957" s="87" t="b">
        <v>0</v>
      </c>
      <c r="H957" s="87" t="b">
        <v>0</v>
      </c>
      <c r="I957" s="87" t="b">
        <v>0</v>
      </c>
      <c r="J957" s="87" t="b">
        <v>0</v>
      </c>
      <c r="K957" s="87" t="b">
        <v>0</v>
      </c>
      <c r="L957" s="87" t="b">
        <v>0</v>
      </c>
    </row>
    <row r="958" spans="1:12" ht="15">
      <c r="A958" s="88" t="s">
        <v>1513</v>
      </c>
      <c r="B958" s="87" t="s">
        <v>1822</v>
      </c>
      <c r="C958" s="87">
        <v>3</v>
      </c>
      <c r="D958" s="110">
        <v>0</v>
      </c>
      <c r="E958" s="110">
        <v>1.3979400086720377</v>
      </c>
      <c r="F958" s="87" t="s">
        <v>1338</v>
      </c>
      <c r="G958" s="87" t="b">
        <v>0</v>
      </c>
      <c r="H958" s="87" t="b">
        <v>0</v>
      </c>
      <c r="I958" s="87" t="b">
        <v>0</v>
      </c>
      <c r="J958" s="87" t="b">
        <v>0</v>
      </c>
      <c r="K958" s="87" t="b">
        <v>0</v>
      </c>
      <c r="L958" s="87" t="b">
        <v>0</v>
      </c>
    </row>
    <row r="959" spans="1:12" ht="15">
      <c r="A959" s="88" t="s">
        <v>1822</v>
      </c>
      <c r="B959" s="87" t="s">
        <v>1829</v>
      </c>
      <c r="C959" s="87">
        <v>3</v>
      </c>
      <c r="D959" s="110">
        <v>0</v>
      </c>
      <c r="E959" s="110">
        <v>1.3979400086720377</v>
      </c>
      <c r="F959" s="87" t="s">
        <v>1338</v>
      </c>
      <c r="G959" s="87" t="b">
        <v>0</v>
      </c>
      <c r="H959" s="87" t="b">
        <v>0</v>
      </c>
      <c r="I959" s="87" t="b">
        <v>0</v>
      </c>
      <c r="J959" s="87" t="b">
        <v>1</v>
      </c>
      <c r="K959" s="87" t="b">
        <v>0</v>
      </c>
      <c r="L959" s="87" t="b">
        <v>0</v>
      </c>
    </row>
    <row r="960" spans="1:12" ht="15">
      <c r="A960" s="88" t="s">
        <v>1829</v>
      </c>
      <c r="B960" s="87" t="s">
        <v>1820</v>
      </c>
      <c r="C960" s="87">
        <v>3</v>
      </c>
      <c r="D960" s="110">
        <v>0</v>
      </c>
      <c r="E960" s="110">
        <v>1.3979400086720377</v>
      </c>
      <c r="F960" s="87" t="s">
        <v>1338</v>
      </c>
      <c r="G960" s="87" t="b">
        <v>1</v>
      </c>
      <c r="H960" s="87" t="b">
        <v>0</v>
      </c>
      <c r="I960" s="87" t="b">
        <v>0</v>
      </c>
      <c r="J960" s="87" t="b">
        <v>0</v>
      </c>
      <c r="K960" s="87" t="b">
        <v>0</v>
      </c>
      <c r="L960" s="87" t="b">
        <v>0</v>
      </c>
    </row>
    <row r="961" spans="1:12" ht="15">
      <c r="A961" s="88" t="s">
        <v>1820</v>
      </c>
      <c r="B961" s="87" t="s">
        <v>1459</v>
      </c>
      <c r="C961" s="87">
        <v>3</v>
      </c>
      <c r="D961" s="110">
        <v>0</v>
      </c>
      <c r="E961" s="110">
        <v>1.3979400086720377</v>
      </c>
      <c r="F961" s="87" t="s">
        <v>1338</v>
      </c>
      <c r="G961" s="87" t="b">
        <v>0</v>
      </c>
      <c r="H961" s="87" t="b">
        <v>0</v>
      </c>
      <c r="I961" s="87" t="b">
        <v>0</v>
      </c>
      <c r="J961" s="87" t="b">
        <v>0</v>
      </c>
      <c r="K961" s="87" t="b">
        <v>0</v>
      </c>
      <c r="L961" s="87" t="b">
        <v>0</v>
      </c>
    </row>
    <row r="962" spans="1:12" ht="15">
      <c r="A962" s="88" t="s">
        <v>1459</v>
      </c>
      <c r="B962" s="87" t="s">
        <v>1437</v>
      </c>
      <c r="C962" s="87">
        <v>3</v>
      </c>
      <c r="D962" s="110">
        <v>0</v>
      </c>
      <c r="E962" s="110">
        <v>1.3979400086720377</v>
      </c>
      <c r="F962" s="87" t="s">
        <v>1338</v>
      </c>
      <c r="G962" s="87" t="b">
        <v>0</v>
      </c>
      <c r="H962" s="87" t="b">
        <v>0</v>
      </c>
      <c r="I962" s="87" t="b">
        <v>0</v>
      </c>
      <c r="J962" s="87" t="b">
        <v>0</v>
      </c>
      <c r="K962" s="87" t="b">
        <v>0</v>
      </c>
      <c r="L962" s="87" t="b">
        <v>0</v>
      </c>
    </row>
    <row r="963" spans="1:12" ht="15">
      <c r="A963" s="88" t="s">
        <v>1437</v>
      </c>
      <c r="B963" s="87" t="s">
        <v>1446</v>
      </c>
      <c r="C963" s="87">
        <v>3</v>
      </c>
      <c r="D963" s="110">
        <v>0</v>
      </c>
      <c r="E963" s="110">
        <v>1.3979400086720377</v>
      </c>
      <c r="F963" s="87" t="s">
        <v>1338</v>
      </c>
      <c r="G963" s="87" t="b">
        <v>0</v>
      </c>
      <c r="H963" s="87" t="b">
        <v>0</v>
      </c>
      <c r="I963" s="87" t="b">
        <v>0</v>
      </c>
      <c r="J963" s="87" t="b">
        <v>0</v>
      </c>
      <c r="K963" s="87" t="b">
        <v>0</v>
      </c>
      <c r="L963" s="87" t="b">
        <v>0</v>
      </c>
    </row>
    <row r="964" spans="1:12" ht="15">
      <c r="A964" s="88" t="s">
        <v>1446</v>
      </c>
      <c r="B964" s="87" t="s">
        <v>1819</v>
      </c>
      <c r="C964" s="87">
        <v>3</v>
      </c>
      <c r="D964" s="110">
        <v>0</v>
      </c>
      <c r="E964" s="110">
        <v>1.3979400086720377</v>
      </c>
      <c r="F964" s="87" t="s">
        <v>1338</v>
      </c>
      <c r="G964" s="87" t="b">
        <v>0</v>
      </c>
      <c r="H964" s="87" t="b">
        <v>0</v>
      </c>
      <c r="I964" s="87" t="b">
        <v>0</v>
      </c>
      <c r="J964" s="87" t="b">
        <v>0</v>
      </c>
      <c r="K964" s="87" t="b">
        <v>0</v>
      </c>
      <c r="L964" s="87" t="b">
        <v>0</v>
      </c>
    </row>
    <row r="965" spans="1:12" ht="15">
      <c r="A965" s="88" t="s">
        <v>1819</v>
      </c>
      <c r="B965" s="87" t="s">
        <v>1455</v>
      </c>
      <c r="C965" s="87">
        <v>3</v>
      </c>
      <c r="D965" s="110">
        <v>0</v>
      </c>
      <c r="E965" s="110">
        <v>1.3979400086720377</v>
      </c>
      <c r="F965" s="87" t="s">
        <v>1338</v>
      </c>
      <c r="G965" s="87" t="b">
        <v>0</v>
      </c>
      <c r="H965" s="87" t="b">
        <v>0</v>
      </c>
      <c r="I965" s="87" t="b">
        <v>0</v>
      </c>
      <c r="J965" s="87" t="b">
        <v>0</v>
      </c>
      <c r="K965" s="87" t="b">
        <v>0</v>
      </c>
      <c r="L965" s="87" t="b">
        <v>0</v>
      </c>
    </row>
    <row r="966" spans="1:12" ht="15">
      <c r="A966" s="88" t="s">
        <v>1455</v>
      </c>
      <c r="B966" s="87" t="s">
        <v>1457</v>
      </c>
      <c r="C966" s="87">
        <v>3</v>
      </c>
      <c r="D966" s="110">
        <v>0</v>
      </c>
      <c r="E966" s="110">
        <v>1.3979400086720377</v>
      </c>
      <c r="F966" s="87" t="s">
        <v>1338</v>
      </c>
      <c r="G966" s="87" t="b">
        <v>0</v>
      </c>
      <c r="H966" s="87" t="b">
        <v>0</v>
      </c>
      <c r="I966" s="87" t="b">
        <v>0</v>
      </c>
      <c r="J966" s="87" t="b">
        <v>0</v>
      </c>
      <c r="K966" s="87" t="b">
        <v>0</v>
      </c>
      <c r="L966" s="87" t="b">
        <v>0</v>
      </c>
    </row>
    <row r="967" spans="1:12" ht="15">
      <c r="A967" s="88" t="s">
        <v>1457</v>
      </c>
      <c r="B967" s="87" t="s">
        <v>1454</v>
      </c>
      <c r="C967" s="87">
        <v>3</v>
      </c>
      <c r="D967" s="110">
        <v>0</v>
      </c>
      <c r="E967" s="110">
        <v>1.3979400086720377</v>
      </c>
      <c r="F967" s="87" t="s">
        <v>1338</v>
      </c>
      <c r="G967" s="87" t="b">
        <v>0</v>
      </c>
      <c r="H967" s="87" t="b">
        <v>0</v>
      </c>
      <c r="I967" s="87" t="b">
        <v>0</v>
      </c>
      <c r="J967" s="87" t="b">
        <v>0</v>
      </c>
      <c r="K967" s="87" t="b">
        <v>0</v>
      </c>
      <c r="L967" s="87" t="b">
        <v>0</v>
      </c>
    </row>
    <row r="968" spans="1:12" ht="15">
      <c r="A968" s="88" t="s">
        <v>1454</v>
      </c>
      <c r="B968" s="87" t="s">
        <v>1458</v>
      </c>
      <c r="C968" s="87">
        <v>6</v>
      </c>
      <c r="D968" s="110">
        <v>0</v>
      </c>
      <c r="E968" s="110">
        <v>1.0413926851582251</v>
      </c>
      <c r="F968" s="87" t="s">
        <v>1339</v>
      </c>
      <c r="G968" s="87" t="b">
        <v>0</v>
      </c>
      <c r="H968" s="87" t="b">
        <v>0</v>
      </c>
      <c r="I968" s="87" t="b">
        <v>0</v>
      </c>
      <c r="J968" s="87" t="b">
        <v>0</v>
      </c>
      <c r="K968" s="87" t="b">
        <v>0</v>
      </c>
      <c r="L968" s="87" t="b">
        <v>0</v>
      </c>
    </row>
    <row r="969" spans="1:12" ht="15">
      <c r="A969" s="88" t="s">
        <v>1521</v>
      </c>
      <c r="B969" s="87" t="s">
        <v>1522</v>
      </c>
      <c r="C969" s="87">
        <v>3</v>
      </c>
      <c r="D969" s="110">
        <v>0</v>
      </c>
      <c r="E969" s="110">
        <v>1.3424226808222062</v>
      </c>
      <c r="F969" s="87" t="s">
        <v>1339</v>
      </c>
      <c r="G969" s="87" t="b">
        <v>0</v>
      </c>
      <c r="H969" s="87" t="b">
        <v>0</v>
      </c>
      <c r="I969" s="87" t="b">
        <v>0</v>
      </c>
      <c r="J969" s="87" t="b">
        <v>1</v>
      </c>
      <c r="K969" s="87" t="b">
        <v>0</v>
      </c>
      <c r="L969" s="87" t="b">
        <v>0</v>
      </c>
    </row>
    <row r="970" spans="1:12" ht="15">
      <c r="A970" s="88" t="s">
        <v>1522</v>
      </c>
      <c r="B970" s="87" t="s">
        <v>1523</v>
      </c>
      <c r="C970" s="87">
        <v>3</v>
      </c>
      <c r="D970" s="110">
        <v>0</v>
      </c>
      <c r="E970" s="110">
        <v>1.3424226808222062</v>
      </c>
      <c r="F970" s="87" t="s">
        <v>1339</v>
      </c>
      <c r="G970" s="87" t="b">
        <v>1</v>
      </c>
      <c r="H970" s="87" t="b">
        <v>0</v>
      </c>
      <c r="I970" s="87" t="b">
        <v>0</v>
      </c>
      <c r="J970" s="87" t="b">
        <v>0</v>
      </c>
      <c r="K970" s="87" t="b">
        <v>0</v>
      </c>
      <c r="L970" s="87" t="b">
        <v>0</v>
      </c>
    </row>
    <row r="971" spans="1:12" ht="15">
      <c r="A971" s="88" t="s">
        <v>1523</v>
      </c>
      <c r="B971" s="87" t="s">
        <v>1453</v>
      </c>
      <c r="C971" s="87">
        <v>3</v>
      </c>
      <c r="D971" s="110">
        <v>0</v>
      </c>
      <c r="E971" s="110">
        <v>1.3424226808222062</v>
      </c>
      <c r="F971" s="87" t="s">
        <v>1339</v>
      </c>
      <c r="G971" s="87" t="b">
        <v>0</v>
      </c>
      <c r="H971" s="87" t="b">
        <v>0</v>
      </c>
      <c r="I971" s="87" t="b">
        <v>0</v>
      </c>
      <c r="J971" s="87" t="b">
        <v>0</v>
      </c>
      <c r="K971" s="87" t="b">
        <v>0</v>
      </c>
      <c r="L971" s="87" t="b">
        <v>0</v>
      </c>
    </row>
    <row r="972" spans="1:12" ht="15">
      <c r="A972" s="88" t="s">
        <v>1453</v>
      </c>
      <c r="B972" s="87" t="s">
        <v>1456</v>
      </c>
      <c r="C972" s="87">
        <v>3</v>
      </c>
      <c r="D972" s="110">
        <v>0</v>
      </c>
      <c r="E972" s="110">
        <v>1.3424226808222062</v>
      </c>
      <c r="F972" s="87" t="s">
        <v>1339</v>
      </c>
      <c r="G972" s="87" t="b">
        <v>0</v>
      </c>
      <c r="H972" s="87" t="b">
        <v>0</v>
      </c>
      <c r="I972" s="87" t="b">
        <v>0</v>
      </c>
      <c r="J972" s="87" t="b">
        <v>0</v>
      </c>
      <c r="K972" s="87" t="b">
        <v>0</v>
      </c>
      <c r="L972" s="87" t="b">
        <v>0</v>
      </c>
    </row>
    <row r="973" spans="1:12" ht="15">
      <c r="A973" s="88" t="s">
        <v>1456</v>
      </c>
      <c r="B973" s="87" t="s">
        <v>1460</v>
      </c>
      <c r="C973" s="87">
        <v>3</v>
      </c>
      <c r="D973" s="110">
        <v>0</v>
      </c>
      <c r="E973" s="110">
        <v>1.3424226808222062</v>
      </c>
      <c r="F973" s="87" t="s">
        <v>1339</v>
      </c>
      <c r="G973" s="87" t="b">
        <v>0</v>
      </c>
      <c r="H973" s="87" t="b">
        <v>0</v>
      </c>
      <c r="I973" s="87" t="b">
        <v>0</v>
      </c>
      <c r="J973" s="87" t="b">
        <v>0</v>
      </c>
      <c r="K973" s="87" t="b">
        <v>0</v>
      </c>
      <c r="L973" s="87" t="b">
        <v>0</v>
      </c>
    </row>
    <row r="974" spans="1:12" ht="15">
      <c r="A974" s="88" t="s">
        <v>1460</v>
      </c>
      <c r="B974" s="87" t="s">
        <v>1490</v>
      </c>
      <c r="C974" s="87">
        <v>3</v>
      </c>
      <c r="D974" s="110">
        <v>0</v>
      </c>
      <c r="E974" s="110">
        <v>1.3424226808222062</v>
      </c>
      <c r="F974" s="87" t="s">
        <v>1339</v>
      </c>
      <c r="G974" s="87" t="b">
        <v>0</v>
      </c>
      <c r="H974" s="87" t="b">
        <v>0</v>
      </c>
      <c r="I974" s="87" t="b">
        <v>0</v>
      </c>
      <c r="J974" s="87" t="b">
        <v>0</v>
      </c>
      <c r="K974" s="87" t="b">
        <v>0</v>
      </c>
      <c r="L974" s="87" t="b">
        <v>0</v>
      </c>
    </row>
    <row r="975" spans="1:12" ht="15">
      <c r="A975" s="88" t="s">
        <v>1490</v>
      </c>
      <c r="B975" s="87" t="s">
        <v>1524</v>
      </c>
      <c r="C975" s="87">
        <v>3</v>
      </c>
      <c r="D975" s="110">
        <v>0</v>
      </c>
      <c r="E975" s="110">
        <v>1.3424226808222062</v>
      </c>
      <c r="F975" s="87" t="s">
        <v>1339</v>
      </c>
      <c r="G975" s="87" t="b">
        <v>0</v>
      </c>
      <c r="H975" s="87" t="b">
        <v>0</v>
      </c>
      <c r="I975" s="87" t="b">
        <v>0</v>
      </c>
      <c r="J975" s="87" t="b">
        <v>0</v>
      </c>
      <c r="K975" s="87" t="b">
        <v>0</v>
      </c>
      <c r="L975" s="87" t="b">
        <v>0</v>
      </c>
    </row>
    <row r="976" spans="1:12" ht="15">
      <c r="A976" s="88" t="s">
        <v>1524</v>
      </c>
      <c r="B976" s="87" t="s">
        <v>1900</v>
      </c>
      <c r="C976" s="87">
        <v>3</v>
      </c>
      <c r="D976" s="110">
        <v>0</v>
      </c>
      <c r="E976" s="110">
        <v>1.3424226808222062</v>
      </c>
      <c r="F976" s="87" t="s">
        <v>1339</v>
      </c>
      <c r="G976" s="87" t="b">
        <v>0</v>
      </c>
      <c r="H976" s="87" t="b">
        <v>0</v>
      </c>
      <c r="I976" s="87" t="b">
        <v>0</v>
      </c>
      <c r="J976" s="87" t="b">
        <v>0</v>
      </c>
      <c r="K976" s="87" t="b">
        <v>0</v>
      </c>
      <c r="L976" s="87" t="b">
        <v>0</v>
      </c>
    </row>
    <row r="977" spans="1:12" ht="15">
      <c r="A977" s="88" t="s">
        <v>1900</v>
      </c>
      <c r="B977" s="87" t="s">
        <v>1493</v>
      </c>
      <c r="C977" s="87">
        <v>3</v>
      </c>
      <c r="D977" s="110">
        <v>0</v>
      </c>
      <c r="E977" s="110">
        <v>1.3424226808222062</v>
      </c>
      <c r="F977" s="87" t="s">
        <v>1339</v>
      </c>
      <c r="G977" s="87" t="b">
        <v>0</v>
      </c>
      <c r="H977" s="87" t="b">
        <v>0</v>
      </c>
      <c r="I977" s="87" t="b">
        <v>0</v>
      </c>
      <c r="J977" s="87" t="b">
        <v>0</v>
      </c>
      <c r="K977" s="87" t="b">
        <v>0</v>
      </c>
      <c r="L977" s="87" t="b">
        <v>0</v>
      </c>
    </row>
    <row r="978" spans="1:12" ht="15">
      <c r="A978" s="88" t="s">
        <v>1493</v>
      </c>
      <c r="B978" s="87" t="s">
        <v>324</v>
      </c>
      <c r="C978" s="87">
        <v>3</v>
      </c>
      <c r="D978" s="110">
        <v>0</v>
      </c>
      <c r="E978" s="110">
        <v>1.3424226808222062</v>
      </c>
      <c r="F978" s="87" t="s">
        <v>1339</v>
      </c>
      <c r="G978" s="87" t="b">
        <v>0</v>
      </c>
      <c r="H978" s="87" t="b">
        <v>0</v>
      </c>
      <c r="I978" s="87" t="b">
        <v>0</v>
      </c>
      <c r="J978" s="87" t="b">
        <v>0</v>
      </c>
      <c r="K978" s="87" t="b">
        <v>0</v>
      </c>
      <c r="L978" s="87" t="b">
        <v>0</v>
      </c>
    </row>
    <row r="979" spans="1:12" ht="15">
      <c r="A979" s="88" t="s">
        <v>324</v>
      </c>
      <c r="B979" s="87" t="s">
        <v>1821</v>
      </c>
      <c r="C979" s="87">
        <v>3</v>
      </c>
      <c r="D979" s="110">
        <v>0</v>
      </c>
      <c r="E979" s="110">
        <v>1.3424226808222062</v>
      </c>
      <c r="F979" s="87" t="s">
        <v>1339</v>
      </c>
      <c r="G979" s="87" t="b">
        <v>0</v>
      </c>
      <c r="H979" s="87" t="b">
        <v>0</v>
      </c>
      <c r="I979" s="87" t="b">
        <v>0</v>
      </c>
      <c r="J979" s="87" t="b">
        <v>0</v>
      </c>
      <c r="K979" s="87" t="b">
        <v>0</v>
      </c>
      <c r="L979" s="87" t="b">
        <v>0</v>
      </c>
    </row>
    <row r="980" spans="1:12" ht="15">
      <c r="A980" s="88" t="s">
        <v>1821</v>
      </c>
      <c r="B980" s="87" t="s">
        <v>1874</v>
      </c>
      <c r="C980" s="87">
        <v>3</v>
      </c>
      <c r="D980" s="110">
        <v>0</v>
      </c>
      <c r="E980" s="110">
        <v>1.3424226808222062</v>
      </c>
      <c r="F980" s="87" t="s">
        <v>1339</v>
      </c>
      <c r="G980" s="87" t="b">
        <v>0</v>
      </c>
      <c r="H980" s="87" t="b">
        <v>0</v>
      </c>
      <c r="I980" s="87" t="b">
        <v>0</v>
      </c>
      <c r="J980" s="87" t="b">
        <v>0</v>
      </c>
      <c r="K980" s="87" t="b">
        <v>0</v>
      </c>
      <c r="L980" s="87" t="b">
        <v>0</v>
      </c>
    </row>
    <row r="981" spans="1:12" ht="15">
      <c r="A981" s="88" t="s">
        <v>1874</v>
      </c>
      <c r="B981" s="87" t="s">
        <v>1437</v>
      </c>
      <c r="C981" s="87">
        <v>3</v>
      </c>
      <c r="D981" s="110">
        <v>0</v>
      </c>
      <c r="E981" s="110">
        <v>1.3424226808222062</v>
      </c>
      <c r="F981" s="87" t="s">
        <v>1339</v>
      </c>
      <c r="G981" s="87" t="b">
        <v>0</v>
      </c>
      <c r="H981" s="87" t="b">
        <v>0</v>
      </c>
      <c r="I981" s="87" t="b">
        <v>0</v>
      </c>
      <c r="J981" s="87" t="b">
        <v>0</v>
      </c>
      <c r="K981" s="87" t="b">
        <v>0</v>
      </c>
      <c r="L981" s="87" t="b">
        <v>0</v>
      </c>
    </row>
    <row r="982" spans="1:12" ht="15">
      <c r="A982" s="88" t="s">
        <v>1437</v>
      </c>
      <c r="B982" s="87" t="s">
        <v>1875</v>
      </c>
      <c r="C982" s="87">
        <v>3</v>
      </c>
      <c r="D982" s="110">
        <v>0</v>
      </c>
      <c r="E982" s="110">
        <v>1.3424226808222062</v>
      </c>
      <c r="F982" s="87" t="s">
        <v>1339</v>
      </c>
      <c r="G982" s="87" t="b">
        <v>0</v>
      </c>
      <c r="H982" s="87" t="b">
        <v>0</v>
      </c>
      <c r="I982" s="87" t="b">
        <v>0</v>
      </c>
      <c r="J982" s="87" t="b">
        <v>0</v>
      </c>
      <c r="K982" s="87" t="b">
        <v>0</v>
      </c>
      <c r="L982" s="87" t="b">
        <v>0</v>
      </c>
    </row>
    <row r="983" spans="1:12" ht="15">
      <c r="A983" s="88" t="s">
        <v>1875</v>
      </c>
      <c r="B983" s="87" t="s">
        <v>1455</v>
      </c>
      <c r="C983" s="87">
        <v>3</v>
      </c>
      <c r="D983" s="110">
        <v>0</v>
      </c>
      <c r="E983" s="110">
        <v>1.3424226808222062</v>
      </c>
      <c r="F983" s="87" t="s">
        <v>1339</v>
      </c>
      <c r="G983" s="87" t="b">
        <v>0</v>
      </c>
      <c r="H983" s="87" t="b">
        <v>0</v>
      </c>
      <c r="I983" s="87" t="b">
        <v>0</v>
      </c>
      <c r="J983" s="87" t="b">
        <v>0</v>
      </c>
      <c r="K983" s="87" t="b">
        <v>0</v>
      </c>
      <c r="L983" s="87" t="b">
        <v>0</v>
      </c>
    </row>
    <row r="984" spans="1:12" ht="15">
      <c r="A984" s="88" t="s">
        <v>1455</v>
      </c>
      <c r="B984" s="87" t="s">
        <v>1457</v>
      </c>
      <c r="C984" s="87">
        <v>3</v>
      </c>
      <c r="D984" s="110">
        <v>0</v>
      </c>
      <c r="E984" s="110">
        <v>1.3424226808222062</v>
      </c>
      <c r="F984" s="87" t="s">
        <v>1339</v>
      </c>
      <c r="G984" s="87" t="b">
        <v>0</v>
      </c>
      <c r="H984" s="87" t="b">
        <v>0</v>
      </c>
      <c r="I984" s="87" t="b">
        <v>0</v>
      </c>
      <c r="J984" s="87" t="b">
        <v>0</v>
      </c>
      <c r="K984" s="87" t="b">
        <v>0</v>
      </c>
      <c r="L984" s="87" t="b">
        <v>0</v>
      </c>
    </row>
    <row r="985" spans="1:12" ht="15">
      <c r="A985" s="88" t="s">
        <v>1457</v>
      </c>
      <c r="B985" s="87" t="s">
        <v>1454</v>
      </c>
      <c r="C985" s="87">
        <v>3</v>
      </c>
      <c r="D985" s="110">
        <v>0</v>
      </c>
      <c r="E985" s="110">
        <v>1.0413926851582251</v>
      </c>
      <c r="F985" s="87" t="s">
        <v>1339</v>
      </c>
      <c r="G985" s="87" t="b">
        <v>0</v>
      </c>
      <c r="H985" s="87" t="b">
        <v>0</v>
      </c>
      <c r="I985" s="87" t="b">
        <v>0</v>
      </c>
      <c r="J985" s="87" t="b">
        <v>0</v>
      </c>
      <c r="K985" s="87" t="b">
        <v>0</v>
      </c>
      <c r="L985" s="87" t="b">
        <v>0</v>
      </c>
    </row>
    <row r="986" spans="1:12" ht="15">
      <c r="A986" s="88" t="s">
        <v>1458</v>
      </c>
      <c r="B986" s="87" t="s">
        <v>289</v>
      </c>
      <c r="C986" s="87">
        <v>3</v>
      </c>
      <c r="D986" s="110">
        <v>0</v>
      </c>
      <c r="E986" s="110">
        <v>1.3424226808222062</v>
      </c>
      <c r="F986" s="87" t="s">
        <v>1339</v>
      </c>
      <c r="G986" s="87" t="b">
        <v>0</v>
      </c>
      <c r="H986" s="87" t="b">
        <v>0</v>
      </c>
      <c r="I986" s="87" t="b">
        <v>0</v>
      </c>
      <c r="J986" s="87" t="b">
        <v>0</v>
      </c>
      <c r="K986" s="87" t="b">
        <v>0</v>
      </c>
      <c r="L986" s="87" t="b">
        <v>0</v>
      </c>
    </row>
    <row r="987" spans="1:12" ht="15">
      <c r="A987" s="88" t="s">
        <v>289</v>
      </c>
      <c r="B987" s="87" t="s">
        <v>290</v>
      </c>
      <c r="C987" s="87">
        <v>3</v>
      </c>
      <c r="D987" s="110">
        <v>0</v>
      </c>
      <c r="E987" s="110">
        <v>1.3424226808222062</v>
      </c>
      <c r="F987" s="87" t="s">
        <v>1339</v>
      </c>
      <c r="G987" s="87" t="b">
        <v>0</v>
      </c>
      <c r="H987" s="87" t="b">
        <v>0</v>
      </c>
      <c r="I987" s="87" t="b">
        <v>0</v>
      </c>
      <c r="J987" s="87" t="b">
        <v>0</v>
      </c>
      <c r="K987" s="87" t="b">
        <v>0</v>
      </c>
      <c r="L987" s="87" t="b">
        <v>0</v>
      </c>
    </row>
    <row r="988" spans="1:12" ht="15">
      <c r="A988" s="88" t="s">
        <v>290</v>
      </c>
      <c r="B988" s="87" t="s">
        <v>1454</v>
      </c>
      <c r="C988" s="87">
        <v>3</v>
      </c>
      <c r="D988" s="110">
        <v>0</v>
      </c>
      <c r="E988" s="110">
        <v>1.0413926851582251</v>
      </c>
      <c r="F988" s="87" t="s">
        <v>1339</v>
      </c>
      <c r="G988" s="87" t="b">
        <v>0</v>
      </c>
      <c r="H988" s="87" t="b">
        <v>0</v>
      </c>
      <c r="I988" s="87" t="b">
        <v>0</v>
      </c>
      <c r="J988" s="87" t="b">
        <v>0</v>
      </c>
      <c r="K988" s="87" t="b">
        <v>0</v>
      </c>
      <c r="L988" s="87" t="b">
        <v>0</v>
      </c>
    </row>
    <row r="989" spans="1:12" ht="15">
      <c r="A989" s="88" t="s">
        <v>1453</v>
      </c>
      <c r="B989" s="87" t="s">
        <v>1825</v>
      </c>
      <c r="C989" s="87">
        <v>2</v>
      </c>
      <c r="D989" s="110">
        <v>0</v>
      </c>
      <c r="E989" s="110">
        <v>1.3979400086720377</v>
      </c>
      <c r="F989" s="87" t="s">
        <v>1340</v>
      </c>
      <c r="G989" s="87" t="b">
        <v>0</v>
      </c>
      <c r="H989" s="87" t="b">
        <v>0</v>
      </c>
      <c r="I989" s="87" t="b">
        <v>0</v>
      </c>
      <c r="J989" s="87" t="b">
        <v>0</v>
      </c>
      <c r="K989" s="87" t="b">
        <v>0</v>
      </c>
      <c r="L989" s="87" t="b">
        <v>0</v>
      </c>
    </row>
    <row r="990" spans="1:12" ht="15">
      <c r="A990" s="88" t="s">
        <v>1825</v>
      </c>
      <c r="B990" s="87" t="s">
        <v>1490</v>
      </c>
      <c r="C990" s="87">
        <v>2</v>
      </c>
      <c r="D990" s="110">
        <v>0</v>
      </c>
      <c r="E990" s="110">
        <v>1.3979400086720377</v>
      </c>
      <c r="F990" s="87" t="s">
        <v>1340</v>
      </c>
      <c r="G990" s="87" t="b">
        <v>0</v>
      </c>
      <c r="H990" s="87" t="b">
        <v>0</v>
      </c>
      <c r="I990" s="87" t="b">
        <v>0</v>
      </c>
      <c r="J990" s="87" t="b">
        <v>0</v>
      </c>
      <c r="K990" s="87" t="b">
        <v>0</v>
      </c>
      <c r="L990" s="87" t="b">
        <v>0</v>
      </c>
    </row>
    <row r="991" spans="1:12" ht="15">
      <c r="A991" s="88" t="s">
        <v>1490</v>
      </c>
      <c r="B991" s="87" t="s">
        <v>1952</v>
      </c>
      <c r="C991" s="87">
        <v>2</v>
      </c>
      <c r="D991" s="110">
        <v>0</v>
      </c>
      <c r="E991" s="110">
        <v>1.3979400086720377</v>
      </c>
      <c r="F991" s="87" t="s">
        <v>1340</v>
      </c>
      <c r="G991" s="87" t="b">
        <v>0</v>
      </c>
      <c r="H991" s="87" t="b">
        <v>0</v>
      </c>
      <c r="I991" s="87" t="b">
        <v>0</v>
      </c>
      <c r="J991" s="87" t="b">
        <v>0</v>
      </c>
      <c r="K991" s="87" t="b">
        <v>0</v>
      </c>
      <c r="L991" s="87" t="b">
        <v>0</v>
      </c>
    </row>
    <row r="992" spans="1:12" ht="15">
      <c r="A992" s="88" t="s">
        <v>1952</v>
      </c>
      <c r="B992" s="87" t="s">
        <v>1953</v>
      </c>
      <c r="C992" s="87">
        <v>2</v>
      </c>
      <c r="D992" s="110">
        <v>0</v>
      </c>
      <c r="E992" s="110">
        <v>1.3979400086720377</v>
      </c>
      <c r="F992" s="87" t="s">
        <v>1340</v>
      </c>
      <c r="G992" s="87" t="b">
        <v>0</v>
      </c>
      <c r="H992" s="87" t="b">
        <v>0</v>
      </c>
      <c r="I992" s="87" t="b">
        <v>0</v>
      </c>
      <c r="J992" s="87" t="b">
        <v>0</v>
      </c>
      <c r="K992" s="87" t="b">
        <v>0</v>
      </c>
      <c r="L992" s="87" t="b">
        <v>0</v>
      </c>
    </row>
    <row r="993" spans="1:12" ht="15">
      <c r="A993" s="88" t="s">
        <v>1953</v>
      </c>
      <c r="B993" s="87" t="s">
        <v>1954</v>
      </c>
      <c r="C993" s="87">
        <v>2</v>
      </c>
      <c r="D993" s="110">
        <v>0</v>
      </c>
      <c r="E993" s="110">
        <v>1.3979400086720377</v>
      </c>
      <c r="F993" s="87" t="s">
        <v>1340</v>
      </c>
      <c r="G993" s="87" t="b">
        <v>0</v>
      </c>
      <c r="H993" s="87" t="b">
        <v>0</v>
      </c>
      <c r="I993" s="87" t="b">
        <v>0</v>
      </c>
      <c r="J993" s="87" t="b">
        <v>1</v>
      </c>
      <c r="K993" s="87" t="b">
        <v>0</v>
      </c>
      <c r="L993" s="87" t="b">
        <v>0</v>
      </c>
    </row>
    <row r="994" spans="1:12" ht="15">
      <c r="A994" s="88" t="s">
        <v>1954</v>
      </c>
      <c r="B994" s="87" t="s">
        <v>1821</v>
      </c>
      <c r="C994" s="87">
        <v>2</v>
      </c>
      <c r="D994" s="110">
        <v>0</v>
      </c>
      <c r="E994" s="110">
        <v>1.0969100130080565</v>
      </c>
      <c r="F994" s="87" t="s">
        <v>1340</v>
      </c>
      <c r="G994" s="87" t="b">
        <v>1</v>
      </c>
      <c r="H994" s="87" t="b">
        <v>0</v>
      </c>
      <c r="I994" s="87" t="b">
        <v>0</v>
      </c>
      <c r="J994" s="87" t="b">
        <v>0</v>
      </c>
      <c r="K994" s="87" t="b">
        <v>0</v>
      </c>
      <c r="L994" s="87" t="b">
        <v>0</v>
      </c>
    </row>
    <row r="995" spans="1:12" ht="15">
      <c r="A995" s="88" t="s">
        <v>1821</v>
      </c>
      <c r="B995" s="87" t="s">
        <v>1955</v>
      </c>
      <c r="C995" s="87">
        <v>2</v>
      </c>
      <c r="D995" s="110">
        <v>0</v>
      </c>
      <c r="E995" s="110">
        <v>1.0969100130080565</v>
      </c>
      <c r="F995" s="87" t="s">
        <v>1340</v>
      </c>
      <c r="G995" s="87" t="b">
        <v>0</v>
      </c>
      <c r="H995" s="87" t="b">
        <v>0</v>
      </c>
      <c r="I995" s="87" t="b">
        <v>0</v>
      </c>
      <c r="J995" s="87" t="b">
        <v>0</v>
      </c>
      <c r="K995" s="87" t="b">
        <v>1</v>
      </c>
      <c r="L995" s="87" t="b">
        <v>0</v>
      </c>
    </row>
    <row r="996" spans="1:12" ht="15">
      <c r="A996" s="88" t="s">
        <v>1955</v>
      </c>
      <c r="B996" s="87" t="s">
        <v>1495</v>
      </c>
      <c r="C996" s="87">
        <v>2</v>
      </c>
      <c r="D996" s="110">
        <v>0</v>
      </c>
      <c r="E996" s="110">
        <v>1.3979400086720377</v>
      </c>
      <c r="F996" s="87" t="s">
        <v>1340</v>
      </c>
      <c r="G996" s="87" t="b">
        <v>0</v>
      </c>
      <c r="H996" s="87" t="b">
        <v>1</v>
      </c>
      <c r="I996" s="87" t="b">
        <v>0</v>
      </c>
      <c r="J996" s="87" t="b">
        <v>1</v>
      </c>
      <c r="K996" s="87" t="b">
        <v>0</v>
      </c>
      <c r="L996" s="87" t="b">
        <v>0</v>
      </c>
    </row>
    <row r="997" spans="1:12" ht="15">
      <c r="A997" s="88" t="s">
        <v>1495</v>
      </c>
      <c r="B997" s="87" t="s">
        <v>1956</v>
      </c>
      <c r="C997" s="87">
        <v>2</v>
      </c>
      <c r="D997" s="110">
        <v>0</v>
      </c>
      <c r="E997" s="110">
        <v>1.3979400086720377</v>
      </c>
      <c r="F997" s="87" t="s">
        <v>1340</v>
      </c>
      <c r="G997" s="87" t="b">
        <v>1</v>
      </c>
      <c r="H997" s="87" t="b">
        <v>0</v>
      </c>
      <c r="I997" s="87" t="b">
        <v>0</v>
      </c>
      <c r="J997" s="87" t="b">
        <v>0</v>
      </c>
      <c r="K997" s="87" t="b">
        <v>0</v>
      </c>
      <c r="L997" s="87" t="b">
        <v>0</v>
      </c>
    </row>
    <row r="998" spans="1:12" ht="15">
      <c r="A998" s="88" t="s">
        <v>1956</v>
      </c>
      <c r="B998" s="87" t="s">
        <v>1821</v>
      </c>
      <c r="C998" s="87">
        <v>2</v>
      </c>
      <c r="D998" s="110">
        <v>0</v>
      </c>
      <c r="E998" s="110">
        <v>1.0969100130080565</v>
      </c>
      <c r="F998" s="87" t="s">
        <v>1340</v>
      </c>
      <c r="G998" s="87" t="b">
        <v>0</v>
      </c>
      <c r="H998" s="87" t="b">
        <v>0</v>
      </c>
      <c r="I998" s="87" t="b">
        <v>0</v>
      </c>
      <c r="J998" s="87" t="b">
        <v>0</v>
      </c>
      <c r="K998" s="87" t="b">
        <v>0</v>
      </c>
      <c r="L998" s="87" t="b">
        <v>0</v>
      </c>
    </row>
    <row r="999" spans="1:12" ht="15">
      <c r="A999" s="88" t="s">
        <v>1821</v>
      </c>
      <c r="B999" s="87" t="s">
        <v>1437</v>
      </c>
      <c r="C999" s="87">
        <v>2</v>
      </c>
      <c r="D999" s="110">
        <v>0</v>
      </c>
      <c r="E999" s="110">
        <v>0.7958800173440752</v>
      </c>
      <c r="F999" s="87" t="s">
        <v>1340</v>
      </c>
      <c r="G999" s="87" t="b">
        <v>0</v>
      </c>
      <c r="H999" s="87" t="b">
        <v>0</v>
      </c>
      <c r="I999" s="87" t="b">
        <v>0</v>
      </c>
      <c r="J999" s="87" t="b">
        <v>0</v>
      </c>
      <c r="K999" s="87" t="b">
        <v>0</v>
      </c>
      <c r="L999" s="87" t="b">
        <v>0</v>
      </c>
    </row>
    <row r="1000" spans="1:12" ht="15">
      <c r="A1000" s="88" t="s">
        <v>1437</v>
      </c>
      <c r="B1000" s="87" t="s">
        <v>1957</v>
      </c>
      <c r="C1000" s="87">
        <v>2</v>
      </c>
      <c r="D1000" s="110">
        <v>0</v>
      </c>
      <c r="E1000" s="110">
        <v>1.0969100130080565</v>
      </c>
      <c r="F1000" s="87" t="s">
        <v>1340</v>
      </c>
      <c r="G1000" s="87" t="b">
        <v>0</v>
      </c>
      <c r="H1000" s="87" t="b">
        <v>0</v>
      </c>
      <c r="I1000" s="87" t="b">
        <v>0</v>
      </c>
      <c r="J1000" s="87" t="b">
        <v>0</v>
      </c>
      <c r="K1000" s="87" t="b">
        <v>0</v>
      </c>
      <c r="L1000" s="87" t="b">
        <v>0</v>
      </c>
    </row>
    <row r="1001" spans="1:12" ht="15">
      <c r="A1001" s="88" t="s">
        <v>1957</v>
      </c>
      <c r="B1001" s="87" t="s">
        <v>304</v>
      </c>
      <c r="C1001" s="87">
        <v>2</v>
      </c>
      <c r="D1001" s="110">
        <v>0</v>
      </c>
      <c r="E1001" s="110">
        <v>1.3979400086720377</v>
      </c>
      <c r="F1001" s="87" t="s">
        <v>1340</v>
      </c>
      <c r="G1001" s="87" t="b">
        <v>0</v>
      </c>
      <c r="H1001" s="87" t="b">
        <v>0</v>
      </c>
      <c r="I1001" s="87" t="b">
        <v>0</v>
      </c>
      <c r="J1001" s="87" t="b">
        <v>0</v>
      </c>
      <c r="K1001" s="87" t="b">
        <v>0</v>
      </c>
      <c r="L1001" s="87" t="b">
        <v>0</v>
      </c>
    </row>
    <row r="1002" spans="1:12" ht="15">
      <c r="A1002" s="88" t="s">
        <v>304</v>
      </c>
      <c r="B1002" s="87" t="s">
        <v>1824</v>
      </c>
      <c r="C1002" s="87">
        <v>2</v>
      </c>
      <c r="D1002" s="110">
        <v>0</v>
      </c>
      <c r="E1002" s="110">
        <v>1.3979400086720377</v>
      </c>
      <c r="F1002" s="87" t="s">
        <v>1340</v>
      </c>
      <c r="G1002" s="87" t="b">
        <v>0</v>
      </c>
      <c r="H1002" s="87" t="b">
        <v>0</v>
      </c>
      <c r="I1002" s="87" t="b">
        <v>0</v>
      </c>
      <c r="J1002" s="87" t="b">
        <v>0</v>
      </c>
      <c r="K1002" s="87" t="b">
        <v>0</v>
      </c>
      <c r="L1002" s="87" t="b">
        <v>0</v>
      </c>
    </row>
    <row r="1003" spans="1:12" ht="15">
      <c r="A1003" s="88" t="s">
        <v>1824</v>
      </c>
      <c r="B1003" s="87" t="s">
        <v>451</v>
      </c>
      <c r="C1003" s="87">
        <v>2</v>
      </c>
      <c r="D1003" s="110">
        <v>0</v>
      </c>
      <c r="E1003" s="110">
        <v>1.3979400086720377</v>
      </c>
      <c r="F1003" s="87" t="s">
        <v>1340</v>
      </c>
      <c r="G1003" s="87" t="b">
        <v>0</v>
      </c>
      <c r="H1003" s="87" t="b">
        <v>0</v>
      </c>
      <c r="I1003" s="87" t="b">
        <v>0</v>
      </c>
      <c r="J1003" s="87" t="b">
        <v>0</v>
      </c>
      <c r="K1003" s="87" t="b">
        <v>0</v>
      </c>
      <c r="L1003" s="87" t="b">
        <v>0</v>
      </c>
    </row>
    <row r="1004" spans="1:12" ht="15">
      <c r="A1004" s="88" t="s">
        <v>451</v>
      </c>
      <c r="B1004" s="87" t="s">
        <v>1513</v>
      </c>
      <c r="C1004" s="87">
        <v>2</v>
      </c>
      <c r="D1004" s="110">
        <v>0</v>
      </c>
      <c r="E1004" s="110">
        <v>1.3979400086720377</v>
      </c>
      <c r="F1004" s="87" t="s">
        <v>1340</v>
      </c>
      <c r="G1004" s="87" t="b">
        <v>0</v>
      </c>
      <c r="H1004" s="87" t="b">
        <v>0</v>
      </c>
      <c r="I1004" s="87" t="b">
        <v>0</v>
      </c>
      <c r="J1004" s="87" t="b">
        <v>0</v>
      </c>
      <c r="K1004" s="87" t="b">
        <v>0</v>
      </c>
      <c r="L1004" s="87" t="b">
        <v>0</v>
      </c>
    </row>
    <row r="1005" spans="1:12" ht="15">
      <c r="A1005" s="88" t="s">
        <v>1513</v>
      </c>
      <c r="B1005" s="87" t="s">
        <v>1822</v>
      </c>
      <c r="C1005" s="87">
        <v>2</v>
      </c>
      <c r="D1005" s="110">
        <v>0</v>
      </c>
      <c r="E1005" s="110">
        <v>1.3979400086720377</v>
      </c>
      <c r="F1005" s="87" t="s">
        <v>1340</v>
      </c>
      <c r="G1005" s="87" t="b">
        <v>0</v>
      </c>
      <c r="H1005" s="87" t="b">
        <v>0</v>
      </c>
      <c r="I1005" s="87" t="b">
        <v>0</v>
      </c>
      <c r="J1005" s="87" t="b">
        <v>0</v>
      </c>
      <c r="K1005" s="87" t="b">
        <v>0</v>
      </c>
      <c r="L1005" s="87" t="b">
        <v>0</v>
      </c>
    </row>
    <row r="1006" spans="1:12" ht="15">
      <c r="A1006" s="88" t="s">
        <v>1822</v>
      </c>
      <c r="B1006" s="87" t="s">
        <v>1823</v>
      </c>
      <c r="C1006" s="87">
        <v>2</v>
      </c>
      <c r="D1006" s="110">
        <v>0</v>
      </c>
      <c r="E1006" s="110">
        <v>1.3979400086720377</v>
      </c>
      <c r="F1006" s="87" t="s">
        <v>1340</v>
      </c>
      <c r="G1006" s="87" t="b">
        <v>0</v>
      </c>
      <c r="H1006" s="87" t="b">
        <v>0</v>
      </c>
      <c r="I1006" s="87" t="b">
        <v>0</v>
      </c>
      <c r="J1006" s="87" t="b">
        <v>0</v>
      </c>
      <c r="K1006" s="87" t="b">
        <v>0</v>
      </c>
      <c r="L1006" s="87" t="b">
        <v>0</v>
      </c>
    </row>
    <row r="1007" spans="1:12" ht="15">
      <c r="A1007" s="88" t="s">
        <v>1823</v>
      </c>
      <c r="B1007" s="87" t="s">
        <v>1820</v>
      </c>
      <c r="C1007" s="87">
        <v>2</v>
      </c>
      <c r="D1007" s="110">
        <v>0</v>
      </c>
      <c r="E1007" s="110">
        <v>1.3979400086720377</v>
      </c>
      <c r="F1007" s="87" t="s">
        <v>1340</v>
      </c>
      <c r="G1007" s="87" t="b">
        <v>0</v>
      </c>
      <c r="H1007" s="87" t="b">
        <v>0</v>
      </c>
      <c r="I1007" s="87" t="b">
        <v>0</v>
      </c>
      <c r="J1007" s="87" t="b">
        <v>0</v>
      </c>
      <c r="K1007" s="87" t="b">
        <v>0</v>
      </c>
      <c r="L1007" s="87" t="b">
        <v>0</v>
      </c>
    </row>
    <row r="1008" spans="1:12" ht="15">
      <c r="A1008" s="88" t="s">
        <v>1820</v>
      </c>
      <c r="B1008" s="87" t="s">
        <v>1459</v>
      </c>
      <c r="C1008" s="87">
        <v>2</v>
      </c>
      <c r="D1008" s="110">
        <v>0</v>
      </c>
      <c r="E1008" s="110">
        <v>1.3979400086720377</v>
      </c>
      <c r="F1008" s="87" t="s">
        <v>1340</v>
      </c>
      <c r="G1008" s="87" t="b">
        <v>0</v>
      </c>
      <c r="H1008" s="87" t="b">
        <v>0</v>
      </c>
      <c r="I1008" s="87" t="b">
        <v>0</v>
      </c>
      <c r="J1008" s="87" t="b">
        <v>0</v>
      </c>
      <c r="K1008" s="87" t="b">
        <v>0</v>
      </c>
      <c r="L1008" s="87" t="b">
        <v>0</v>
      </c>
    </row>
    <row r="1009" spans="1:12" ht="15">
      <c r="A1009" s="88" t="s">
        <v>1459</v>
      </c>
      <c r="B1009" s="87" t="s">
        <v>1437</v>
      </c>
      <c r="C1009" s="87">
        <v>2</v>
      </c>
      <c r="D1009" s="110">
        <v>0</v>
      </c>
      <c r="E1009" s="110">
        <v>1.0969100130080565</v>
      </c>
      <c r="F1009" s="87" t="s">
        <v>1340</v>
      </c>
      <c r="G1009" s="87" t="b">
        <v>0</v>
      </c>
      <c r="H1009" s="87" t="b">
        <v>0</v>
      </c>
      <c r="I1009" s="87" t="b">
        <v>0</v>
      </c>
      <c r="J1009" s="87" t="b">
        <v>0</v>
      </c>
      <c r="K1009" s="87" t="b">
        <v>0</v>
      </c>
      <c r="L1009" s="87" t="b">
        <v>0</v>
      </c>
    </row>
    <row r="1010" spans="1:12" ht="15">
      <c r="A1010" s="88" t="s">
        <v>1437</v>
      </c>
      <c r="B1010" s="87" t="s">
        <v>1455</v>
      </c>
      <c r="C1010" s="87">
        <v>2</v>
      </c>
      <c r="D1010" s="110">
        <v>0</v>
      </c>
      <c r="E1010" s="110">
        <v>1.0969100130080565</v>
      </c>
      <c r="F1010" s="87" t="s">
        <v>1340</v>
      </c>
      <c r="G1010" s="87" t="b">
        <v>0</v>
      </c>
      <c r="H1010" s="87" t="b">
        <v>0</v>
      </c>
      <c r="I1010" s="87" t="b">
        <v>0</v>
      </c>
      <c r="J1010" s="87" t="b">
        <v>0</v>
      </c>
      <c r="K1010" s="87" t="b">
        <v>0</v>
      </c>
      <c r="L1010" s="87" t="b">
        <v>0</v>
      </c>
    </row>
    <row r="1011" spans="1:12" ht="15">
      <c r="A1011" s="88" t="s">
        <v>1455</v>
      </c>
      <c r="B1011" s="87" t="s">
        <v>1457</v>
      </c>
      <c r="C1011" s="87">
        <v>2</v>
      </c>
      <c r="D1011" s="110">
        <v>0</v>
      </c>
      <c r="E1011" s="110">
        <v>1.3979400086720377</v>
      </c>
      <c r="F1011" s="87" t="s">
        <v>1340</v>
      </c>
      <c r="G1011" s="87" t="b">
        <v>0</v>
      </c>
      <c r="H1011" s="87" t="b">
        <v>0</v>
      </c>
      <c r="I1011" s="87" t="b">
        <v>0</v>
      </c>
      <c r="J1011" s="87" t="b">
        <v>0</v>
      </c>
      <c r="K1011" s="87" t="b">
        <v>0</v>
      </c>
      <c r="L1011" s="87" t="b">
        <v>0</v>
      </c>
    </row>
    <row r="1012" spans="1:12" ht="15">
      <c r="A1012" s="88" t="s">
        <v>1457</v>
      </c>
      <c r="B1012" s="87" t="s">
        <v>1454</v>
      </c>
      <c r="C1012" s="87">
        <v>2</v>
      </c>
      <c r="D1012" s="110">
        <v>0</v>
      </c>
      <c r="E1012" s="110">
        <v>1.3979400086720377</v>
      </c>
      <c r="F1012" s="87" t="s">
        <v>1340</v>
      </c>
      <c r="G1012" s="87" t="b">
        <v>0</v>
      </c>
      <c r="H1012" s="87" t="b">
        <v>0</v>
      </c>
      <c r="I1012" s="87" t="b">
        <v>0</v>
      </c>
      <c r="J1012" s="87" t="b">
        <v>0</v>
      </c>
      <c r="K1012" s="87" t="b">
        <v>0</v>
      </c>
      <c r="L1012" s="87" t="b">
        <v>0</v>
      </c>
    </row>
    <row r="1013" spans="1:12" ht="15">
      <c r="A1013" s="88" t="s">
        <v>1454</v>
      </c>
      <c r="B1013" s="87" t="s">
        <v>1458</v>
      </c>
      <c r="C1013" s="87">
        <v>2</v>
      </c>
      <c r="D1013" s="110">
        <v>0</v>
      </c>
      <c r="E1013" s="110">
        <v>1.3979400086720377</v>
      </c>
      <c r="F1013" s="87" t="s">
        <v>1340</v>
      </c>
      <c r="G1013" s="87" t="b">
        <v>0</v>
      </c>
      <c r="H1013" s="87" t="b">
        <v>0</v>
      </c>
      <c r="I1013" s="87" t="b">
        <v>0</v>
      </c>
      <c r="J1013" s="87" t="b">
        <v>0</v>
      </c>
      <c r="K1013" s="87" t="b">
        <v>0</v>
      </c>
      <c r="L1013" s="87" t="b">
        <v>0</v>
      </c>
    </row>
    <row r="1014" spans="1:12" ht="15">
      <c r="A1014" s="88" t="s">
        <v>1464</v>
      </c>
      <c r="B1014" s="87" t="s">
        <v>1437</v>
      </c>
      <c r="C1014" s="87">
        <v>5</v>
      </c>
      <c r="D1014" s="110">
        <v>0</v>
      </c>
      <c r="E1014" s="110">
        <v>0.9352746703633448</v>
      </c>
      <c r="F1014" s="87" t="s">
        <v>1341</v>
      </c>
      <c r="G1014" s="87" t="b">
        <v>0</v>
      </c>
      <c r="H1014" s="87" t="b">
        <v>0</v>
      </c>
      <c r="I1014" s="87" t="b">
        <v>0</v>
      </c>
      <c r="J1014" s="87" t="b">
        <v>0</v>
      </c>
      <c r="K1014" s="87" t="b">
        <v>0</v>
      </c>
      <c r="L1014" s="87" t="b">
        <v>0</v>
      </c>
    </row>
    <row r="1015" spans="1:12" ht="15">
      <c r="A1015" s="88" t="s">
        <v>1453</v>
      </c>
      <c r="B1015" s="87" t="s">
        <v>1876</v>
      </c>
      <c r="C1015" s="87">
        <v>3</v>
      </c>
      <c r="D1015" s="110">
        <v>0.005688429477342471</v>
      </c>
      <c r="E1015" s="110">
        <v>1.3502480183341627</v>
      </c>
      <c r="F1015" s="87" t="s">
        <v>1341</v>
      </c>
      <c r="G1015" s="87" t="b">
        <v>0</v>
      </c>
      <c r="H1015" s="87" t="b">
        <v>0</v>
      </c>
      <c r="I1015" s="87" t="b">
        <v>0</v>
      </c>
      <c r="J1015" s="87" t="b">
        <v>0</v>
      </c>
      <c r="K1015" s="87" t="b">
        <v>0</v>
      </c>
      <c r="L1015" s="87" t="b">
        <v>0</v>
      </c>
    </row>
    <row r="1016" spans="1:12" ht="15">
      <c r="A1016" s="88" t="s">
        <v>1876</v>
      </c>
      <c r="B1016" s="87" t="s">
        <v>1823</v>
      </c>
      <c r="C1016" s="87">
        <v>3</v>
      </c>
      <c r="D1016" s="110">
        <v>0.005688429477342471</v>
      </c>
      <c r="E1016" s="110">
        <v>1.5720967679505191</v>
      </c>
      <c r="F1016" s="87" t="s">
        <v>1341</v>
      </c>
      <c r="G1016" s="87" t="b">
        <v>0</v>
      </c>
      <c r="H1016" s="87" t="b">
        <v>0</v>
      </c>
      <c r="I1016" s="87" t="b">
        <v>0</v>
      </c>
      <c r="J1016" s="87" t="b">
        <v>0</v>
      </c>
      <c r="K1016" s="87" t="b">
        <v>0</v>
      </c>
      <c r="L1016" s="87" t="b">
        <v>0</v>
      </c>
    </row>
    <row r="1017" spans="1:12" ht="15">
      <c r="A1017" s="88" t="s">
        <v>1823</v>
      </c>
      <c r="B1017" s="87" t="s">
        <v>1820</v>
      </c>
      <c r="C1017" s="87">
        <v>3</v>
      </c>
      <c r="D1017" s="110">
        <v>0.005688429477342471</v>
      </c>
      <c r="E1017" s="110">
        <v>1.5720967679505191</v>
      </c>
      <c r="F1017" s="87" t="s">
        <v>1341</v>
      </c>
      <c r="G1017" s="87" t="b">
        <v>0</v>
      </c>
      <c r="H1017" s="87" t="b">
        <v>0</v>
      </c>
      <c r="I1017" s="87" t="b">
        <v>0</v>
      </c>
      <c r="J1017" s="87" t="b">
        <v>0</v>
      </c>
      <c r="K1017" s="87" t="b">
        <v>0</v>
      </c>
      <c r="L1017" s="87" t="b">
        <v>0</v>
      </c>
    </row>
    <row r="1018" spans="1:12" ht="15">
      <c r="A1018" s="88" t="s">
        <v>1820</v>
      </c>
      <c r="B1018" s="87" t="s">
        <v>1830</v>
      </c>
      <c r="C1018" s="87">
        <v>3</v>
      </c>
      <c r="D1018" s="110">
        <v>0.005688429477342471</v>
      </c>
      <c r="E1018" s="110">
        <v>1.5720967679505191</v>
      </c>
      <c r="F1018" s="87" t="s">
        <v>1341</v>
      </c>
      <c r="G1018" s="87" t="b">
        <v>0</v>
      </c>
      <c r="H1018" s="87" t="b">
        <v>0</v>
      </c>
      <c r="I1018" s="87" t="b">
        <v>0</v>
      </c>
      <c r="J1018" s="87" t="b">
        <v>0</v>
      </c>
      <c r="K1018" s="87" t="b">
        <v>0</v>
      </c>
      <c r="L1018" s="87" t="b">
        <v>0</v>
      </c>
    </row>
    <row r="1019" spans="1:12" ht="15">
      <c r="A1019" s="88" t="s">
        <v>1830</v>
      </c>
      <c r="B1019" s="87" t="s">
        <v>1437</v>
      </c>
      <c r="C1019" s="87">
        <v>3</v>
      </c>
      <c r="D1019" s="110">
        <v>0.005688429477342471</v>
      </c>
      <c r="E1019" s="110">
        <v>0.9352746703633448</v>
      </c>
      <c r="F1019" s="87" t="s">
        <v>1341</v>
      </c>
      <c r="G1019" s="87" t="b">
        <v>0</v>
      </c>
      <c r="H1019" s="87" t="b">
        <v>0</v>
      </c>
      <c r="I1019" s="87" t="b">
        <v>0</v>
      </c>
      <c r="J1019" s="87" t="b">
        <v>0</v>
      </c>
      <c r="K1019" s="87" t="b">
        <v>0</v>
      </c>
      <c r="L1019" s="87" t="b">
        <v>0</v>
      </c>
    </row>
    <row r="1020" spans="1:12" ht="15">
      <c r="A1020" s="88" t="s">
        <v>1437</v>
      </c>
      <c r="B1020" s="87" t="s">
        <v>1446</v>
      </c>
      <c r="C1020" s="87">
        <v>3</v>
      </c>
      <c r="D1020" s="110">
        <v>0.005688429477342471</v>
      </c>
      <c r="E1020" s="110">
        <v>0.9352746703633448</v>
      </c>
      <c r="F1020" s="87" t="s">
        <v>1341</v>
      </c>
      <c r="G1020" s="87" t="b">
        <v>0</v>
      </c>
      <c r="H1020" s="87" t="b">
        <v>0</v>
      </c>
      <c r="I1020" s="87" t="b">
        <v>0</v>
      </c>
      <c r="J1020" s="87" t="b">
        <v>0</v>
      </c>
      <c r="K1020" s="87" t="b">
        <v>0</v>
      </c>
      <c r="L1020" s="87" t="b">
        <v>0</v>
      </c>
    </row>
    <row r="1021" spans="1:12" ht="15">
      <c r="A1021" s="88" t="s">
        <v>1446</v>
      </c>
      <c r="B1021" s="87" t="s">
        <v>1819</v>
      </c>
      <c r="C1021" s="87">
        <v>3</v>
      </c>
      <c r="D1021" s="110">
        <v>0.005688429477342471</v>
      </c>
      <c r="E1021" s="110">
        <v>1.5720967679505191</v>
      </c>
      <c r="F1021" s="87" t="s">
        <v>1341</v>
      </c>
      <c r="G1021" s="87" t="b">
        <v>0</v>
      </c>
      <c r="H1021" s="87" t="b">
        <v>0</v>
      </c>
      <c r="I1021" s="87" t="b">
        <v>0</v>
      </c>
      <c r="J1021" s="87" t="b">
        <v>0</v>
      </c>
      <c r="K1021" s="87" t="b">
        <v>0</v>
      </c>
      <c r="L1021" s="87" t="b">
        <v>0</v>
      </c>
    </row>
    <row r="1022" spans="1:12" ht="15">
      <c r="A1022" s="88" t="s">
        <v>1819</v>
      </c>
      <c r="B1022" s="87" t="s">
        <v>1877</v>
      </c>
      <c r="C1022" s="87">
        <v>3</v>
      </c>
      <c r="D1022" s="110">
        <v>0.005688429477342471</v>
      </c>
      <c r="E1022" s="110">
        <v>1.5720967679505191</v>
      </c>
      <c r="F1022" s="87" t="s">
        <v>1341</v>
      </c>
      <c r="G1022" s="87" t="b">
        <v>0</v>
      </c>
      <c r="H1022" s="87" t="b">
        <v>0</v>
      </c>
      <c r="I1022" s="87" t="b">
        <v>0</v>
      </c>
      <c r="J1022" s="87" t="b">
        <v>0</v>
      </c>
      <c r="K1022" s="87" t="b">
        <v>0</v>
      </c>
      <c r="L1022" s="87" t="b">
        <v>0</v>
      </c>
    </row>
    <row r="1023" spans="1:12" ht="15">
      <c r="A1023" s="88" t="s">
        <v>1877</v>
      </c>
      <c r="B1023" s="87" t="s">
        <v>1878</v>
      </c>
      <c r="C1023" s="87">
        <v>3</v>
      </c>
      <c r="D1023" s="110">
        <v>0.005688429477342471</v>
      </c>
      <c r="E1023" s="110">
        <v>1.5720967679505191</v>
      </c>
      <c r="F1023" s="87" t="s">
        <v>1341</v>
      </c>
      <c r="G1023" s="87" t="b">
        <v>0</v>
      </c>
      <c r="H1023" s="87" t="b">
        <v>0</v>
      </c>
      <c r="I1023" s="87" t="b">
        <v>0</v>
      </c>
      <c r="J1023" s="87" t="b">
        <v>0</v>
      </c>
      <c r="K1023" s="87" t="b">
        <v>0</v>
      </c>
      <c r="L1023" s="87" t="b">
        <v>0</v>
      </c>
    </row>
    <row r="1024" spans="1:12" ht="15">
      <c r="A1024" s="88" t="s">
        <v>1878</v>
      </c>
      <c r="B1024" s="87" t="s">
        <v>1462</v>
      </c>
      <c r="C1024" s="87">
        <v>3</v>
      </c>
      <c r="D1024" s="110">
        <v>0.005688429477342471</v>
      </c>
      <c r="E1024" s="110">
        <v>1.3502480183341627</v>
      </c>
      <c r="F1024" s="87" t="s">
        <v>1341</v>
      </c>
      <c r="G1024" s="87" t="b">
        <v>0</v>
      </c>
      <c r="H1024" s="87" t="b">
        <v>0</v>
      </c>
      <c r="I1024" s="87" t="b">
        <v>0</v>
      </c>
      <c r="J1024" s="87" t="b">
        <v>0</v>
      </c>
      <c r="K1024" s="87" t="b">
        <v>0</v>
      </c>
      <c r="L1024" s="87" t="b">
        <v>0</v>
      </c>
    </row>
    <row r="1025" spans="1:12" ht="15">
      <c r="A1025" s="88" t="s">
        <v>1462</v>
      </c>
      <c r="B1025" s="87" t="s">
        <v>1437</v>
      </c>
      <c r="C1025" s="87">
        <v>3</v>
      </c>
      <c r="D1025" s="110">
        <v>0.005688429477342471</v>
      </c>
      <c r="E1025" s="110">
        <v>0.7134259207469884</v>
      </c>
      <c r="F1025" s="87" t="s">
        <v>1341</v>
      </c>
      <c r="G1025" s="87" t="b">
        <v>0</v>
      </c>
      <c r="H1025" s="87" t="b">
        <v>0</v>
      </c>
      <c r="I1025" s="87" t="b">
        <v>0</v>
      </c>
      <c r="J1025" s="87" t="b">
        <v>0</v>
      </c>
      <c r="K1025" s="87" t="b">
        <v>0</v>
      </c>
      <c r="L1025" s="87" t="b">
        <v>0</v>
      </c>
    </row>
    <row r="1026" spans="1:12" ht="15">
      <c r="A1026" s="88" t="s">
        <v>1437</v>
      </c>
      <c r="B1026" s="87" t="s">
        <v>1469</v>
      </c>
      <c r="C1026" s="87">
        <v>3</v>
      </c>
      <c r="D1026" s="110">
        <v>0.005688429477342471</v>
      </c>
      <c r="E1026" s="110">
        <v>0.7134259207469884</v>
      </c>
      <c r="F1026" s="87" t="s">
        <v>1341</v>
      </c>
      <c r="G1026" s="87" t="b">
        <v>0</v>
      </c>
      <c r="H1026" s="87" t="b">
        <v>0</v>
      </c>
      <c r="I1026" s="87" t="b">
        <v>0</v>
      </c>
      <c r="J1026" s="87" t="b">
        <v>0</v>
      </c>
      <c r="K1026" s="87" t="b">
        <v>0</v>
      </c>
      <c r="L1026" s="87" t="b">
        <v>0</v>
      </c>
    </row>
    <row r="1027" spans="1:12" ht="15">
      <c r="A1027" s="88" t="s">
        <v>1469</v>
      </c>
      <c r="B1027" s="87" t="s">
        <v>1838</v>
      </c>
      <c r="C1027" s="87">
        <v>3</v>
      </c>
      <c r="D1027" s="110">
        <v>0.005688429477342471</v>
      </c>
      <c r="E1027" s="110">
        <v>1.1283992687178064</v>
      </c>
      <c r="F1027" s="87" t="s">
        <v>1341</v>
      </c>
      <c r="G1027" s="87" t="b">
        <v>0</v>
      </c>
      <c r="H1027" s="87" t="b">
        <v>0</v>
      </c>
      <c r="I1027" s="87" t="b">
        <v>0</v>
      </c>
      <c r="J1027" s="87" t="b">
        <v>0</v>
      </c>
      <c r="K1027" s="87" t="b">
        <v>0</v>
      </c>
      <c r="L1027" s="87" t="b">
        <v>0</v>
      </c>
    </row>
    <row r="1028" spans="1:12" ht="15">
      <c r="A1028" s="88" t="s">
        <v>1838</v>
      </c>
      <c r="B1028" s="87" t="s">
        <v>1842</v>
      </c>
      <c r="C1028" s="87">
        <v>3</v>
      </c>
      <c r="D1028" s="110">
        <v>0.005688429477342471</v>
      </c>
      <c r="E1028" s="110">
        <v>1.3502480183341627</v>
      </c>
      <c r="F1028" s="87" t="s">
        <v>1341</v>
      </c>
      <c r="G1028" s="87" t="b">
        <v>0</v>
      </c>
      <c r="H1028" s="87" t="b">
        <v>0</v>
      </c>
      <c r="I1028" s="87" t="b">
        <v>0</v>
      </c>
      <c r="J1028" s="87" t="b">
        <v>1</v>
      </c>
      <c r="K1028" s="87" t="b">
        <v>0</v>
      </c>
      <c r="L1028" s="87" t="b">
        <v>0</v>
      </c>
    </row>
    <row r="1029" spans="1:12" ht="15">
      <c r="A1029" s="88" t="s">
        <v>1842</v>
      </c>
      <c r="B1029" s="87" t="s">
        <v>1843</v>
      </c>
      <c r="C1029" s="87">
        <v>3</v>
      </c>
      <c r="D1029" s="110">
        <v>0.005688429477342471</v>
      </c>
      <c r="E1029" s="110">
        <v>1.5720967679505191</v>
      </c>
      <c r="F1029" s="87" t="s">
        <v>1341</v>
      </c>
      <c r="G1029" s="87" t="b">
        <v>1</v>
      </c>
      <c r="H1029" s="87" t="b">
        <v>0</v>
      </c>
      <c r="I1029" s="87" t="b">
        <v>0</v>
      </c>
      <c r="J1029" s="87" t="b">
        <v>0</v>
      </c>
      <c r="K1029" s="87" t="b">
        <v>0</v>
      </c>
      <c r="L1029" s="87" t="b">
        <v>0</v>
      </c>
    </row>
    <row r="1030" spans="1:12" ht="15">
      <c r="A1030" s="88" t="s">
        <v>1843</v>
      </c>
      <c r="B1030" s="87" t="s">
        <v>1879</v>
      </c>
      <c r="C1030" s="87">
        <v>3</v>
      </c>
      <c r="D1030" s="110">
        <v>0.005688429477342471</v>
      </c>
      <c r="E1030" s="110">
        <v>1.5720967679505191</v>
      </c>
      <c r="F1030" s="87" t="s">
        <v>1341</v>
      </c>
      <c r="G1030" s="87" t="b">
        <v>0</v>
      </c>
      <c r="H1030" s="87" t="b">
        <v>0</v>
      </c>
      <c r="I1030" s="87" t="b">
        <v>0</v>
      </c>
      <c r="J1030" s="87" t="b">
        <v>0</v>
      </c>
      <c r="K1030" s="87" t="b">
        <v>0</v>
      </c>
      <c r="L1030" s="87" t="b">
        <v>0</v>
      </c>
    </row>
    <row r="1031" spans="1:12" ht="15">
      <c r="A1031" s="88" t="s">
        <v>1879</v>
      </c>
      <c r="B1031" s="87" t="s">
        <v>1464</v>
      </c>
      <c r="C1031" s="87">
        <v>3</v>
      </c>
      <c r="D1031" s="110">
        <v>0.005688429477342471</v>
      </c>
      <c r="E1031" s="110">
        <v>1.3502480183341627</v>
      </c>
      <c r="F1031" s="87" t="s">
        <v>1341</v>
      </c>
      <c r="G1031" s="87" t="b">
        <v>0</v>
      </c>
      <c r="H1031" s="87" t="b">
        <v>0</v>
      </c>
      <c r="I1031" s="87" t="b">
        <v>0</v>
      </c>
      <c r="J1031" s="87" t="b">
        <v>0</v>
      </c>
      <c r="K1031" s="87" t="b">
        <v>0</v>
      </c>
      <c r="L1031" s="87" t="b">
        <v>0</v>
      </c>
    </row>
    <row r="1032" spans="1:12" ht="15">
      <c r="A1032" s="88" t="s">
        <v>1437</v>
      </c>
      <c r="B1032" s="87" t="s">
        <v>1455</v>
      </c>
      <c r="C1032" s="87">
        <v>3</v>
      </c>
      <c r="D1032" s="110">
        <v>0.005688429477342471</v>
      </c>
      <c r="E1032" s="110">
        <v>0.9352746703633448</v>
      </c>
      <c r="F1032" s="87" t="s">
        <v>1341</v>
      </c>
      <c r="G1032" s="87" t="b">
        <v>0</v>
      </c>
      <c r="H1032" s="87" t="b">
        <v>0</v>
      </c>
      <c r="I1032" s="87" t="b">
        <v>0</v>
      </c>
      <c r="J1032" s="87" t="b">
        <v>0</v>
      </c>
      <c r="K1032" s="87" t="b">
        <v>0</v>
      </c>
      <c r="L1032" s="87" t="b">
        <v>0</v>
      </c>
    </row>
    <row r="1033" spans="1:12" ht="15">
      <c r="A1033" s="88" t="s">
        <v>1455</v>
      </c>
      <c r="B1033" s="87" t="s">
        <v>1457</v>
      </c>
      <c r="C1033" s="87">
        <v>3</v>
      </c>
      <c r="D1033" s="110">
        <v>0.005688429477342471</v>
      </c>
      <c r="E1033" s="110">
        <v>1.5720967679505191</v>
      </c>
      <c r="F1033" s="87" t="s">
        <v>1341</v>
      </c>
      <c r="G1033" s="87" t="b">
        <v>0</v>
      </c>
      <c r="H1033" s="87" t="b">
        <v>0</v>
      </c>
      <c r="I1033" s="87" t="b">
        <v>0</v>
      </c>
      <c r="J1033" s="87" t="b">
        <v>0</v>
      </c>
      <c r="K1033" s="87" t="b">
        <v>0</v>
      </c>
      <c r="L1033" s="87" t="b">
        <v>0</v>
      </c>
    </row>
    <row r="1034" spans="1:12" ht="15">
      <c r="A1034" s="88" t="s">
        <v>1457</v>
      </c>
      <c r="B1034" s="87" t="s">
        <v>1454</v>
      </c>
      <c r="C1034" s="87">
        <v>3</v>
      </c>
      <c r="D1034" s="110">
        <v>0.005688429477342471</v>
      </c>
      <c r="E1034" s="110">
        <v>1.3502480183341627</v>
      </c>
      <c r="F1034" s="87" t="s">
        <v>1341</v>
      </c>
      <c r="G1034" s="87" t="b">
        <v>0</v>
      </c>
      <c r="H1034" s="87" t="b">
        <v>0</v>
      </c>
      <c r="I1034" s="87" t="b">
        <v>0</v>
      </c>
      <c r="J1034" s="87" t="b">
        <v>0</v>
      </c>
      <c r="K1034" s="87" t="b">
        <v>0</v>
      </c>
      <c r="L1034" s="87" t="b">
        <v>0</v>
      </c>
    </row>
    <row r="1035" spans="1:12" ht="15">
      <c r="A1035" s="88" t="s">
        <v>1844</v>
      </c>
      <c r="B1035" s="87" t="s">
        <v>1834</v>
      </c>
      <c r="C1035" s="87">
        <v>2</v>
      </c>
      <c r="D1035" s="110">
        <v>0.006802393310633122</v>
      </c>
      <c r="E1035" s="110">
        <v>1.7481880270062005</v>
      </c>
      <c r="F1035" s="87" t="s">
        <v>1341</v>
      </c>
      <c r="G1035" s="87" t="b">
        <v>1</v>
      </c>
      <c r="H1035" s="87" t="b">
        <v>0</v>
      </c>
      <c r="I1035" s="87" t="b">
        <v>0</v>
      </c>
      <c r="J1035" s="87" t="b">
        <v>0</v>
      </c>
      <c r="K1035" s="87" t="b">
        <v>0</v>
      </c>
      <c r="L1035" s="87" t="b">
        <v>0</v>
      </c>
    </row>
    <row r="1036" spans="1:12" ht="15">
      <c r="A1036" s="88" t="s">
        <v>1834</v>
      </c>
      <c r="B1036" s="87" t="s">
        <v>1845</v>
      </c>
      <c r="C1036" s="87">
        <v>2</v>
      </c>
      <c r="D1036" s="110">
        <v>0.006802393310633122</v>
      </c>
      <c r="E1036" s="110">
        <v>1.7481880270062005</v>
      </c>
      <c r="F1036" s="87" t="s">
        <v>1341</v>
      </c>
      <c r="G1036" s="87" t="b">
        <v>0</v>
      </c>
      <c r="H1036" s="87" t="b">
        <v>0</v>
      </c>
      <c r="I1036" s="87" t="b">
        <v>0</v>
      </c>
      <c r="J1036" s="87" t="b">
        <v>1</v>
      </c>
      <c r="K1036" s="87" t="b">
        <v>0</v>
      </c>
      <c r="L1036" s="87" t="b">
        <v>0</v>
      </c>
    </row>
    <row r="1037" spans="1:12" ht="15">
      <c r="A1037" s="88" t="s">
        <v>1845</v>
      </c>
      <c r="B1037" s="87" t="s">
        <v>1462</v>
      </c>
      <c r="C1037" s="87">
        <v>2</v>
      </c>
      <c r="D1037" s="110">
        <v>0.006802393310633122</v>
      </c>
      <c r="E1037" s="110">
        <v>1.3502480183341627</v>
      </c>
      <c r="F1037" s="87" t="s">
        <v>1341</v>
      </c>
      <c r="G1037" s="87" t="b">
        <v>1</v>
      </c>
      <c r="H1037" s="87" t="b">
        <v>0</v>
      </c>
      <c r="I1037" s="87" t="b">
        <v>0</v>
      </c>
      <c r="J1037" s="87" t="b">
        <v>0</v>
      </c>
      <c r="K1037" s="87" t="b">
        <v>0</v>
      </c>
      <c r="L1037" s="87" t="b">
        <v>0</v>
      </c>
    </row>
    <row r="1038" spans="1:12" ht="15">
      <c r="A1038" s="88" t="s">
        <v>1462</v>
      </c>
      <c r="B1038" s="87" t="s">
        <v>1469</v>
      </c>
      <c r="C1038" s="87">
        <v>2</v>
      </c>
      <c r="D1038" s="110">
        <v>0.006802393310633122</v>
      </c>
      <c r="E1038" s="110">
        <v>0.9523080096621251</v>
      </c>
      <c r="F1038" s="87" t="s">
        <v>1341</v>
      </c>
      <c r="G1038" s="87" t="b">
        <v>0</v>
      </c>
      <c r="H1038" s="87" t="b">
        <v>0</v>
      </c>
      <c r="I1038" s="87" t="b">
        <v>0</v>
      </c>
      <c r="J1038" s="87" t="b">
        <v>0</v>
      </c>
      <c r="K1038" s="87" t="b">
        <v>0</v>
      </c>
      <c r="L1038" s="87" t="b">
        <v>0</v>
      </c>
    </row>
    <row r="1039" spans="1:12" ht="15">
      <c r="A1039" s="88" t="s">
        <v>1469</v>
      </c>
      <c r="B1039" s="87" t="s">
        <v>1437</v>
      </c>
      <c r="C1039" s="87">
        <v>2</v>
      </c>
      <c r="D1039" s="110">
        <v>0.006802393310633122</v>
      </c>
      <c r="E1039" s="110">
        <v>0.5373346616913072</v>
      </c>
      <c r="F1039" s="87" t="s">
        <v>1341</v>
      </c>
      <c r="G1039" s="87" t="b">
        <v>0</v>
      </c>
      <c r="H1039" s="87" t="b">
        <v>0</v>
      </c>
      <c r="I1039" s="87" t="b">
        <v>0</v>
      </c>
      <c r="J1039" s="87" t="b">
        <v>0</v>
      </c>
      <c r="K1039" s="87" t="b">
        <v>0</v>
      </c>
      <c r="L1039" s="87" t="b">
        <v>0</v>
      </c>
    </row>
    <row r="1040" spans="1:12" ht="15">
      <c r="A1040" s="88" t="s">
        <v>1437</v>
      </c>
      <c r="B1040" s="87" t="s">
        <v>1825</v>
      </c>
      <c r="C1040" s="87">
        <v>2</v>
      </c>
      <c r="D1040" s="110">
        <v>0.006802393310633122</v>
      </c>
      <c r="E1040" s="110">
        <v>0.9352746703633448</v>
      </c>
      <c r="F1040" s="87" t="s">
        <v>1341</v>
      </c>
      <c r="G1040" s="87" t="b">
        <v>0</v>
      </c>
      <c r="H1040" s="87" t="b">
        <v>0</v>
      </c>
      <c r="I1040" s="87" t="b">
        <v>0</v>
      </c>
      <c r="J1040" s="87" t="b">
        <v>0</v>
      </c>
      <c r="K1040" s="87" t="b">
        <v>0</v>
      </c>
      <c r="L1040" s="87" t="b">
        <v>0</v>
      </c>
    </row>
    <row r="1041" spans="1:12" ht="15">
      <c r="A1041" s="88" t="s">
        <v>1825</v>
      </c>
      <c r="B1041" s="87" t="s">
        <v>1838</v>
      </c>
      <c r="C1041" s="87">
        <v>2</v>
      </c>
      <c r="D1041" s="110">
        <v>0.006802393310633122</v>
      </c>
      <c r="E1041" s="110">
        <v>1.3502480183341627</v>
      </c>
      <c r="F1041" s="87" t="s">
        <v>1341</v>
      </c>
      <c r="G1041" s="87" t="b">
        <v>0</v>
      </c>
      <c r="H1041" s="87" t="b">
        <v>0</v>
      </c>
      <c r="I1041" s="87" t="b">
        <v>0</v>
      </c>
      <c r="J1041" s="87" t="b">
        <v>0</v>
      </c>
      <c r="K1041" s="87" t="b">
        <v>0</v>
      </c>
      <c r="L1041" s="87" t="b">
        <v>0</v>
      </c>
    </row>
    <row r="1042" spans="1:12" ht="15">
      <c r="A1042" s="88" t="s">
        <v>1838</v>
      </c>
      <c r="B1042" s="87" t="s">
        <v>1864</v>
      </c>
      <c r="C1042" s="87">
        <v>2</v>
      </c>
      <c r="D1042" s="110">
        <v>0.006802393310633122</v>
      </c>
      <c r="E1042" s="110">
        <v>1.3502480183341627</v>
      </c>
      <c r="F1042" s="87" t="s">
        <v>1341</v>
      </c>
      <c r="G1042" s="87" t="b">
        <v>0</v>
      </c>
      <c r="H1042" s="87" t="b">
        <v>0</v>
      </c>
      <c r="I1042" s="87" t="b">
        <v>0</v>
      </c>
      <c r="J1042" s="87" t="b">
        <v>0</v>
      </c>
      <c r="K1042" s="87" t="b">
        <v>0</v>
      </c>
      <c r="L1042" s="87" t="b">
        <v>0</v>
      </c>
    </row>
    <row r="1043" spans="1:12" ht="15">
      <c r="A1043" s="88" t="s">
        <v>1864</v>
      </c>
      <c r="B1043" s="87" t="s">
        <v>1464</v>
      </c>
      <c r="C1043" s="87">
        <v>2</v>
      </c>
      <c r="D1043" s="110">
        <v>0.006802393310633122</v>
      </c>
      <c r="E1043" s="110">
        <v>1.3502480183341627</v>
      </c>
      <c r="F1043" s="87" t="s">
        <v>1341</v>
      </c>
      <c r="G1043" s="87" t="b">
        <v>0</v>
      </c>
      <c r="H1043" s="87" t="b">
        <v>0</v>
      </c>
      <c r="I1043" s="87" t="b">
        <v>0</v>
      </c>
      <c r="J1043" s="87" t="b">
        <v>0</v>
      </c>
      <c r="K1043" s="87" t="b">
        <v>0</v>
      </c>
      <c r="L1043" s="87" t="b">
        <v>0</v>
      </c>
    </row>
    <row r="1044" spans="1:12" ht="15">
      <c r="A1044" s="88" t="s">
        <v>1437</v>
      </c>
      <c r="B1044" s="87" t="s">
        <v>1846</v>
      </c>
      <c r="C1044" s="87">
        <v>2</v>
      </c>
      <c r="D1044" s="110">
        <v>0.006802393310633122</v>
      </c>
      <c r="E1044" s="110">
        <v>0.9352746703633448</v>
      </c>
      <c r="F1044" s="87" t="s">
        <v>1341</v>
      </c>
      <c r="G1044" s="87" t="b">
        <v>0</v>
      </c>
      <c r="H1044" s="87" t="b">
        <v>0</v>
      </c>
      <c r="I1044" s="87" t="b">
        <v>0</v>
      </c>
      <c r="J1044" s="87" t="b">
        <v>0</v>
      </c>
      <c r="K1044" s="87" t="b">
        <v>0</v>
      </c>
      <c r="L1044" s="87" t="b">
        <v>0</v>
      </c>
    </row>
    <row r="1045" spans="1:12" ht="15">
      <c r="A1045" s="88" t="s">
        <v>1846</v>
      </c>
      <c r="B1045" s="87" t="s">
        <v>1847</v>
      </c>
      <c r="C1045" s="87">
        <v>2</v>
      </c>
      <c r="D1045" s="110">
        <v>0.006802393310633122</v>
      </c>
      <c r="E1045" s="110">
        <v>1.7481880270062005</v>
      </c>
      <c r="F1045" s="87" t="s">
        <v>1341</v>
      </c>
      <c r="G1045" s="87" t="b">
        <v>0</v>
      </c>
      <c r="H1045" s="87" t="b">
        <v>0</v>
      </c>
      <c r="I1045" s="87" t="b">
        <v>0</v>
      </c>
      <c r="J1045" s="87" t="b">
        <v>0</v>
      </c>
      <c r="K1045" s="87" t="b">
        <v>0</v>
      </c>
      <c r="L1045" s="87" t="b">
        <v>0</v>
      </c>
    </row>
    <row r="1046" spans="1:12" ht="15">
      <c r="A1046" s="88" t="s">
        <v>1847</v>
      </c>
      <c r="B1046" s="87" t="s">
        <v>1848</v>
      </c>
      <c r="C1046" s="87">
        <v>2</v>
      </c>
      <c r="D1046" s="110">
        <v>0.006802393310633122</v>
      </c>
      <c r="E1046" s="110">
        <v>1.7481880270062005</v>
      </c>
      <c r="F1046" s="87" t="s">
        <v>1341</v>
      </c>
      <c r="G1046" s="87" t="b">
        <v>0</v>
      </c>
      <c r="H1046" s="87" t="b">
        <v>0</v>
      </c>
      <c r="I1046" s="87" t="b">
        <v>0</v>
      </c>
      <c r="J1046" s="87" t="b">
        <v>0</v>
      </c>
      <c r="K1046" s="87" t="b">
        <v>0</v>
      </c>
      <c r="L1046" s="87" t="b">
        <v>0</v>
      </c>
    </row>
    <row r="1047" spans="1:12" ht="15">
      <c r="A1047" s="88" t="s">
        <v>1848</v>
      </c>
      <c r="B1047" s="87" t="s">
        <v>1849</v>
      </c>
      <c r="C1047" s="87">
        <v>2</v>
      </c>
      <c r="D1047" s="110">
        <v>0.006802393310633122</v>
      </c>
      <c r="E1047" s="110">
        <v>1.7481880270062005</v>
      </c>
      <c r="F1047" s="87" t="s">
        <v>1341</v>
      </c>
      <c r="G1047" s="87" t="b">
        <v>0</v>
      </c>
      <c r="H1047" s="87" t="b">
        <v>0</v>
      </c>
      <c r="I1047" s="87" t="b">
        <v>0</v>
      </c>
      <c r="J1047" s="87" t="b">
        <v>0</v>
      </c>
      <c r="K1047" s="87" t="b">
        <v>0</v>
      </c>
      <c r="L1047" s="87" t="b">
        <v>0</v>
      </c>
    </row>
    <row r="1048" spans="1:12" ht="15">
      <c r="A1048" s="88" t="s">
        <v>1849</v>
      </c>
      <c r="B1048" s="87" t="s">
        <v>1850</v>
      </c>
      <c r="C1048" s="87">
        <v>2</v>
      </c>
      <c r="D1048" s="110">
        <v>0.006802393310633122</v>
      </c>
      <c r="E1048" s="110">
        <v>1.7481880270062005</v>
      </c>
      <c r="F1048" s="87" t="s">
        <v>1341</v>
      </c>
      <c r="G1048" s="87" t="b">
        <v>0</v>
      </c>
      <c r="H1048" s="87" t="b">
        <v>0</v>
      </c>
      <c r="I1048" s="87" t="b">
        <v>0</v>
      </c>
      <c r="J1048" s="87" t="b">
        <v>0</v>
      </c>
      <c r="K1048" s="87" t="b">
        <v>0</v>
      </c>
      <c r="L1048" s="87" t="b">
        <v>0</v>
      </c>
    </row>
    <row r="1049" spans="1:12" ht="15">
      <c r="A1049" s="88" t="s">
        <v>1850</v>
      </c>
      <c r="B1049" s="87" t="s">
        <v>1851</v>
      </c>
      <c r="C1049" s="87">
        <v>2</v>
      </c>
      <c r="D1049" s="110">
        <v>0.006802393310633122</v>
      </c>
      <c r="E1049" s="110">
        <v>1.7481880270062005</v>
      </c>
      <c r="F1049" s="87" t="s">
        <v>1341</v>
      </c>
      <c r="G1049" s="87" t="b">
        <v>0</v>
      </c>
      <c r="H1049" s="87" t="b">
        <v>0</v>
      </c>
      <c r="I1049" s="87" t="b">
        <v>0</v>
      </c>
      <c r="J1049" s="87" t="b">
        <v>0</v>
      </c>
      <c r="K1049" s="87" t="b">
        <v>0</v>
      </c>
      <c r="L1049" s="87" t="b">
        <v>0</v>
      </c>
    </row>
    <row r="1050" spans="1:12" ht="15">
      <c r="A1050" s="88" t="s">
        <v>1851</v>
      </c>
      <c r="B1050" s="87" t="s">
        <v>1852</v>
      </c>
      <c r="C1050" s="87">
        <v>2</v>
      </c>
      <c r="D1050" s="110">
        <v>0.006802393310633122</v>
      </c>
      <c r="E1050" s="110">
        <v>1.7481880270062005</v>
      </c>
      <c r="F1050" s="87" t="s">
        <v>1341</v>
      </c>
      <c r="G1050" s="87" t="b">
        <v>0</v>
      </c>
      <c r="H1050" s="87" t="b">
        <v>0</v>
      </c>
      <c r="I1050" s="87" t="b">
        <v>0</v>
      </c>
      <c r="J1050" s="87" t="b">
        <v>0</v>
      </c>
      <c r="K1050" s="87" t="b">
        <v>0</v>
      </c>
      <c r="L1050" s="87" t="b">
        <v>0</v>
      </c>
    </row>
    <row r="1051" spans="1:12" ht="15">
      <c r="A1051" s="88" t="s">
        <v>1865</v>
      </c>
      <c r="B1051" s="87" t="s">
        <v>1454</v>
      </c>
      <c r="C1051" s="87">
        <v>2</v>
      </c>
      <c r="D1051" s="110">
        <v>0.006802393310633122</v>
      </c>
      <c r="E1051" s="110">
        <v>1.3502480183341627</v>
      </c>
      <c r="F1051" s="87" t="s">
        <v>1341</v>
      </c>
      <c r="G1051" s="87" t="b">
        <v>0</v>
      </c>
      <c r="H1051" s="87" t="b">
        <v>0</v>
      </c>
      <c r="I1051" s="87" t="b">
        <v>0</v>
      </c>
      <c r="J1051" s="87" t="b">
        <v>0</v>
      </c>
      <c r="K1051" s="87" t="b">
        <v>0</v>
      </c>
      <c r="L1051" s="87" t="b">
        <v>0</v>
      </c>
    </row>
    <row r="1052" spans="1:12" ht="15">
      <c r="A1052" s="88" t="s">
        <v>1454</v>
      </c>
      <c r="B1052" s="87" t="s">
        <v>1458</v>
      </c>
      <c r="C1052" s="87">
        <v>2</v>
      </c>
      <c r="D1052" s="110">
        <v>0.006802393310633122</v>
      </c>
      <c r="E1052" s="110">
        <v>1.7481880270062005</v>
      </c>
      <c r="F1052" s="87" t="s">
        <v>1341</v>
      </c>
      <c r="G1052" s="87" t="b">
        <v>0</v>
      </c>
      <c r="H1052" s="87" t="b">
        <v>0</v>
      </c>
      <c r="I1052" s="87" t="b">
        <v>0</v>
      </c>
      <c r="J1052" s="87" t="b">
        <v>0</v>
      </c>
      <c r="K1052" s="87" t="b">
        <v>0</v>
      </c>
      <c r="L1052" s="87" t="b">
        <v>0</v>
      </c>
    </row>
    <row r="1053" spans="1:12" ht="15">
      <c r="A1053" s="88" t="s">
        <v>1871</v>
      </c>
      <c r="B1053" s="87" t="s">
        <v>1872</v>
      </c>
      <c r="C1053" s="87">
        <v>2</v>
      </c>
      <c r="D1053" s="110">
        <v>0</v>
      </c>
      <c r="E1053" s="110">
        <v>0.9999999999999999</v>
      </c>
      <c r="F1053" s="87" t="s">
        <v>1342</v>
      </c>
      <c r="G1053" s="87" t="b">
        <v>0</v>
      </c>
      <c r="H1053" s="87" t="b">
        <v>0</v>
      </c>
      <c r="I1053" s="87" t="b">
        <v>0</v>
      </c>
      <c r="J1053" s="87" t="b">
        <v>0</v>
      </c>
      <c r="K1053" s="87" t="b">
        <v>0</v>
      </c>
      <c r="L1053" s="87" t="b">
        <v>0</v>
      </c>
    </row>
    <row r="1054" spans="1:12" ht="15">
      <c r="A1054" s="88" t="s">
        <v>1872</v>
      </c>
      <c r="B1054" s="87" t="s">
        <v>1482</v>
      </c>
      <c r="C1054" s="87">
        <v>2</v>
      </c>
      <c r="D1054" s="110">
        <v>0</v>
      </c>
      <c r="E1054" s="110">
        <v>0.9999999999999999</v>
      </c>
      <c r="F1054" s="87" t="s">
        <v>1342</v>
      </c>
      <c r="G1054" s="87" t="b">
        <v>0</v>
      </c>
      <c r="H1054" s="87" t="b">
        <v>0</v>
      </c>
      <c r="I1054" s="87" t="b">
        <v>0</v>
      </c>
      <c r="J1054" s="87" t="b">
        <v>0</v>
      </c>
      <c r="K1054" s="87" t="b">
        <v>0</v>
      </c>
      <c r="L1054" s="87" t="b">
        <v>0</v>
      </c>
    </row>
    <row r="1055" spans="1:12" ht="15">
      <c r="A1055" s="88" t="s">
        <v>1482</v>
      </c>
      <c r="B1055" s="87" t="s">
        <v>2039</v>
      </c>
      <c r="C1055" s="87">
        <v>2</v>
      </c>
      <c r="D1055" s="110">
        <v>0</v>
      </c>
      <c r="E1055" s="110">
        <v>0.9999999999999999</v>
      </c>
      <c r="F1055" s="87" t="s">
        <v>1342</v>
      </c>
      <c r="G1055" s="87" t="b">
        <v>0</v>
      </c>
      <c r="H1055" s="87" t="b">
        <v>0</v>
      </c>
      <c r="I1055" s="87" t="b">
        <v>0</v>
      </c>
      <c r="J1055" s="87" t="b">
        <v>0</v>
      </c>
      <c r="K1055" s="87" t="b">
        <v>0</v>
      </c>
      <c r="L1055" s="87" t="b">
        <v>0</v>
      </c>
    </row>
    <row r="1056" spans="1:12" ht="15">
      <c r="A1056" s="88" t="s">
        <v>2039</v>
      </c>
      <c r="B1056" s="87" t="s">
        <v>1453</v>
      </c>
      <c r="C1056" s="87">
        <v>2</v>
      </c>
      <c r="D1056" s="110">
        <v>0</v>
      </c>
      <c r="E1056" s="110">
        <v>0.9999999999999999</v>
      </c>
      <c r="F1056" s="87" t="s">
        <v>1342</v>
      </c>
      <c r="G1056" s="87" t="b">
        <v>0</v>
      </c>
      <c r="H1056" s="87" t="b">
        <v>0</v>
      </c>
      <c r="I1056" s="87" t="b">
        <v>0</v>
      </c>
      <c r="J1056" s="87" t="b">
        <v>0</v>
      </c>
      <c r="K1056" s="87" t="b">
        <v>0</v>
      </c>
      <c r="L1056" s="87" t="b">
        <v>0</v>
      </c>
    </row>
    <row r="1057" spans="1:12" ht="15">
      <c r="A1057" s="88" t="s">
        <v>1453</v>
      </c>
      <c r="B1057" s="87" t="s">
        <v>1483</v>
      </c>
      <c r="C1057" s="87">
        <v>2</v>
      </c>
      <c r="D1057" s="110">
        <v>0</v>
      </c>
      <c r="E1057" s="110">
        <v>0.9999999999999999</v>
      </c>
      <c r="F1057" s="87" t="s">
        <v>1342</v>
      </c>
      <c r="G1057" s="87" t="b">
        <v>0</v>
      </c>
      <c r="H1057" s="87" t="b">
        <v>0</v>
      </c>
      <c r="I1057" s="87" t="b">
        <v>0</v>
      </c>
      <c r="J1057" s="87" t="b">
        <v>0</v>
      </c>
      <c r="K1057" s="87" t="b">
        <v>0</v>
      </c>
      <c r="L1057" s="87" t="b">
        <v>0</v>
      </c>
    </row>
    <row r="1058" spans="1:12" ht="15">
      <c r="A1058" s="88" t="s">
        <v>1483</v>
      </c>
      <c r="B1058" s="87" t="s">
        <v>1484</v>
      </c>
      <c r="C1058" s="87">
        <v>2</v>
      </c>
      <c r="D1058" s="110">
        <v>0</v>
      </c>
      <c r="E1058" s="110">
        <v>0.9999999999999999</v>
      </c>
      <c r="F1058" s="87" t="s">
        <v>1342</v>
      </c>
      <c r="G1058" s="87" t="b">
        <v>0</v>
      </c>
      <c r="H1058" s="87" t="b">
        <v>0</v>
      </c>
      <c r="I1058" s="87" t="b">
        <v>0</v>
      </c>
      <c r="J1058" s="87" t="b">
        <v>0</v>
      </c>
      <c r="K1058" s="87" t="b">
        <v>0</v>
      </c>
      <c r="L1058" s="87" t="b">
        <v>0</v>
      </c>
    </row>
    <row r="1059" spans="1:12" ht="15">
      <c r="A1059" s="88" t="s">
        <v>1484</v>
      </c>
      <c r="B1059" s="87" t="s">
        <v>1455</v>
      </c>
      <c r="C1059" s="87">
        <v>2</v>
      </c>
      <c r="D1059" s="110">
        <v>0</v>
      </c>
      <c r="E1059" s="110">
        <v>0.9999999999999999</v>
      </c>
      <c r="F1059" s="87" t="s">
        <v>1342</v>
      </c>
      <c r="G1059" s="87" t="b">
        <v>0</v>
      </c>
      <c r="H1059" s="87" t="b">
        <v>0</v>
      </c>
      <c r="I1059" s="87" t="b">
        <v>0</v>
      </c>
      <c r="J1059" s="87" t="b">
        <v>0</v>
      </c>
      <c r="K1059" s="87" t="b">
        <v>0</v>
      </c>
      <c r="L1059" s="87" t="b">
        <v>0</v>
      </c>
    </row>
    <row r="1060" spans="1:12" ht="15">
      <c r="A1060" s="88" t="s">
        <v>1455</v>
      </c>
      <c r="B1060" s="87" t="s">
        <v>1457</v>
      </c>
      <c r="C1060" s="87">
        <v>2</v>
      </c>
      <c r="D1060" s="110">
        <v>0</v>
      </c>
      <c r="E1060" s="110">
        <v>0.9999999999999999</v>
      </c>
      <c r="F1060" s="87" t="s">
        <v>1342</v>
      </c>
      <c r="G1060" s="87" t="b">
        <v>0</v>
      </c>
      <c r="H1060" s="87" t="b">
        <v>0</v>
      </c>
      <c r="I1060" s="87" t="b">
        <v>0</v>
      </c>
      <c r="J1060" s="87" t="b">
        <v>0</v>
      </c>
      <c r="K1060" s="87" t="b">
        <v>0</v>
      </c>
      <c r="L1060" s="87" t="b">
        <v>0</v>
      </c>
    </row>
    <row r="1061" spans="1:12" ht="15">
      <c r="A1061" s="88" t="s">
        <v>1457</v>
      </c>
      <c r="B1061" s="87" t="s">
        <v>1454</v>
      </c>
      <c r="C1061" s="87">
        <v>2</v>
      </c>
      <c r="D1061" s="110">
        <v>0</v>
      </c>
      <c r="E1061" s="110">
        <v>0.9999999999999999</v>
      </c>
      <c r="F1061" s="87" t="s">
        <v>1342</v>
      </c>
      <c r="G1061" s="87" t="b">
        <v>0</v>
      </c>
      <c r="H1061" s="87" t="b">
        <v>0</v>
      </c>
      <c r="I1061" s="87" t="b">
        <v>0</v>
      </c>
      <c r="J1061" s="87" t="b">
        <v>0</v>
      </c>
      <c r="K1061" s="87" t="b">
        <v>0</v>
      </c>
      <c r="L1061" s="87" t="b">
        <v>0</v>
      </c>
    </row>
    <row r="1062" spans="1:12" ht="15">
      <c r="A1062" s="88" t="s">
        <v>1454</v>
      </c>
      <c r="B1062" s="87" t="s">
        <v>1458</v>
      </c>
      <c r="C1062" s="87">
        <v>2</v>
      </c>
      <c r="D1062" s="110">
        <v>0</v>
      </c>
      <c r="E1062" s="110">
        <v>0.9999999999999999</v>
      </c>
      <c r="F1062" s="87" t="s">
        <v>1342</v>
      </c>
      <c r="G1062" s="87" t="b">
        <v>0</v>
      </c>
      <c r="H1062" s="87" t="b">
        <v>0</v>
      </c>
      <c r="I1062" s="87" t="b">
        <v>0</v>
      </c>
      <c r="J1062" s="87" t="b">
        <v>0</v>
      </c>
      <c r="K1062" s="87" t="b">
        <v>0</v>
      </c>
      <c r="L1062"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A7917-A6F4-4EB2-8231-E8CD2DD748CA}">
  <dimension ref="A1:C3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2084</v>
      </c>
      <c r="B2" s="113" t="s">
        <v>2085</v>
      </c>
      <c r="C2" s="54" t="s">
        <v>2086</v>
      </c>
    </row>
    <row r="3" spans="1:3" ht="15">
      <c r="A3" s="112" t="s">
        <v>1330</v>
      </c>
      <c r="B3" s="112" t="s">
        <v>1330</v>
      </c>
      <c r="C3" s="35">
        <v>93</v>
      </c>
    </row>
    <row r="4" spans="1:3" ht="15">
      <c r="A4" s="112" t="s">
        <v>1330</v>
      </c>
      <c r="B4" s="112" t="s">
        <v>1331</v>
      </c>
      <c r="C4" s="35">
        <v>16</v>
      </c>
    </row>
    <row r="5" spans="1:3" ht="15">
      <c r="A5" s="112" t="s">
        <v>1330</v>
      </c>
      <c r="B5" s="112" t="s">
        <v>1332</v>
      </c>
      <c r="C5" s="35">
        <v>7</v>
      </c>
    </row>
    <row r="6" spans="1:3" ht="15">
      <c r="A6" s="112" t="s">
        <v>1330</v>
      </c>
      <c r="B6" s="112" t="s">
        <v>1333</v>
      </c>
      <c r="C6" s="35">
        <v>1</v>
      </c>
    </row>
    <row r="7" spans="1:3" ht="15">
      <c r="A7" s="112" t="s">
        <v>1330</v>
      </c>
      <c r="B7" s="112" t="s">
        <v>1334</v>
      </c>
      <c r="C7" s="35">
        <v>2</v>
      </c>
    </row>
    <row r="8" spans="1:3" ht="15">
      <c r="A8" s="112" t="s">
        <v>1330</v>
      </c>
      <c r="B8" s="112" t="s">
        <v>1335</v>
      </c>
      <c r="C8" s="35">
        <v>2</v>
      </c>
    </row>
    <row r="9" spans="1:3" ht="15">
      <c r="A9" s="112" t="s">
        <v>1330</v>
      </c>
      <c r="B9" s="112" t="s">
        <v>1337</v>
      </c>
      <c r="C9" s="35">
        <v>2</v>
      </c>
    </row>
    <row r="10" spans="1:3" ht="15">
      <c r="A10" s="112" t="s">
        <v>1330</v>
      </c>
      <c r="B10" s="112" t="s">
        <v>1338</v>
      </c>
      <c r="C10" s="35">
        <v>2</v>
      </c>
    </row>
    <row r="11" spans="1:3" ht="15">
      <c r="A11" s="112" t="s">
        <v>1330</v>
      </c>
      <c r="B11" s="112" t="s">
        <v>1339</v>
      </c>
      <c r="C11" s="35">
        <v>2</v>
      </c>
    </row>
    <row r="12" spans="1:3" ht="15">
      <c r="A12" s="112" t="s">
        <v>1330</v>
      </c>
      <c r="B12" s="112" t="s">
        <v>1340</v>
      </c>
      <c r="C12" s="35">
        <v>3</v>
      </c>
    </row>
    <row r="13" spans="1:3" ht="15">
      <c r="A13" s="112" t="s">
        <v>1330</v>
      </c>
      <c r="B13" s="112" t="s">
        <v>1342</v>
      </c>
      <c r="C13" s="35">
        <v>1</v>
      </c>
    </row>
    <row r="14" spans="1:3" ht="15">
      <c r="A14" s="112" t="s">
        <v>1331</v>
      </c>
      <c r="B14" s="112" t="s">
        <v>1330</v>
      </c>
      <c r="C14" s="35">
        <v>4</v>
      </c>
    </row>
    <row r="15" spans="1:3" ht="15">
      <c r="A15" s="112" t="s">
        <v>1331</v>
      </c>
      <c r="B15" s="112" t="s">
        <v>1331</v>
      </c>
      <c r="C15" s="35">
        <v>18</v>
      </c>
    </row>
    <row r="16" spans="1:3" ht="15">
      <c r="A16" s="112" t="s">
        <v>1331</v>
      </c>
      <c r="B16" s="112" t="s">
        <v>1337</v>
      </c>
      <c r="C16" s="35">
        <v>1</v>
      </c>
    </row>
    <row r="17" spans="1:3" ht="15">
      <c r="A17" s="112" t="s">
        <v>1331</v>
      </c>
      <c r="B17" s="112" t="s">
        <v>1340</v>
      </c>
      <c r="C17" s="35">
        <v>1</v>
      </c>
    </row>
    <row r="18" spans="1:3" ht="15">
      <c r="A18" s="112" t="s">
        <v>1332</v>
      </c>
      <c r="B18" s="112" t="s">
        <v>1330</v>
      </c>
      <c r="C18" s="35">
        <v>12</v>
      </c>
    </row>
    <row r="19" spans="1:3" ht="15">
      <c r="A19" s="112" t="s">
        <v>1332</v>
      </c>
      <c r="B19" s="112" t="s">
        <v>1332</v>
      </c>
      <c r="C19" s="35">
        <v>13</v>
      </c>
    </row>
    <row r="20" spans="1:3" ht="15">
      <c r="A20" s="112" t="s">
        <v>1333</v>
      </c>
      <c r="B20" s="112" t="s">
        <v>1330</v>
      </c>
      <c r="C20" s="35">
        <v>7</v>
      </c>
    </row>
    <row r="21" spans="1:3" ht="15">
      <c r="A21" s="112" t="s">
        <v>1333</v>
      </c>
      <c r="B21" s="112" t="s">
        <v>1333</v>
      </c>
      <c r="C21" s="35">
        <v>7</v>
      </c>
    </row>
    <row r="22" spans="1:3" ht="15">
      <c r="A22" s="112" t="s">
        <v>1334</v>
      </c>
      <c r="B22" s="112" t="s">
        <v>1330</v>
      </c>
      <c r="C22" s="35">
        <v>1</v>
      </c>
    </row>
    <row r="23" spans="1:3" ht="15">
      <c r="A23" s="112" t="s">
        <v>1334</v>
      </c>
      <c r="B23" s="112" t="s">
        <v>1334</v>
      </c>
      <c r="C23" s="35">
        <v>6</v>
      </c>
    </row>
    <row r="24" spans="1:3" ht="15">
      <c r="A24" s="112" t="s">
        <v>1335</v>
      </c>
      <c r="B24" s="112" t="s">
        <v>1330</v>
      </c>
      <c r="C24" s="35">
        <v>3</v>
      </c>
    </row>
    <row r="25" spans="1:3" ht="15">
      <c r="A25" s="112" t="s">
        <v>1335</v>
      </c>
      <c r="B25" s="112" t="s">
        <v>1335</v>
      </c>
      <c r="C25" s="35">
        <v>6</v>
      </c>
    </row>
    <row r="26" spans="1:3" ht="15">
      <c r="A26" s="112" t="s">
        <v>1336</v>
      </c>
      <c r="B26" s="112" t="s">
        <v>1336</v>
      </c>
      <c r="C26" s="35">
        <v>4</v>
      </c>
    </row>
    <row r="27" spans="1:3" ht="15">
      <c r="A27" s="112" t="s">
        <v>1337</v>
      </c>
      <c r="B27" s="112" t="s">
        <v>1337</v>
      </c>
      <c r="C27" s="35">
        <v>4</v>
      </c>
    </row>
    <row r="28" spans="1:3" ht="15">
      <c r="A28" s="112" t="s">
        <v>1338</v>
      </c>
      <c r="B28" s="112" t="s">
        <v>1330</v>
      </c>
      <c r="C28" s="35">
        <v>3</v>
      </c>
    </row>
    <row r="29" spans="1:3" ht="15">
      <c r="A29" s="112" t="s">
        <v>1338</v>
      </c>
      <c r="B29" s="112" t="s">
        <v>1338</v>
      </c>
      <c r="C29" s="35">
        <v>5</v>
      </c>
    </row>
    <row r="30" spans="1:3" ht="15">
      <c r="A30" s="112" t="s">
        <v>1339</v>
      </c>
      <c r="B30" s="112" t="s">
        <v>1330</v>
      </c>
      <c r="C30" s="35">
        <v>3</v>
      </c>
    </row>
    <row r="31" spans="1:3" ht="15">
      <c r="A31" s="112" t="s">
        <v>1339</v>
      </c>
      <c r="B31" s="112" t="s">
        <v>1339</v>
      </c>
      <c r="C31" s="35">
        <v>4</v>
      </c>
    </row>
    <row r="32" spans="1:3" ht="15">
      <c r="A32" s="112" t="s">
        <v>1340</v>
      </c>
      <c r="B32" s="112" t="s">
        <v>1330</v>
      </c>
      <c r="C32" s="35">
        <v>2</v>
      </c>
    </row>
    <row r="33" spans="1:3" ht="15">
      <c r="A33" s="112" t="s">
        <v>1340</v>
      </c>
      <c r="B33" s="112" t="s">
        <v>1340</v>
      </c>
      <c r="C33" s="35">
        <v>2</v>
      </c>
    </row>
    <row r="34" spans="1:3" ht="15">
      <c r="A34" s="112" t="s">
        <v>1341</v>
      </c>
      <c r="B34" s="112" t="s">
        <v>1341</v>
      </c>
      <c r="C34" s="35">
        <v>5</v>
      </c>
    </row>
    <row r="35" spans="1:3" ht="15">
      <c r="A35" s="112" t="s">
        <v>1342</v>
      </c>
      <c r="B35" s="112" t="s">
        <v>1342</v>
      </c>
      <c r="C35"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60CA-DF04-4A98-8934-8B0A7B2267A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2105</v>
      </c>
      <c r="B1" s="13" t="s">
        <v>17</v>
      </c>
    </row>
    <row r="2" spans="1:2" ht="15">
      <c r="A2" s="79" t="s">
        <v>2106</v>
      </c>
      <c r="B2" s="79" t="s">
        <v>2112</v>
      </c>
    </row>
    <row r="3" spans="1:2" ht="15">
      <c r="A3" s="80" t="s">
        <v>2107</v>
      </c>
      <c r="B3" s="79" t="s">
        <v>2113</v>
      </c>
    </row>
    <row r="4" spans="1:2" ht="15">
      <c r="A4" s="80" t="s">
        <v>2108</v>
      </c>
      <c r="B4" s="79" t="s">
        <v>2114</v>
      </c>
    </row>
    <row r="5" spans="1:2" ht="15">
      <c r="A5" s="80" t="s">
        <v>2109</v>
      </c>
      <c r="B5" s="79" t="s">
        <v>2115</v>
      </c>
    </row>
    <row r="6" spans="1:2" ht="15">
      <c r="A6" s="80" t="s">
        <v>2110</v>
      </c>
      <c r="B6" s="79" t="s">
        <v>2116</v>
      </c>
    </row>
    <row r="7" spans="1:2" ht="15">
      <c r="A7" s="80" t="s">
        <v>2111</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1F37D-5513-4D30-98F3-D883A96953AB}">
  <dimension ref="A1:BN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1329</v>
      </c>
      <c r="BD2" s="13" t="s">
        <v>1356</v>
      </c>
      <c r="BE2" s="13" t="s">
        <v>1357</v>
      </c>
      <c r="BF2" s="54" t="s">
        <v>2073</v>
      </c>
      <c r="BG2" s="54" t="s">
        <v>2074</v>
      </c>
      <c r="BH2" s="54" t="s">
        <v>2075</v>
      </c>
      <c r="BI2" s="54" t="s">
        <v>2076</v>
      </c>
      <c r="BJ2" s="54" t="s">
        <v>2077</v>
      </c>
      <c r="BK2" s="54" t="s">
        <v>2078</v>
      </c>
      <c r="BL2" s="54" t="s">
        <v>2079</v>
      </c>
      <c r="BM2" s="54" t="s">
        <v>2080</v>
      </c>
      <c r="BN2" s="54" t="s">
        <v>2081</v>
      </c>
    </row>
    <row r="3" spans="1:66" ht="15" customHeight="1">
      <c r="A3" s="65" t="s">
        <v>303</v>
      </c>
      <c r="B3" s="65" t="s">
        <v>268</v>
      </c>
      <c r="C3" s="66"/>
      <c r="D3" s="67"/>
      <c r="E3" s="68"/>
      <c r="F3" s="69"/>
      <c r="G3" s="66"/>
      <c r="H3" s="70"/>
      <c r="I3" s="71"/>
      <c r="J3" s="71"/>
      <c r="K3" s="35" t="s">
        <v>65</v>
      </c>
      <c r="L3" s="72">
        <v>3</v>
      </c>
      <c r="M3" s="72"/>
      <c r="N3" s="73"/>
      <c r="O3" s="79" t="s">
        <v>351</v>
      </c>
      <c r="P3" s="81">
        <v>44215.47875</v>
      </c>
      <c r="Q3" s="79" t="s">
        <v>354</v>
      </c>
      <c r="R3" s="83" t="str">
        <f>HYPERLINK("https://www.tiess.online/registration?utm_source=Twitter&amp;utm_medium=IDA&amp;utm_campaign=TIESS&amp;utm_term=006")</f>
        <v>https://www.tiess.online/registration?utm_source=Twitter&amp;utm_medium=IDA&amp;utm_campaign=TIESS&amp;utm_term=006</v>
      </c>
      <c r="S3" s="79" t="s">
        <v>444</v>
      </c>
      <c r="T3" s="79" t="s">
        <v>449</v>
      </c>
      <c r="U3" s="83" t="str">
        <f>HYPERLINK("https://pbs.twimg.com/ext_tw_video_thumb/1351456442998546433/pu/img/aSegp9wmdlv0gjvz.jpg")</f>
        <v>https://pbs.twimg.com/ext_tw_video_thumb/1351456442998546433/pu/img/aSegp9wmdlv0gjvz.jpg</v>
      </c>
      <c r="V3" s="83" t="str">
        <f>HYPERLINK("https://pbs.twimg.com/ext_tw_video_thumb/1351456442998546433/pu/img/aSegp9wmdlv0gjvz.jpg")</f>
        <v>https://pbs.twimg.com/ext_tw_video_thumb/1351456442998546433/pu/img/aSegp9wmdlv0gjvz.jpg</v>
      </c>
      <c r="W3" s="81">
        <v>44215.47875</v>
      </c>
      <c r="X3" s="85">
        <v>44215</v>
      </c>
      <c r="Y3" s="87" t="s">
        <v>611</v>
      </c>
      <c r="Z3" s="83" t="str">
        <f>HYPERLINK("https://twitter.com/rajeshanni/status/1351491947609767937")</f>
        <v>https://twitter.com/rajeshanni/status/1351491947609767937</v>
      </c>
      <c r="AA3" s="79"/>
      <c r="AB3" s="79"/>
      <c r="AC3" s="87" t="s">
        <v>762</v>
      </c>
      <c r="AD3" s="79"/>
      <c r="AE3" s="79" t="b">
        <v>0</v>
      </c>
      <c r="AF3" s="79">
        <v>0</v>
      </c>
      <c r="AG3" s="87" t="s">
        <v>763</v>
      </c>
      <c r="AH3" s="79" t="b">
        <v>0</v>
      </c>
      <c r="AI3" s="79" t="s">
        <v>764</v>
      </c>
      <c r="AJ3" s="79"/>
      <c r="AK3" s="87" t="s">
        <v>763</v>
      </c>
      <c r="AL3" s="79" t="b">
        <v>0</v>
      </c>
      <c r="AM3" s="79">
        <v>4</v>
      </c>
      <c r="AN3" s="87" t="s">
        <v>645</v>
      </c>
      <c r="AO3" s="79" t="s">
        <v>765</v>
      </c>
      <c r="AP3" s="79" t="b">
        <v>0</v>
      </c>
      <c r="AQ3" s="87" t="s">
        <v>645</v>
      </c>
      <c r="AR3" s="79" t="s">
        <v>197</v>
      </c>
      <c r="AS3" s="79">
        <v>0</v>
      </c>
      <c r="AT3" s="79">
        <v>0</v>
      </c>
      <c r="AU3" s="79"/>
      <c r="AV3" s="79"/>
      <c r="AW3" s="79"/>
      <c r="AX3" s="79"/>
      <c r="AY3" s="79"/>
      <c r="AZ3" s="79"/>
      <c r="BA3" s="79"/>
      <c r="BB3" s="79"/>
      <c r="BC3">
        <v>1</v>
      </c>
      <c r="BD3" s="79" t="str">
        <f>REPLACE(INDEX(GroupVertices[Group],MATCH(Edges25[[#This Row],[Vertex 1]],GroupVertices[Vertex],0)),1,1,"")</f>
        <v>12</v>
      </c>
      <c r="BE3" s="79" t="str">
        <f>REPLACE(INDEX(GroupVertices[Group],MATCH(Edges25[[#This Row],[Vertex 2]],GroupVertices[Vertex],0)),1,1,"")</f>
        <v>12</v>
      </c>
      <c r="BF3" s="49">
        <v>1</v>
      </c>
      <c r="BG3" s="50">
        <v>2.857142857142857</v>
      </c>
      <c r="BH3" s="49">
        <v>0</v>
      </c>
      <c r="BI3" s="50">
        <v>0</v>
      </c>
      <c r="BJ3" s="49">
        <v>0</v>
      </c>
      <c r="BK3" s="50">
        <v>0</v>
      </c>
      <c r="BL3" s="49">
        <v>34</v>
      </c>
      <c r="BM3" s="50">
        <v>97.14285714285714</v>
      </c>
      <c r="BN3" s="49">
        <v>35</v>
      </c>
    </row>
    <row r="4" spans="1:66" ht="15" customHeight="1">
      <c r="A4" s="65" t="s">
        <v>235</v>
      </c>
      <c r="B4" s="65" t="s">
        <v>268</v>
      </c>
      <c r="C4" s="66"/>
      <c r="D4" s="67"/>
      <c r="E4" s="66"/>
      <c r="F4" s="69"/>
      <c r="G4" s="66"/>
      <c r="H4" s="70"/>
      <c r="I4" s="71"/>
      <c r="J4" s="71"/>
      <c r="K4" s="35" t="s">
        <v>65</v>
      </c>
      <c r="L4" s="72">
        <v>4</v>
      </c>
      <c r="M4" s="72"/>
      <c r="N4" s="73"/>
      <c r="O4" s="80" t="s">
        <v>351</v>
      </c>
      <c r="P4" s="82">
        <v>44215.51907407407</v>
      </c>
      <c r="Q4" s="80" t="s">
        <v>354</v>
      </c>
      <c r="R4" s="84" t="str">
        <f>HYPERLINK("https://www.tiess.online/registration?utm_source=Twitter&amp;utm_medium=IDA&amp;utm_campaign=TIESS&amp;utm_term=006")</f>
        <v>https://www.tiess.online/registration?utm_source=Twitter&amp;utm_medium=IDA&amp;utm_campaign=TIESS&amp;utm_term=006</v>
      </c>
      <c r="S4" s="80" t="s">
        <v>444</v>
      </c>
      <c r="T4" s="80" t="s">
        <v>449</v>
      </c>
      <c r="U4" s="84" t="str">
        <f>HYPERLINK("https://pbs.twimg.com/ext_tw_video_thumb/1351456442998546433/pu/img/aSegp9wmdlv0gjvz.jpg")</f>
        <v>https://pbs.twimg.com/ext_tw_video_thumb/1351456442998546433/pu/img/aSegp9wmdlv0gjvz.jpg</v>
      </c>
      <c r="V4" s="84" t="str">
        <f>HYPERLINK("https://pbs.twimg.com/ext_tw_video_thumb/1351456442998546433/pu/img/aSegp9wmdlv0gjvz.jpg")</f>
        <v>https://pbs.twimg.com/ext_tw_video_thumb/1351456442998546433/pu/img/aSegp9wmdlv0gjvz.jpg</v>
      </c>
      <c r="W4" s="82">
        <v>44215.51907407407</v>
      </c>
      <c r="X4" s="86">
        <v>44215</v>
      </c>
      <c r="Y4" s="88" t="s">
        <v>461</v>
      </c>
      <c r="Z4" s="84" t="str">
        <f>HYPERLINK("https://twitter.com/mohitsparihar/status/1351506560044867585")</f>
        <v>https://twitter.com/mohitsparihar/status/1351506560044867585</v>
      </c>
      <c r="AA4" s="80"/>
      <c r="AB4" s="80"/>
      <c r="AC4" s="88" t="s">
        <v>612</v>
      </c>
      <c r="AD4" s="80"/>
      <c r="AE4" s="80" t="b">
        <v>0</v>
      </c>
      <c r="AF4" s="80">
        <v>0</v>
      </c>
      <c r="AG4" s="88" t="s">
        <v>763</v>
      </c>
      <c r="AH4" s="80" t="b">
        <v>0</v>
      </c>
      <c r="AI4" s="80" t="s">
        <v>764</v>
      </c>
      <c r="AJ4" s="80"/>
      <c r="AK4" s="88" t="s">
        <v>763</v>
      </c>
      <c r="AL4" s="80" t="b">
        <v>0</v>
      </c>
      <c r="AM4" s="80">
        <v>4</v>
      </c>
      <c r="AN4" s="88" t="s">
        <v>645</v>
      </c>
      <c r="AO4" s="80" t="s">
        <v>765</v>
      </c>
      <c r="AP4" s="80" t="b">
        <v>0</v>
      </c>
      <c r="AQ4" s="88" t="s">
        <v>645</v>
      </c>
      <c r="AR4" s="80" t="s">
        <v>197</v>
      </c>
      <c r="AS4" s="80">
        <v>0</v>
      </c>
      <c r="AT4" s="80">
        <v>0</v>
      </c>
      <c r="AU4" s="80"/>
      <c r="AV4" s="80"/>
      <c r="AW4" s="80"/>
      <c r="AX4" s="80"/>
      <c r="AY4" s="80"/>
      <c r="AZ4" s="80"/>
      <c r="BA4" s="80"/>
      <c r="BB4" s="80"/>
      <c r="BC4">
        <v>1</v>
      </c>
      <c r="BD4" s="79" t="str">
        <f>REPLACE(INDEX(GroupVertices[Group],MATCH(Edges25[[#This Row],[Vertex 1]],GroupVertices[Vertex],0)),1,1,"")</f>
        <v>12</v>
      </c>
      <c r="BE4" s="79" t="str">
        <f>REPLACE(INDEX(GroupVertices[Group],MATCH(Edges25[[#This Row],[Vertex 2]],GroupVertices[Vertex],0)),1,1,"")</f>
        <v>12</v>
      </c>
      <c r="BF4" s="49">
        <v>1</v>
      </c>
      <c r="BG4" s="50">
        <v>2.857142857142857</v>
      </c>
      <c r="BH4" s="49">
        <v>0</v>
      </c>
      <c r="BI4" s="50">
        <v>0</v>
      </c>
      <c r="BJ4" s="49">
        <v>0</v>
      </c>
      <c r="BK4" s="50">
        <v>0</v>
      </c>
      <c r="BL4" s="49">
        <v>34</v>
      </c>
      <c r="BM4" s="50">
        <v>97.14285714285714</v>
      </c>
      <c r="BN4" s="49">
        <v>35</v>
      </c>
    </row>
    <row r="5" spans="1:66" ht="15">
      <c r="A5" s="65" t="s">
        <v>236</v>
      </c>
      <c r="B5" s="65" t="s">
        <v>273</v>
      </c>
      <c r="C5" s="66"/>
      <c r="D5" s="67"/>
      <c r="E5" s="66"/>
      <c r="F5" s="69"/>
      <c r="G5" s="66"/>
      <c r="H5" s="70"/>
      <c r="I5" s="71"/>
      <c r="J5" s="71"/>
      <c r="K5" s="35" t="s">
        <v>65</v>
      </c>
      <c r="L5" s="72">
        <v>5</v>
      </c>
      <c r="M5" s="72"/>
      <c r="N5" s="73"/>
      <c r="O5" s="80" t="s">
        <v>352</v>
      </c>
      <c r="P5" s="82">
        <v>44215.55118055556</v>
      </c>
      <c r="Q5" s="80" t="s">
        <v>355</v>
      </c>
      <c r="R5" s="84" t="str">
        <f>HYPERLINK("https://www.tiess.online/registration?utm_source=SM&amp;utm_medium=Andreas&amp;utm_campaign=TIESS&amp;utm_term=008")</f>
        <v>https://www.tiess.online/registration?utm_source=SM&amp;utm_medium=Andreas&amp;utm_campaign=TIESS&amp;utm_term=008</v>
      </c>
      <c r="S5" s="80" t="s">
        <v>444</v>
      </c>
      <c r="T5" s="80" t="s">
        <v>450</v>
      </c>
      <c r="U5" s="84" t="str">
        <f>HYPERLINK("https://pbs.twimg.com/media/EsF5NK-VcAAprHt.jpg")</f>
        <v>https://pbs.twimg.com/media/EsF5NK-VcAAprHt.jpg</v>
      </c>
      <c r="V5" s="84" t="str">
        <f>HYPERLINK("https://pbs.twimg.com/media/EsF5NK-VcAAprHt.jpg")</f>
        <v>https://pbs.twimg.com/media/EsF5NK-VcAAprHt.jpg</v>
      </c>
      <c r="W5" s="82">
        <v>44215.55118055556</v>
      </c>
      <c r="X5" s="86">
        <v>44215</v>
      </c>
      <c r="Y5" s="88" t="s">
        <v>462</v>
      </c>
      <c r="Z5" s="84" t="str">
        <f>HYPERLINK("https://twitter.com/fachportalpaed/status/1351518195753119746")</f>
        <v>https://twitter.com/fachportalpaed/status/1351518195753119746</v>
      </c>
      <c r="AA5" s="80"/>
      <c r="AB5" s="80"/>
      <c r="AC5" s="88" t="s">
        <v>613</v>
      </c>
      <c r="AD5" s="80"/>
      <c r="AE5" s="80" t="b">
        <v>0</v>
      </c>
      <c r="AF5" s="80">
        <v>0</v>
      </c>
      <c r="AG5" s="88" t="s">
        <v>763</v>
      </c>
      <c r="AH5" s="80" t="b">
        <v>0</v>
      </c>
      <c r="AI5" s="80" t="s">
        <v>764</v>
      </c>
      <c r="AJ5" s="80"/>
      <c r="AK5" s="88" t="s">
        <v>763</v>
      </c>
      <c r="AL5" s="80" t="b">
        <v>0</v>
      </c>
      <c r="AM5" s="80">
        <v>3</v>
      </c>
      <c r="AN5" s="88" t="s">
        <v>653</v>
      </c>
      <c r="AO5" s="80" t="s">
        <v>765</v>
      </c>
      <c r="AP5" s="80" t="b">
        <v>0</v>
      </c>
      <c r="AQ5" s="88" t="s">
        <v>653</v>
      </c>
      <c r="AR5" s="80" t="s">
        <v>197</v>
      </c>
      <c r="AS5" s="80">
        <v>0</v>
      </c>
      <c r="AT5" s="80">
        <v>0</v>
      </c>
      <c r="AU5" s="80"/>
      <c r="AV5" s="80"/>
      <c r="AW5" s="80"/>
      <c r="AX5" s="80"/>
      <c r="AY5" s="80"/>
      <c r="AZ5" s="80"/>
      <c r="BA5" s="80"/>
      <c r="BB5" s="80"/>
      <c r="BC5">
        <v>1</v>
      </c>
      <c r="BD5" s="79" t="str">
        <f>REPLACE(INDEX(GroupVertices[Group],MATCH(Edges25[[#This Row],[Vertex 1]],GroupVertices[Vertex],0)),1,1,"")</f>
        <v>3</v>
      </c>
      <c r="BE5" s="79" t="str">
        <f>REPLACE(INDEX(GroupVertices[Group],MATCH(Edges25[[#This Row],[Vertex 2]],GroupVertices[Vertex],0)),1,1,"")</f>
        <v>3</v>
      </c>
      <c r="BF5" s="49"/>
      <c r="BG5" s="50"/>
      <c r="BH5" s="49"/>
      <c r="BI5" s="50"/>
      <c r="BJ5" s="49"/>
      <c r="BK5" s="50"/>
      <c r="BL5" s="49"/>
      <c r="BM5" s="50"/>
      <c r="BN5" s="49"/>
    </row>
    <row r="6" spans="1:66" ht="15">
      <c r="A6" s="65" t="s">
        <v>237</v>
      </c>
      <c r="B6" s="65" t="s">
        <v>273</v>
      </c>
      <c r="C6" s="66"/>
      <c r="D6" s="67"/>
      <c r="E6" s="66"/>
      <c r="F6" s="69"/>
      <c r="G6" s="66"/>
      <c r="H6" s="70"/>
      <c r="I6" s="71"/>
      <c r="J6" s="71"/>
      <c r="K6" s="35" t="s">
        <v>65</v>
      </c>
      <c r="L6" s="72">
        <v>8</v>
      </c>
      <c r="M6" s="72"/>
      <c r="N6" s="73"/>
      <c r="O6" s="80" t="s">
        <v>352</v>
      </c>
      <c r="P6" s="82">
        <v>44215.65109953703</v>
      </c>
      <c r="Q6" s="80" t="s">
        <v>355</v>
      </c>
      <c r="R6" s="84" t="str">
        <f>HYPERLINK("https://www.tiess.online/registration?utm_source=SM&amp;utm_medium=Andreas&amp;utm_campaign=TIESS&amp;utm_term=008")</f>
        <v>https://www.tiess.online/registration?utm_source=SM&amp;utm_medium=Andreas&amp;utm_campaign=TIESS&amp;utm_term=008</v>
      </c>
      <c r="S6" s="80" t="s">
        <v>444</v>
      </c>
      <c r="T6" s="80" t="s">
        <v>450</v>
      </c>
      <c r="U6" s="84" t="str">
        <f>HYPERLINK("https://pbs.twimg.com/media/EsF5NK-VcAAprHt.jpg")</f>
        <v>https://pbs.twimg.com/media/EsF5NK-VcAAprHt.jpg</v>
      </c>
      <c r="V6" s="84" t="str">
        <f>HYPERLINK("https://pbs.twimg.com/media/EsF5NK-VcAAprHt.jpg")</f>
        <v>https://pbs.twimg.com/media/EsF5NK-VcAAprHt.jpg</v>
      </c>
      <c r="W6" s="82">
        <v>44215.65109953703</v>
      </c>
      <c r="X6" s="86">
        <v>44215</v>
      </c>
      <c r="Y6" s="88" t="s">
        <v>463</v>
      </c>
      <c r="Z6" s="84" t="str">
        <f>HYPERLINK("https://twitter.com/untiporaro/status/1351554405607342081")</f>
        <v>https://twitter.com/untiporaro/status/1351554405607342081</v>
      </c>
      <c r="AA6" s="80"/>
      <c r="AB6" s="80"/>
      <c r="AC6" s="88" t="s">
        <v>614</v>
      </c>
      <c r="AD6" s="80"/>
      <c r="AE6" s="80" t="b">
        <v>0</v>
      </c>
      <c r="AF6" s="80">
        <v>0</v>
      </c>
      <c r="AG6" s="88" t="s">
        <v>763</v>
      </c>
      <c r="AH6" s="80" t="b">
        <v>0</v>
      </c>
      <c r="AI6" s="80" t="s">
        <v>764</v>
      </c>
      <c r="AJ6" s="80"/>
      <c r="AK6" s="88" t="s">
        <v>763</v>
      </c>
      <c r="AL6" s="80" t="b">
        <v>0</v>
      </c>
      <c r="AM6" s="80">
        <v>3</v>
      </c>
      <c r="AN6" s="88" t="s">
        <v>653</v>
      </c>
      <c r="AO6" s="80" t="s">
        <v>766</v>
      </c>
      <c r="AP6" s="80" t="b">
        <v>0</v>
      </c>
      <c r="AQ6" s="88" t="s">
        <v>653</v>
      </c>
      <c r="AR6" s="80" t="s">
        <v>197</v>
      </c>
      <c r="AS6" s="80">
        <v>0</v>
      </c>
      <c r="AT6" s="80">
        <v>0</v>
      </c>
      <c r="AU6" s="80"/>
      <c r="AV6" s="80"/>
      <c r="AW6" s="80"/>
      <c r="AX6" s="80"/>
      <c r="AY6" s="80"/>
      <c r="AZ6" s="80"/>
      <c r="BA6" s="80"/>
      <c r="BB6" s="80"/>
      <c r="BC6">
        <v>1</v>
      </c>
      <c r="BD6" s="79" t="str">
        <f>REPLACE(INDEX(GroupVertices[Group],MATCH(Edges25[[#This Row],[Vertex 1]],GroupVertices[Vertex],0)),1,1,"")</f>
        <v>3</v>
      </c>
      <c r="BE6" s="79" t="str">
        <f>REPLACE(INDEX(GroupVertices[Group],MATCH(Edges25[[#This Row],[Vertex 2]],GroupVertices[Vertex],0)),1,1,"")</f>
        <v>3</v>
      </c>
      <c r="BF6" s="49"/>
      <c r="BG6" s="50"/>
      <c r="BH6" s="49"/>
      <c r="BI6" s="50"/>
      <c r="BJ6" s="49"/>
      <c r="BK6" s="50"/>
      <c r="BL6" s="49"/>
      <c r="BM6" s="50"/>
      <c r="BN6" s="49"/>
    </row>
    <row r="7" spans="1:66" ht="15">
      <c r="A7" s="65" t="s">
        <v>238</v>
      </c>
      <c r="B7" s="65" t="s">
        <v>304</v>
      </c>
      <c r="C7" s="66"/>
      <c r="D7" s="67"/>
      <c r="E7" s="66"/>
      <c r="F7" s="69"/>
      <c r="G7" s="66"/>
      <c r="H7" s="70"/>
      <c r="I7" s="71"/>
      <c r="J7" s="71"/>
      <c r="K7" s="35" t="s">
        <v>65</v>
      </c>
      <c r="L7" s="72">
        <v>11</v>
      </c>
      <c r="M7" s="72"/>
      <c r="N7" s="73"/>
      <c r="O7" s="80" t="s">
        <v>352</v>
      </c>
      <c r="P7" s="82">
        <v>44217.25792824074</v>
      </c>
      <c r="Q7" s="80" t="s">
        <v>356</v>
      </c>
      <c r="R7" s="84" t="str">
        <f>HYPERLINK("https://www.tiess.online/registration?utm_source=SM&amp;utm_medium=Sheeran&amp;utm_campaign=TIESS&amp;utm_term=038")</f>
        <v>https://www.tiess.online/registration?utm_source=SM&amp;utm_medium=Sheeran&amp;utm_campaign=TIESS&amp;utm_term=038</v>
      </c>
      <c r="S7" s="80" t="s">
        <v>444</v>
      </c>
      <c r="T7" s="80" t="s">
        <v>450</v>
      </c>
      <c r="U7" s="84" t="str">
        <f>HYPERLINK("https://pbs.twimg.com/media/EsO_BRzU0AEEbdb.jpg")</f>
        <v>https://pbs.twimg.com/media/EsO_BRzU0AEEbdb.jpg</v>
      </c>
      <c r="V7" s="84" t="str">
        <f>HYPERLINK("https://pbs.twimg.com/media/EsO_BRzU0AEEbdb.jpg")</f>
        <v>https://pbs.twimg.com/media/EsO_BRzU0AEEbdb.jpg</v>
      </c>
      <c r="W7" s="82">
        <v>44217.25792824074</v>
      </c>
      <c r="X7" s="86">
        <v>44217</v>
      </c>
      <c r="Y7" s="88" t="s">
        <v>464</v>
      </c>
      <c r="Z7" s="84" t="str">
        <f>HYPERLINK("https://twitter.com/hinabhagwani/status/1352136699527143425")</f>
        <v>https://twitter.com/hinabhagwani/status/1352136699527143425</v>
      </c>
      <c r="AA7" s="80"/>
      <c r="AB7" s="80"/>
      <c r="AC7" s="88" t="s">
        <v>615</v>
      </c>
      <c r="AD7" s="80"/>
      <c r="AE7" s="80" t="b">
        <v>0</v>
      </c>
      <c r="AF7" s="80">
        <v>0</v>
      </c>
      <c r="AG7" s="88" t="s">
        <v>763</v>
      </c>
      <c r="AH7" s="80" t="b">
        <v>0</v>
      </c>
      <c r="AI7" s="80" t="s">
        <v>764</v>
      </c>
      <c r="AJ7" s="80"/>
      <c r="AK7" s="88" t="s">
        <v>763</v>
      </c>
      <c r="AL7" s="80" t="b">
        <v>0</v>
      </c>
      <c r="AM7" s="80">
        <v>2</v>
      </c>
      <c r="AN7" s="88" t="s">
        <v>725</v>
      </c>
      <c r="AO7" s="80" t="s">
        <v>766</v>
      </c>
      <c r="AP7" s="80" t="b">
        <v>0</v>
      </c>
      <c r="AQ7" s="88" t="s">
        <v>725</v>
      </c>
      <c r="AR7" s="80" t="s">
        <v>197</v>
      </c>
      <c r="AS7" s="80">
        <v>0</v>
      </c>
      <c r="AT7" s="80">
        <v>0</v>
      </c>
      <c r="AU7" s="80"/>
      <c r="AV7" s="80"/>
      <c r="AW7" s="80"/>
      <c r="AX7" s="80"/>
      <c r="AY7" s="80"/>
      <c r="AZ7" s="80"/>
      <c r="BA7" s="80"/>
      <c r="BB7" s="80"/>
      <c r="BC7">
        <v>1</v>
      </c>
      <c r="BD7" s="79" t="str">
        <f>REPLACE(INDEX(GroupVertices[Group],MATCH(Edges25[[#This Row],[Vertex 1]],GroupVertices[Vertex],0)),1,1,"")</f>
        <v>11</v>
      </c>
      <c r="BE7" s="79" t="str">
        <f>REPLACE(INDEX(GroupVertices[Group],MATCH(Edges25[[#This Row],[Vertex 2]],GroupVertices[Vertex],0)),1,1,"")</f>
        <v>11</v>
      </c>
      <c r="BF7" s="49">
        <v>2</v>
      </c>
      <c r="BG7" s="50">
        <v>6.451612903225806</v>
      </c>
      <c r="BH7" s="49">
        <v>1</v>
      </c>
      <c r="BI7" s="50">
        <v>3.225806451612903</v>
      </c>
      <c r="BJ7" s="49">
        <v>0</v>
      </c>
      <c r="BK7" s="50">
        <v>0</v>
      </c>
      <c r="BL7" s="49">
        <v>28</v>
      </c>
      <c r="BM7" s="50">
        <v>90.3225806451613</v>
      </c>
      <c r="BN7" s="49">
        <v>31</v>
      </c>
    </row>
    <row r="8" spans="1:66" ht="15">
      <c r="A8" s="65" t="s">
        <v>239</v>
      </c>
      <c r="B8" s="65" t="s">
        <v>304</v>
      </c>
      <c r="C8" s="66"/>
      <c r="D8" s="67"/>
      <c r="E8" s="66"/>
      <c r="F8" s="69"/>
      <c r="G8" s="66"/>
      <c r="H8" s="70"/>
      <c r="I8" s="71"/>
      <c r="J8" s="71"/>
      <c r="K8" s="35" t="s">
        <v>65</v>
      </c>
      <c r="L8" s="72">
        <v>13</v>
      </c>
      <c r="M8" s="72"/>
      <c r="N8" s="73"/>
      <c r="O8" s="80" t="s">
        <v>352</v>
      </c>
      <c r="P8" s="82">
        <v>44217.26719907407</v>
      </c>
      <c r="Q8" s="80" t="s">
        <v>356</v>
      </c>
      <c r="R8" s="84" t="str">
        <f>HYPERLINK("https://www.tiess.online/registration?utm_source=SM&amp;utm_medium=Sheeran&amp;utm_campaign=TIESS&amp;utm_term=038")</f>
        <v>https://www.tiess.online/registration?utm_source=SM&amp;utm_medium=Sheeran&amp;utm_campaign=TIESS&amp;utm_term=038</v>
      </c>
      <c r="S8" s="80" t="s">
        <v>444</v>
      </c>
      <c r="T8" s="80" t="s">
        <v>450</v>
      </c>
      <c r="U8" s="84" t="str">
        <f>HYPERLINK("https://pbs.twimg.com/media/EsO_BRzU0AEEbdb.jpg")</f>
        <v>https://pbs.twimg.com/media/EsO_BRzU0AEEbdb.jpg</v>
      </c>
      <c r="V8" s="84" t="str">
        <f>HYPERLINK("https://pbs.twimg.com/media/EsO_BRzU0AEEbdb.jpg")</f>
        <v>https://pbs.twimg.com/media/EsO_BRzU0AEEbdb.jpg</v>
      </c>
      <c r="W8" s="82">
        <v>44217.26719907407</v>
      </c>
      <c r="X8" s="86">
        <v>44217</v>
      </c>
      <c r="Y8" s="88" t="s">
        <v>465</v>
      </c>
      <c r="Z8" s="84" t="str">
        <f>HYPERLINK("https://twitter.com/sarka003/status/1352140061400154114")</f>
        <v>https://twitter.com/sarka003/status/1352140061400154114</v>
      </c>
      <c r="AA8" s="80"/>
      <c r="AB8" s="80"/>
      <c r="AC8" s="88" t="s">
        <v>616</v>
      </c>
      <c r="AD8" s="80"/>
      <c r="AE8" s="80" t="b">
        <v>0</v>
      </c>
      <c r="AF8" s="80">
        <v>0</v>
      </c>
      <c r="AG8" s="88" t="s">
        <v>763</v>
      </c>
      <c r="AH8" s="80" t="b">
        <v>0</v>
      </c>
      <c r="AI8" s="80" t="s">
        <v>764</v>
      </c>
      <c r="AJ8" s="80"/>
      <c r="AK8" s="88" t="s">
        <v>763</v>
      </c>
      <c r="AL8" s="80" t="b">
        <v>0</v>
      </c>
      <c r="AM8" s="80">
        <v>2</v>
      </c>
      <c r="AN8" s="88" t="s">
        <v>725</v>
      </c>
      <c r="AO8" s="80" t="s">
        <v>765</v>
      </c>
      <c r="AP8" s="80" t="b">
        <v>0</v>
      </c>
      <c r="AQ8" s="88" t="s">
        <v>725</v>
      </c>
      <c r="AR8" s="80" t="s">
        <v>197</v>
      </c>
      <c r="AS8" s="80">
        <v>0</v>
      </c>
      <c r="AT8" s="80">
        <v>0</v>
      </c>
      <c r="AU8" s="80"/>
      <c r="AV8" s="80"/>
      <c r="AW8" s="80"/>
      <c r="AX8" s="80"/>
      <c r="AY8" s="80"/>
      <c r="AZ8" s="80"/>
      <c r="BA8" s="80"/>
      <c r="BB8" s="80"/>
      <c r="BC8">
        <v>1</v>
      </c>
      <c r="BD8" s="79" t="str">
        <f>REPLACE(INDEX(GroupVertices[Group],MATCH(Edges25[[#This Row],[Vertex 1]],GroupVertices[Vertex],0)),1,1,"")</f>
        <v>11</v>
      </c>
      <c r="BE8" s="79" t="str">
        <f>REPLACE(INDEX(GroupVertices[Group],MATCH(Edges25[[#This Row],[Vertex 2]],GroupVertices[Vertex],0)),1,1,"")</f>
        <v>11</v>
      </c>
      <c r="BF8" s="49"/>
      <c r="BG8" s="50"/>
      <c r="BH8" s="49"/>
      <c r="BI8" s="50"/>
      <c r="BJ8" s="49"/>
      <c r="BK8" s="50"/>
      <c r="BL8" s="49"/>
      <c r="BM8" s="50"/>
      <c r="BN8" s="49"/>
    </row>
    <row r="9" spans="1:66" ht="15">
      <c r="A9" s="65" t="s">
        <v>240</v>
      </c>
      <c r="B9" s="65" t="s">
        <v>279</v>
      </c>
      <c r="C9" s="66"/>
      <c r="D9" s="67"/>
      <c r="E9" s="66"/>
      <c r="F9" s="69"/>
      <c r="G9" s="66"/>
      <c r="H9" s="70"/>
      <c r="I9" s="71"/>
      <c r="J9" s="71"/>
      <c r="K9" s="35" t="s">
        <v>65</v>
      </c>
      <c r="L9" s="72">
        <v>15</v>
      </c>
      <c r="M9" s="72"/>
      <c r="N9" s="73"/>
      <c r="O9" s="80" t="s">
        <v>352</v>
      </c>
      <c r="P9" s="82">
        <v>44217.41349537037</v>
      </c>
      <c r="Q9" s="80" t="s">
        <v>357</v>
      </c>
      <c r="R9" s="84" t="str">
        <f>HYPERLINK("https://www.tiess.online/registration?utm_source=SM&amp;utm_medium=Swaroop&amp;utm_campaign=TIESS&amp;utm_term=015")</f>
        <v>https://www.tiess.online/registration?utm_source=SM&amp;utm_medium=Swaroop&amp;utm_campaign=TIESS&amp;utm_term=015</v>
      </c>
      <c r="S9" s="80" t="s">
        <v>444</v>
      </c>
      <c r="T9" s="80" t="s">
        <v>450</v>
      </c>
      <c r="U9" s="84" t="str">
        <f>HYPERLINK("https://pbs.twimg.com/media/EsPS8swVEAEm_LK.jpg")</f>
        <v>https://pbs.twimg.com/media/EsPS8swVEAEm_LK.jpg</v>
      </c>
      <c r="V9" s="84" t="str">
        <f>HYPERLINK("https://pbs.twimg.com/media/EsPS8swVEAEm_LK.jpg")</f>
        <v>https://pbs.twimg.com/media/EsPS8swVEAEm_LK.jpg</v>
      </c>
      <c r="W9" s="82">
        <v>44217.41349537037</v>
      </c>
      <c r="X9" s="86">
        <v>44217</v>
      </c>
      <c r="Y9" s="88" t="s">
        <v>466</v>
      </c>
      <c r="Z9" s="84" t="str">
        <f>HYPERLINK("https://twitter.com/shail67330119/status/1352193075167150082")</f>
        <v>https://twitter.com/shail67330119/status/1352193075167150082</v>
      </c>
      <c r="AA9" s="80"/>
      <c r="AB9" s="80"/>
      <c r="AC9" s="88" t="s">
        <v>617</v>
      </c>
      <c r="AD9" s="80"/>
      <c r="AE9" s="80" t="b">
        <v>0</v>
      </c>
      <c r="AF9" s="80">
        <v>0</v>
      </c>
      <c r="AG9" s="88" t="s">
        <v>763</v>
      </c>
      <c r="AH9" s="80" t="b">
        <v>0</v>
      </c>
      <c r="AI9" s="80" t="s">
        <v>764</v>
      </c>
      <c r="AJ9" s="80"/>
      <c r="AK9" s="88" t="s">
        <v>763</v>
      </c>
      <c r="AL9" s="80" t="b">
        <v>0</v>
      </c>
      <c r="AM9" s="80">
        <v>5</v>
      </c>
      <c r="AN9" s="88" t="s">
        <v>667</v>
      </c>
      <c r="AO9" s="80" t="s">
        <v>767</v>
      </c>
      <c r="AP9" s="80" t="b">
        <v>0</v>
      </c>
      <c r="AQ9" s="88" t="s">
        <v>667</v>
      </c>
      <c r="AR9" s="80" t="s">
        <v>197</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9">
        <v>1</v>
      </c>
      <c r="BG9" s="50">
        <v>3.0303030303030303</v>
      </c>
      <c r="BH9" s="49">
        <v>0</v>
      </c>
      <c r="BI9" s="50">
        <v>0</v>
      </c>
      <c r="BJ9" s="49">
        <v>0</v>
      </c>
      <c r="BK9" s="50">
        <v>0</v>
      </c>
      <c r="BL9" s="49">
        <v>32</v>
      </c>
      <c r="BM9" s="50">
        <v>96.96969696969697</v>
      </c>
      <c r="BN9" s="49">
        <v>33</v>
      </c>
    </row>
    <row r="10" spans="1:66" ht="15">
      <c r="A10" s="65" t="s">
        <v>241</v>
      </c>
      <c r="B10" s="65" t="s">
        <v>279</v>
      </c>
      <c r="C10" s="66"/>
      <c r="D10" s="67"/>
      <c r="E10" s="66"/>
      <c r="F10" s="69"/>
      <c r="G10" s="66"/>
      <c r="H10" s="70"/>
      <c r="I10" s="71"/>
      <c r="J10" s="71"/>
      <c r="K10" s="35" t="s">
        <v>65</v>
      </c>
      <c r="L10" s="72">
        <v>17</v>
      </c>
      <c r="M10" s="72"/>
      <c r="N10" s="73"/>
      <c r="O10" s="80" t="s">
        <v>352</v>
      </c>
      <c r="P10" s="82">
        <v>44217.5050462963</v>
      </c>
      <c r="Q10" s="80" t="s">
        <v>357</v>
      </c>
      <c r="R10" s="84" t="str">
        <f>HYPERLINK("https://www.tiess.online/registration?utm_source=SM&amp;utm_medium=Swaroop&amp;utm_campaign=TIESS&amp;utm_term=015")</f>
        <v>https://www.tiess.online/registration?utm_source=SM&amp;utm_medium=Swaroop&amp;utm_campaign=TIESS&amp;utm_term=015</v>
      </c>
      <c r="S10" s="80" t="s">
        <v>444</v>
      </c>
      <c r="T10" s="80" t="s">
        <v>450</v>
      </c>
      <c r="U10" s="84" t="str">
        <f>HYPERLINK("https://pbs.twimg.com/media/EsPS8swVEAEm_LK.jpg")</f>
        <v>https://pbs.twimg.com/media/EsPS8swVEAEm_LK.jpg</v>
      </c>
      <c r="V10" s="84" t="str">
        <f>HYPERLINK("https://pbs.twimg.com/media/EsPS8swVEAEm_LK.jpg")</f>
        <v>https://pbs.twimg.com/media/EsPS8swVEAEm_LK.jpg</v>
      </c>
      <c r="W10" s="82">
        <v>44217.5050462963</v>
      </c>
      <c r="X10" s="86">
        <v>44217</v>
      </c>
      <c r="Y10" s="88" t="s">
        <v>467</v>
      </c>
      <c r="Z10" s="84" t="str">
        <f>HYPERLINK("https://twitter.com/meenakshipai/status/1352226254569705478")</f>
        <v>https://twitter.com/meenakshipai/status/1352226254569705478</v>
      </c>
      <c r="AA10" s="80"/>
      <c r="AB10" s="80"/>
      <c r="AC10" s="88" t="s">
        <v>618</v>
      </c>
      <c r="AD10" s="80"/>
      <c r="AE10" s="80" t="b">
        <v>0</v>
      </c>
      <c r="AF10" s="80">
        <v>0</v>
      </c>
      <c r="AG10" s="88" t="s">
        <v>763</v>
      </c>
      <c r="AH10" s="80" t="b">
        <v>0</v>
      </c>
      <c r="AI10" s="80" t="s">
        <v>764</v>
      </c>
      <c r="AJ10" s="80"/>
      <c r="AK10" s="88" t="s">
        <v>763</v>
      </c>
      <c r="AL10" s="80" t="b">
        <v>0</v>
      </c>
      <c r="AM10" s="80">
        <v>5</v>
      </c>
      <c r="AN10" s="88" t="s">
        <v>667</v>
      </c>
      <c r="AO10" s="80" t="s">
        <v>766</v>
      </c>
      <c r="AP10" s="80" t="b">
        <v>0</v>
      </c>
      <c r="AQ10" s="88" t="s">
        <v>667</v>
      </c>
      <c r="AR10" s="80" t="s">
        <v>197</v>
      </c>
      <c r="AS10" s="80">
        <v>0</v>
      </c>
      <c r="AT10" s="80">
        <v>0</v>
      </c>
      <c r="AU10" s="80"/>
      <c r="AV10" s="80"/>
      <c r="AW10" s="80"/>
      <c r="AX10" s="80"/>
      <c r="AY10" s="80"/>
      <c r="AZ10" s="80"/>
      <c r="BA10" s="80"/>
      <c r="BB10" s="80"/>
      <c r="BC10">
        <v>1</v>
      </c>
      <c r="BD10" s="79" t="str">
        <f>REPLACE(INDEX(GroupVertices[Group],MATCH(Edges25[[#This Row],[Vertex 1]],GroupVertices[Vertex],0)),1,1,"")</f>
        <v>1</v>
      </c>
      <c r="BE10" s="79" t="str">
        <f>REPLACE(INDEX(GroupVertices[Group],MATCH(Edges25[[#This Row],[Vertex 2]],GroupVertices[Vertex],0)),1,1,"")</f>
        <v>1</v>
      </c>
      <c r="BF10" s="49"/>
      <c r="BG10" s="50"/>
      <c r="BH10" s="49"/>
      <c r="BI10" s="50"/>
      <c r="BJ10" s="49"/>
      <c r="BK10" s="50"/>
      <c r="BL10" s="49"/>
      <c r="BM10" s="50"/>
      <c r="BN10" s="49"/>
    </row>
    <row r="11" spans="1:66" ht="15">
      <c r="A11" s="65" t="s">
        <v>242</v>
      </c>
      <c r="B11" s="65" t="s">
        <v>279</v>
      </c>
      <c r="C11" s="66"/>
      <c r="D11" s="67"/>
      <c r="E11" s="66"/>
      <c r="F11" s="69"/>
      <c r="G11" s="66"/>
      <c r="H11" s="70"/>
      <c r="I11" s="71"/>
      <c r="J11" s="71"/>
      <c r="K11" s="35" t="s">
        <v>65</v>
      </c>
      <c r="L11" s="72">
        <v>19</v>
      </c>
      <c r="M11" s="72"/>
      <c r="N11" s="73"/>
      <c r="O11" s="80" t="s">
        <v>352</v>
      </c>
      <c r="P11" s="82">
        <v>44217.66875</v>
      </c>
      <c r="Q11" s="80" t="s">
        <v>357</v>
      </c>
      <c r="R11" s="84" t="str">
        <f>HYPERLINK("https://www.tiess.online/registration?utm_source=SM&amp;utm_medium=Swaroop&amp;utm_campaign=TIESS&amp;utm_term=015")</f>
        <v>https://www.tiess.online/registration?utm_source=SM&amp;utm_medium=Swaroop&amp;utm_campaign=TIESS&amp;utm_term=015</v>
      </c>
      <c r="S11" s="80" t="s">
        <v>444</v>
      </c>
      <c r="T11" s="80" t="s">
        <v>450</v>
      </c>
      <c r="U11" s="84" t="str">
        <f>HYPERLINK("https://pbs.twimg.com/media/EsPS8swVEAEm_LK.jpg")</f>
        <v>https://pbs.twimg.com/media/EsPS8swVEAEm_LK.jpg</v>
      </c>
      <c r="V11" s="84" t="str">
        <f>HYPERLINK("https://pbs.twimg.com/media/EsPS8swVEAEm_LK.jpg")</f>
        <v>https://pbs.twimg.com/media/EsPS8swVEAEm_LK.jpg</v>
      </c>
      <c r="W11" s="82">
        <v>44217.66875</v>
      </c>
      <c r="X11" s="86">
        <v>44217</v>
      </c>
      <c r="Y11" s="88" t="s">
        <v>468</v>
      </c>
      <c r="Z11" s="84" t="str">
        <f>HYPERLINK("https://twitter.com/shivanikdmishra/status/1352285578167951362")</f>
        <v>https://twitter.com/shivanikdmishra/status/1352285578167951362</v>
      </c>
      <c r="AA11" s="80"/>
      <c r="AB11" s="80"/>
      <c r="AC11" s="88" t="s">
        <v>619</v>
      </c>
      <c r="AD11" s="80"/>
      <c r="AE11" s="80" t="b">
        <v>0</v>
      </c>
      <c r="AF11" s="80">
        <v>0</v>
      </c>
      <c r="AG11" s="88" t="s">
        <v>763</v>
      </c>
      <c r="AH11" s="80" t="b">
        <v>0</v>
      </c>
      <c r="AI11" s="80" t="s">
        <v>764</v>
      </c>
      <c r="AJ11" s="80"/>
      <c r="AK11" s="88" t="s">
        <v>763</v>
      </c>
      <c r="AL11" s="80" t="b">
        <v>0</v>
      </c>
      <c r="AM11" s="80">
        <v>5</v>
      </c>
      <c r="AN11" s="88" t="s">
        <v>667</v>
      </c>
      <c r="AO11" s="80" t="s">
        <v>766</v>
      </c>
      <c r="AP11" s="80" t="b">
        <v>0</v>
      </c>
      <c r="AQ11" s="88" t="s">
        <v>667</v>
      </c>
      <c r="AR11" s="80" t="s">
        <v>197</v>
      </c>
      <c r="AS11" s="80">
        <v>0</v>
      </c>
      <c r="AT11" s="80">
        <v>0</v>
      </c>
      <c r="AU11" s="80"/>
      <c r="AV11" s="80"/>
      <c r="AW11" s="80"/>
      <c r="AX11" s="80"/>
      <c r="AY11" s="80"/>
      <c r="AZ11" s="80"/>
      <c r="BA11" s="80"/>
      <c r="BB11" s="80"/>
      <c r="BC11">
        <v>1</v>
      </c>
      <c r="BD11" s="79" t="str">
        <f>REPLACE(INDEX(GroupVertices[Group],MATCH(Edges25[[#This Row],[Vertex 1]],GroupVertices[Vertex],0)),1,1,"")</f>
        <v>1</v>
      </c>
      <c r="BE11" s="79" t="str">
        <f>REPLACE(INDEX(GroupVertices[Group],MATCH(Edges25[[#This Row],[Vertex 2]],GroupVertices[Vertex],0)),1,1,"")</f>
        <v>1</v>
      </c>
      <c r="BF11" s="49"/>
      <c r="BG11" s="50"/>
      <c r="BH11" s="49"/>
      <c r="BI11" s="50"/>
      <c r="BJ11" s="49"/>
      <c r="BK11" s="50"/>
      <c r="BL11" s="49"/>
      <c r="BM11" s="50"/>
      <c r="BN11" s="49"/>
    </row>
    <row r="12" spans="1:66" ht="15">
      <c r="A12" s="65" t="s">
        <v>243</v>
      </c>
      <c r="B12" s="65" t="s">
        <v>305</v>
      </c>
      <c r="C12" s="66"/>
      <c r="D12" s="67"/>
      <c r="E12" s="66"/>
      <c r="F12" s="69"/>
      <c r="G12" s="66"/>
      <c r="H12" s="70"/>
      <c r="I12" s="71"/>
      <c r="J12" s="71"/>
      <c r="K12" s="35" t="s">
        <v>65</v>
      </c>
      <c r="L12" s="72">
        <v>21</v>
      </c>
      <c r="M12" s="72"/>
      <c r="N12" s="73"/>
      <c r="O12" s="80" t="s">
        <v>352</v>
      </c>
      <c r="P12" s="82">
        <v>44217.857465277775</v>
      </c>
      <c r="Q12" s="80" t="s">
        <v>358</v>
      </c>
      <c r="R12" s="84" t="str">
        <f>HYPERLINK("https://twitter.com/indiadidac/status/1352130841325944834")</f>
        <v>https://twitter.com/indiadidac/status/1352130841325944834</v>
      </c>
      <c r="S12" s="80" t="s">
        <v>445</v>
      </c>
      <c r="T12" s="80" t="s">
        <v>451</v>
      </c>
      <c r="U12" s="80"/>
      <c r="V12" s="84" t="str">
        <f>HYPERLINK("https://pbs.twimg.com/profile_images/1339644491565834244/lWHEVHjr_normal.jpg")</f>
        <v>https://pbs.twimg.com/profile_images/1339644491565834244/lWHEVHjr_normal.jpg</v>
      </c>
      <c r="W12" s="82">
        <v>44217.857465277775</v>
      </c>
      <c r="X12" s="86">
        <v>44217</v>
      </c>
      <c r="Y12" s="88" t="s">
        <v>469</v>
      </c>
      <c r="Z12" s="84" t="str">
        <f>HYPERLINK("https://twitter.com/christallaj/status/1352353963513884679")</f>
        <v>https://twitter.com/christallaj/status/1352353963513884679</v>
      </c>
      <c r="AA12" s="80"/>
      <c r="AB12" s="80"/>
      <c r="AC12" s="88" t="s">
        <v>620</v>
      </c>
      <c r="AD12" s="80"/>
      <c r="AE12" s="80" t="b">
        <v>0</v>
      </c>
      <c r="AF12" s="80">
        <v>0</v>
      </c>
      <c r="AG12" s="88" t="s">
        <v>763</v>
      </c>
      <c r="AH12" s="80" t="b">
        <v>1</v>
      </c>
      <c r="AI12" s="80" t="s">
        <v>764</v>
      </c>
      <c r="AJ12" s="80"/>
      <c r="AK12" s="88" t="s">
        <v>665</v>
      </c>
      <c r="AL12" s="80" t="b">
        <v>0</v>
      </c>
      <c r="AM12" s="80">
        <v>2</v>
      </c>
      <c r="AN12" s="88" t="s">
        <v>621</v>
      </c>
      <c r="AO12" s="80" t="s">
        <v>767</v>
      </c>
      <c r="AP12" s="80" t="b">
        <v>0</v>
      </c>
      <c r="AQ12" s="88" t="s">
        <v>621</v>
      </c>
      <c r="AR12" s="80" t="s">
        <v>197</v>
      </c>
      <c r="AS12" s="80">
        <v>0</v>
      </c>
      <c r="AT12" s="80">
        <v>0</v>
      </c>
      <c r="AU12" s="80"/>
      <c r="AV12" s="80"/>
      <c r="AW12" s="80"/>
      <c r="AX12" s="80"/>
      <c r="AY12" s="80"/>
      <c r="AZ12" s="80"/>
      <c r="BA12" s="80"/>
      <c r="BB12" s="80"/>
      <c r="BC12">
        <v>1</v>
      </c>
      <c r="BD12" s="79" t="str">
        <f>REPLACE(INDEX(GroupVertices[Group],MATCH(Edges25[[#This Row],[Vertex 1]],GroupVertices[Vertex],0)),1,1,"")</f>
        <v>5</v>
      </c>
      <c r="BE12" s="79" t="str">
        <f>REPLACE(INDEX(GroupVertices[Group],MATCH(Edges25[[#This Row],[Vertex 2]],GroupVertices[Vertex],0)),1,1,"")</f>
        <v>5</v>
      </c>
      <c r="BF12" s="49"/>
      <c r="BG12" s="50"/>
      <c r="BH12" s="49"/>
      <c r="BI12" s="50"/>
      <c r="BJ12" s="49"/>
      <c r="BK12" s="50"/>
      <c r="BL12" s="49"/>
      <c r="BM12" s="50"/>
      <c r="BN12" s="49"/>
    </row>
    <row r="13" spans="1:66" ht="15">
      <c r="A13" s="65" t="s">
        <v>244</v>
      </c>
      <c r="B13" s="65" t="s">
        <v>305</v>
      </c>
      <c r="C13" s="66"/>
      <c r="D13" s="67"/>
      <c r="E13" s="66"/>
      <c r="F13" s="69"/>
      <c r="G13" s="66"/>
      <c r="H13" s="70"/>
      <c r="I13" s="71"/>
      <c r="J13" s="71"/>
      <c r="K13" s="35" t="s">
        <v>65</v>
      </c>
      <c r="L13" s="72">
        <v>23</v>
      </c>
      <c r="M13" s="72"/>
      <c r="N13" s="73"/>
      <c r="O13" s="80" t="s">
        <v>353</v>
      </c>
      <c r="P13" s="82">
        <v>44217.40484953704</v>
      </c>
      <c r="Q13" s="80" t="s">
        <v>358</v>
      </c>
      <c r="R13" s="84" t="str">
        <f>HYPERLINK("https://twitter.com/indiadidac/status/1352130841325944834")</f>
        <v>https://twitter.com/indiadidac/status/1352130841325944834</v>
      </c>
      <c r="S13" s="80" t="s">
        <v>445</v>
      </c>
      <c r="T13" s="80" t="s">
        <v>451</v>
      </c>
      <c r="U13" s="80"/>
      <c r="V13" s="84" t="str">
        <f>HYPERLINK("https://pbs.twimg.com/profile_images/1343572385761533956/4K1t9qHf_normal.jpg")</f>
        <v>https://pbs.twimg.com/profile_images/1343572385761533956/4K1t9qHf_normal.jpg</v>
      </c>
      <c r="W13" s="82">
        <v>44217.40484953704</v>
      </c>
      <c r="X13" s="86">
        <v>44217</v>
      </c>
      <c r="Y13" s="88" t="s">
        <v>470</v>
      </c>
      <c r="Z13" s="84" t="str">
        <f>HYPERLINK("https://twitter.com/serdarferit/status/1352189941955104772")</f>
        <v>https://twitter.com/serdarferit/status/1352189941955104772</v>
      </c>
      <c r="AA13" s="80"/>
      <c r="AB13" s="80"/>
      <c r="AC13" s="88" t="s">
        <v>621</v>
      </c>
      <c r="AD13" s="80"/>
      <c r="AE13" s="80" t="b">
        <v>0</v>
      </c>
      <c r="AF13" s="80">
        <v>11</v>
      </c>
      <c r="AG13" s="88" t="s">
        <v>763</v>
      </c>
      <c r="AH13" s="80" t="b">
        <v>1</v>
      </c>
      <c r="AI13" s="80" t="s">
        <v>764</v>
      </c>
      <c r="AJ13" s="80"/>
      <c r="AK13" s="88" t="s">
        <v>665</v>
      </c>
      <c r="AL13" s="80" t="b">
        <v>0</v>
      </c>
      <c r="AM13" s="80">
        <v>2</v>
      </c>
      <c r="AN13" s="88" t="s">
        <v>763</v>
      </c>
      <c r="AO13" s="80" t="s">
        <v>767</v>
      </c>
      <c r="AP13" s="80" t="b">
        <v>0</v>
      </c>
      <c r="AQ13" s="88" t="s">
        <v>621</v>
      </c>
      <c r="AR13" s="80" t="s">
        <v>197</v>
      </c>
      <c r="AS13" s="80">
        <v>0</v>
      </c>
      <c r="AT13" s="80">
        <v>0</v>
      </c>
      <c r="AU13" s="80"/>
      <c r="AV13" s="80"/>
      <c r="AW13" s="80"/>
      <c r="AX13" s="80"/>
      <c r="AY13" s="80"/>
      <c r="AZ13" s="80"/>
      <c r="BA13" s="80"/>
      <c r="BB13" s="80"/>
      <c r="BC13">
        <v>1</v>
      </c>
      <c r="BD13" s="79" t="str">
        <f>REPLACE(INDEX(GroupVertices[Group],MATCH(Edges25[[#This Row],[Vertex 1]],GroupVertices[Vertex],0)),1,1,"")</f>
        <v>5</v>
      </c>
      <c r="BE13" s="79" t="str">
        <f>REPLACE(INDEX(GroupVertices[Group],MATCH(Edges25[[#This Row],[Vertex 2]],GroupVertices[Vertex],0)),1,1,"")</f>
        <v>5</v>
      </c>
      <c r="BF13" s="49">
        <v>1</v>
      </c>
      <c r="BG13" s="50">
        <v>3.225806451612903</v>
      </c>
      <c r="BH13" s="49">
        <v>0</v>
      </c>
      <c r="BI13" s="50">
        <v>0</v>
      </c>
      <c r="BJ13" s="49">
        <v>0</v>
      </c>
      <c r="BK13" s="50">
        <v>0</v>
      </c>
      <c r="BL13" s="49">
        <v>30</v>
      </c>
      <c r="BM13" s="50">
        <v>96.7741935483871</v>
      </c>
      <c r="BN13" s="49">
        <v>31</v>
      </c>
    </row>
    <row r="14" spans="1:66" ht="15">
      <c r="A14" s="65" t="s">
        <v>245</v>
      </c>
      <c r="B14" s="65" t="s">
        <v>305</v>
      </c>
      <c r="C14" s="66"/>
      <c r="D14" s="67"/>
      <c r="E14" s="66"/>
      <c r="F14" s="69"/>
      <c r="G14" s="66"/>
      <c r="H14" s="70"/>
      <c r="I14" s="71"/>
      <c r="J14" s="71"/>
      <c r="K14" s="35" t="s">
        <v>65</v>
      </c>
      <c r="L14" s="72">
        <v>24</v>
      </c>
      <c r="M14" s="72"/>
      <c r="N14" s="73"/>
      <c r="O14" s="80" t="s">
        <v>352</v>
      </c>
      <c r="P14" s="82">
        <v>44218.368726851855</v>
      </c>
      <c r="Q14" s="80" t="s">
        <v>358</v>
      </c>
      <c r="R14" s="84" t="str">
        <f>HYPERLINK("https://twitter.com/indiadidac/status/1352130841325944834")</f>
        <v>https://twitter.com/indiadidac/status/1352130841325944834</v>
      </c>
      <c r="S14" s="80" t="s">
        <v>445</v>
      </c>
      <c r="T14" s="80" t="s">
        <v>451</v>
      </c>
      <c r="U14" s="80"/>
      <c r="V14" s="84" t="str">
        <f>HYPERLINK("https://pbs.twimg.com/profile_images/1126111500538732544/BWUjbMA3_normal.jpg")</f>
        <v>https://pbs.twimg.com/profile_images/1126111500538732544/BWUjbMA3_normal.jpg</v>
      </c>
      <c r="W14" s="82">
        <v>44218.368726851855</v>
      </c>
      <c r="X14" s="86">
        <v>44218</v>
      </c>
      <c r="Y14" s="88" t="s">
        <v>471</v>
      </c>
      <c r="Z14" s="84" t="str">
        <f>HYPERLINK("https://twitter.com/patisseriefilm/status/1352539241809653760")</f>
        <v>https://twitter.com/patisseriefilm/status/1352539241809653760</v>
      </c>
      <c r="AA14" s="80"/>
      <c r="AB14" s="80"/>
      <c r="AC14" s="88" t="s">
        <v>622</v>
      </c>
      <c r="AD14" s="80"/>
      <c r="AE14" s="80" t="b">
        <v>0</v>
      </c>
      <c r="AF14" s="80">
        <v>0</v>
      </c>
      <c r="AG14" s="88" t="s">
        <v>763</v>
      </c>
      <c r="AH14" s="80" t="b">
        <v>1</v>
      </c>
      <c r="AI14" s="80" t="s">
        <v>764</v>
      </c>
      <c r="AJ14" s="80"/>
      <c r="AK14" s="88" t="s">
        <v>665</v>
      </c>
      <c r="AL14" s="80" t="b">
        <v>0</v>
      </c>
      <c r="AM14" s="80">
        <v>2</v>
      </c>
      <c r="AN14" s="88" t="s">
        <v>621</v>
      </c>
      <c r="AO14" s="80" t="s">
        <v>767</v>
      </c>
      <c r="AP14" s="80" t="b">
        <v>0</v>
      </c>
      <c r="AQ14" s="88" t="s">
        <v>621</v>
      </c>
      <c r="AR14" s="80" t="s">
        <v>197</v>
      </c>
      <c r="AS14" s="80">
        <v>0</v>
      </c>
      <c r="AT14" s="80">
        <v>0</v>
      </c>
      <c r="AU14" s="80"/>
      <c r="AV14" s="80"/>
      <c r="AW14" s="80"/>
      <c r="AX14" s="80"/>
      <c r="AY14" s="80"/>
      <c r="AZ14" s="80"/>
      <c r="BA14" s="80"/>
      <c r="BB14" s="80"/>
      <c r="BC14">
        <v>1</v>
      </c>
      <c r="BD14" s="79" t="str">
        <f>REPLACE(INDEX(GroupVertices[Group],MATCH(Edges25[[#This Row],[Vertex 1]],GroupVertices[Vertex],0)),1,1,"")</f>
        <v>5</v>
      </c>
      <c r="BE14" s="79" t="str">
        <f>REPLACE(INDEX(GroupVertices[Group],MATCH(Edges25[[#This Row],[Vertex 2]],GroupVertices[Vertex],0)),1,1,"")</f>
        <v>5</v>
      </c>
      <c r="BF14" s="49"/>
      <c r="BG14" s="50"/>
      <c r="BH14" s="49"/>
      <c r="BI14" s="50"/>
      <c r="BJ14" s="49"/>
      <c r="BK14" s="50"/>
      <c r="BL14" s="49"/>
      <c r="BM14" s="50"/>
      <c r="BN14" s="49"/>
    </row>
    <row r="15" spans="1:66" ht="15">
      <c r="A15" s="65" t="s">
        <v>246</v>
      </c>
      <c r="B15" s="65" t="s">
        <v>271</v>
      </c>
      <c r="C15" s="66"/>
      <c r="D15" s="67"/>
      <c r="E15" s="66"/>
      <c r="F15" s="69"/>
      <c r="G15" s="66"/>
      <c r="H15" s="70"/>
      <c r="I15" s="71"/>
      <c r="J15" s="71"/>
      <c r="K15" s="35" t="s">
        <v>65</v>
      </c>
      <c r="L15" s="72">
        <v>26</v>
      </c>
      <c r="M15" s="72"/>
      <c r="N15" s="73"/>
      <c r="O15" s="80" t="s">
        <v>351</v>
      </c>
      <c r="P15" s="82">
        <v>44218.37671296296</v>
      </c>
      <c r="Q15" s="80" t="s">
        <v>359</v>
      </c>
      <c r="R15" s="84" t="str">
        <f>HYPERLINK("https://www.tiess.online/registration?utm_source=Mart&amp;utm_medium=Email&amp;utm_campaign=TIESS&amp;utm_term=018")</f>
        <v>https://www.tiess.online/registration?utm_source=Mart&amp;utm_medium=Email&amp;utm_campaign=TIESS&amp;utm_term=018</v>
      </c>
      <c r="S15" s="80" t="s">
        <v>444</v>
      </c>
      <c r="T15" s="80" t="s">
        <v>449</v>
      </c>
      <c r="U15" s="84" t="str">
        <f>HYPERLINK("https://pbs.twimg.com/media/EsUlmPyVkAAkQct.jpg")</f>
        <v>https://pbs.twimg.com/media/EsUlmPyVkAAkQct.jpg</v>
      </c>
      <c r="V15" s="84" t="str">
        <f>HYPERLINK("https://pbs.twimg.com/media/EsUlmPyVkAAkQct.jpg")</f>
        <v>https://pbs.twimg.com/media/EsUlmPyVkAAkQct.jpg</v>
      </c>
      <c r="W15" s="82">
        <v>44218.37671296296</v>
      </c>
      <c r="X15" s="86">
        <v>44218</v>
      </c>
      <c r="Y15" s="88" t="s">
        <v>472</v>
      </c>
      <c r="Z15" s="84" t="str">
        <f>HYPERLINK("https://twitter.com/estoniaedu/status/1352542134734381056")</f>
        <v>https://twitter.com/estoniaedu/status/1352542134734381056</v>
      </c>
      <c r="AA15" s="80"/>
      <c r="AB15" s="80"/>
      <c r="AC15" s="88" t="s">
        <v>623</v>
      </c>
      <c r="AD15" s="80"/>
      <c r="AE15" s="80" t="b">
        <v>0</v>
      </c>
      <c r="AF15" s="80">
        <v>0</v>
      </c>
      <c r="AG15" s="88" t="s">
        <v>763</v>
      </c>
      <c r="AH15" s="80" t="b">
        <v>0</v>
      </c>
      <c r="AI15" s="80" t="s">
        <v>764</v>
      </c>
      <c r="AJ15" s="80"/>
      <c r="AK15" s="88" t="s">
        <v>763</v>
      </c>
      <c r="AL15" s="80" t="b">
        <v>0</v>
      </c>
      <c r="AM15" s="80">
        <v>1</v>
      </c>
      <c r="AN15" s="88" t="s">
        <v>739</v>
      </c>
      <c r="AO15" s="80" t="s">
        <v>768</v>
      </c>
      <c r="AP15" s="80" t="b">
        <v>0</v>
      </c>
      <c r="AQ15" s="88" t="s">
        <v>739</v>
      </c>
      <c r="AR15" s="80" t="s">
        <v>197</v>
      </c>
      <c r="AS15" s="80">
        <v>0</v>
      </c>
      <c r="AT15" s="80">
        <v>0</v>
      </c>
      <c r="AU15" s="80"/>
      <c r="AV15" s="80"/>
      <c r="AW15" s="80"/>
      <c r="AX15" s="80"/>
      <c r="AY15" s="80"/>
      <c r="AZ15" s="80"/>
      <c r="BA15" s="80"/>
      <c r="BB15" s="80"/>
      <c r="BC15">
        <v>1</v>
      </c>
      <c r="BD15" s="79" t="str">
        <f>REPLACE(INDEX(GroupVertices[Group],MATCH(Edges25[[#This Row],[Vertex 1]],GroupVertices[Vertex],0)),1,1,"")</f>
        <v>1</v>
      </c>
      <c r="BE15" s="79" t="str">
        <f>REPLACE(INDEX(GroupVertices[Group],MATCH(Edges25[[#This Row],[Vertex 2]],GroupVertices[Vertex],0)),1,1,"")</f>
        <v>1</v>
      </c>
      <c r="BF15" s="49">
        <v>2</v>
      </c>
      <c r="BG15" s="50">
        <v>6.451612903225806</v>
      </c>
      <c r="BH15" s="49">
        <v>0</v>
      </c>
      <c r="BI15" s="50">
        <v>0</v>
      </c>
      <c r="BJ15" s="49">
        <v>0</v>
      </c>
      <c r="BK15" s="50">
        <v>0</v>
      </c>
      <c r="BL15" s="49">
        <v>29</v>
      </c>
      <c r="BM15" s="50">
        <v>93.54838709677419</v>
      </c>
      <c r="BN15" s="49">
        <v>31</v>
      </c>
    </row>
    <row r="16" spans="1:66" ht="15">
      <c r="A16" s="65" t="s">
        <v>247</v>
      </c>
      <c r="B16" s="65" t="s">
        <v>306</v>
      </c>
      <c r="C16" s="66"/>
      <c r="D16" s="67"/>
      <c r="E16" s="66"/>
      <c r="F16" s="69"/>
      <c r="G16" s="66"/>
      <c r="H16" s="70"/>
      <c r="I16" s="71"/>
      <c r="J16" s="71"/>
      <c r="K16" s="35" t="s">
        <v>65</v>
      </c>
      <c r="L16" s="72">
        <v>27</v>
      </c>
      <c r="M16" s="72"/>
      <c r="N16" s="73"/>
      <c r="O16" s="80" t="s">
        <v>352</v>
      </c>
      <c r="P16" s="82">
        <v>44218.403495370374</v>
      </c>
      <c r="Q16" s="80" t="s">
        <v>360</v>
      </c>
      <c r="R16" s="84" t="str">
        <f>HYPERLINK("https://www.tiess.online/registration?utm_source=SM&amp;utm_medium=Vincent&amp;utm_campaign=TIESS&amp;utm_term=018")</f>
        <v>https://www.tiess.online/registration?utm_source=SM&amp;utm_medium=Vincent&amp;utm_campaign=TIESS&amp;utm_term=018</v>
      </c>
      <c r="S16" s="80" t="s">
        <v>444</v>
      </c>
      <c r="T16" s="80" t="s">
        <v>450</v>
      </c>
      <c r="U16" s="84" t="str">
        <f>HYPERLINK("https://pbs.twimg.com/media/EsK26ZcVcAEapSV.jpg")</f>
        <v>https://pbs.twimg.com/media/EsK26ZcVcAEapSV.jpg</v>
      </c>
      <c r="V16" s="84" t="str">
        <f>HYPERLINK("https://pbs.twimg.com/media/EsK26ZcVcAEapSV.jpg")</f>
        <v>https://pbs.twimg.com/media/EsK26ZcVcAEapSV.jpg</v>
      </c>
      <c r="W16" s="82">
        <v>44218.403495370374</v>
      </c>
      <c r="X16" s="86">
        <v>44218</v>
      </c>
      <c r="Y16" s="88" t="s">
        <v>473</v>
      </c>
      <c r="Z16" s="84" t="str">
        <f>HYPERLINK("https://twitter.com/m_rueth/status/1352551841687609351")</f>
        <v>https://twitter.com/m_rueth/status/1352551841687609351</v>
      </c>
      <c r="AA16" s="80"/>
      <c r="AB16" s="80"/>
      <c r="AC16" s="88" t="s">
        <v>624</v>
      </c>
      <c r="AD16" s="80"/>
      <c r="AE16" s="80" t="b">
        <v>0</v>
      </c>
      <c r="AF16" s="80">
        <v>0</v>
      </c>
      <c r="AG16" s="88" t="s">
        <v>763</v>
      </c>
      <c r="AH16" s="80" t="b">
        <v>0</v>
      </c>
      <c r="AI16" s="80" t="s">
        <v>764</v>
      </c>
      <c r="AJ16" s="80"/>
      <c r="AK16" s="88" t="s">
        <v>763</v>
      </c>
      <c r="AL16" s="80" t="b">
        <v>0</v>
      </c>
      <c r="AM16" s="80">
        <v>3</v>
      </c>
      <c r="AN16" s="88" t="s">
        <v>655</v>
      </c>
      <c r="AO16" s="80" t="s">
        <v>765</v>
      </c>
      <c r="AP16" s="80" t="b">
        <v>0</v>
      </c>
      <c r="AQ16" s="88" t="s">
        <v>655</v>
      </c>
      <c r="AR16" s="80" t="s">
        <v>197</v>
      </c>
      <c r="AS16" s="80">
        <v>0</v>
      </c>
      <c r="AT16" s="80">
        <v>0</v>
      </c>
      <c r="AU16" s="80"/>
      <c r="AV16" s="80"/>
      <c r="AW16" s="80"/>
      <c r="AX16" s="80"/>
      <c r="AY16" s="80"/>
      <c r="AZ16" s="80"/>
      <c r="BA16" s="80"/>
      <c r="BB16" s="80"/>
      <c r="BC16">
        <v>1</v>
      </c>
      <c r="BD16" s="79" t="str">
        <f>REPLACE(INDEX(GroupVertices[Group],MATCH(Edges25[[#This Row],[Vertex 1]],GroupVertices[Vertex],0)),1,1,"")</f>
        <v>3</v>
      </c>
      <c r="BE16" s="79" t="str">
        <f>REPLACE(INDEX(GroupVertices[Group],MATCH(Edges25[[#This Row],[Vertex 2]],GroupVertices[Vertex],0)),1,1,"")</f>
        <v>3</v>
      </c>
      <c r="BF16" s="49">
        <v>0</v>
      </c>
      <c r="BG16" s="50">
        <v>0</v>
      </c>
      <c r="BH16" s="49">
        <v>0</v>
      </c>
      <c r="BI16" s="50">
        <v>0</v>
      </c>
      <c r="BJ16" s="49">
        <v>0</v>
      </c>
      <c r="BK16" s="50">
        <v>0</v>
      </c>
      <c r="BL16" s="49">
        <v>30</v>
      </c>
      <c r="BM16" s="50">
        <v>100</v>
      </c>
      <c r="BN16" s="49">
        <v>30</v>
      </c>
    </row>
    <row r="17" spans="1:66" ht="15">
      <c r="A17" s="65" t="s">
        <v>248</v>
      </c>
      <c r="B17" s="65" t="s">
        <v>307</v>
      </c>
      <c r="C17" s="66"/>
      <c r="D17" s="67"/>
      <c r="E17" s="66"/>
      <c r="F17" s="69"/>
      <c r="G17" s="66"/>
      <c r="H17" s="70"/>
      <c r="I17" s="71"/>
      <c r="J17" s="71"/>
      <c r="K17" s="35" t="s">
        <v>65</v>
      </c>
      <c r="L17" s="72">
        <v>29</v>
      </c>
      <c r="M17" s="72"/>
      <c r="N17" s="73"/>
      <c r="O17" s="80" t="s">
        <v>352</v>
      </c>
      <c r="P17" s="82">
        <v>44218.46949074074</v>
      </c>
      <c r="Q17" s="80" t="s">
        <v>361</v>
      </c>
      <c r="R17" s="84" t="str">
        <f>HYPERLINK("https://www.tiess.online/registration?utm_source=TIESS&amp;utm_medium=Amity&amp;utm_campaign=TIESS&amp;utm_term=010")</f>
        <v>https://www.tiess.online/registration?utm_source=TIESS&amp;utm_medium=Amity&amp;utm_campaign=TIESS&amp;utm_term=010</v>
      </c>
      <c r="S17" s="80" t="s">
        <v>444</v>
      </c>
      <c r="T17" s="80" t="s">
        <v>449</v>
      </c>
      <c r="U17" s="84" t="str">
        <f>HYPERLINK("https://pbs.twimg.com/media/EsUyST3U0AA3Z4O.jpg")</f>
        <v>https://pbs.twimg.com/media/EsUyST3U0AA3Z4O.jpg</v>
      </c>
      <c r="V17" s="84" t="str">
        <f>HYPERLINK("https://pbs.twimg.com/media/EsUyST3U0AA3Z4O.jpg")</f>
        <v>https://pbs.twimg.com/media/EsUyST3U0AA3Z4O.jpg</v>
      </c>
      <c r="W17" s="82">
        <v>44218.46949074074</v>
      </c>
      <c r="X17" s="86">
        <v>44218</v>
      </c>
      <c r="Y17" s="88" t="s">
        <v>474</v>
      </c>
      <c r="Z17" s="84" t="str">
        <f>HYPERLINK("https://twitter.com/noidaagbs/status/1352575755960520704")</f>
        <v>https://twitter.com/noidaagbs/status/1352575755960520704</v>
      </c>
      <c r="AA17" s="80"/>
      <c r="AB17" s="80"/>
      <c r="AC17" s="88" t="s">
        <v>625</v>
      </c>
      <c r="AD17" s="80"/>
      <c r="AE17" s="80" t="b">
        <v>0</v>
      </c>
      <c r="AF17" s="80">
        <v>0</v>
      </c>
      <c r="AG17" s="88" t="s">
        <v>763</v>
      </c>
      <c r="AH17" s="80" t="b">
        <v>0</v>
      </c>
      <c r="AI17" s="80" t="s">
        <v>764</v>
      </c>
      <c r="AJ17" s="80"/>
      <c r="AK17" s="88" t="s">
        <v>763</v>
      </c>
      <c r="AL17" s="80" t="b">
        <v>0</v>
      </c>
      <c r="AM17" s="80">
        <v>7</v>
      </c>
      <c r="AN17" s="88" t="s">
        <v>677</v>
      </c>
      <c r="AO17" s="80" t="s">
        <v>766</v>
      </c>
      <c r="AP17" s="80" t="b">
        <v>0</v>
      </c>
      <c r="AQ17" s="88" t="s">
        <v>677</v>
      </c>
      <c r="AR17" s="80" t="s">
        <v>197</v>
      </c>
      <c r="AS17" s="80">
        <v>0</v>
      </c>
      <c r="AT17" s="80">
        <v>0</v>
      </c>
      <c r="AU17" s="80"/>
      <c r="AV17" s="80"/>
      <c r="AW17" s="80"/>
      <c r="AX17" s="80"/>
      <c r="AY17" s="80"/>
      <c r="AZ17" s="80"/>
      <c r="BA17" s="80"/>
      <c r="BB17" s="80"/>
      <c r="BC17">
        <v>1</v>
      </c>
      <c r="BD17" s="79" t="str">
        <f>REPLACE(INDEX(GroupVertices[Group],MATCH(Edges25[[#This Row],[Vertex 1]],GroupVertices[Vertex],0)),1,1,"")</f>
        <v>4</v>
      </c>
      <c r="BE17" s="79" t="str">
        <f>REPLACE(INDEX(GroupVertices[Group],MATCH(Edges25[[#This Row],[Vertex 2]],GroupVertices[Vertex],0)),1,1,"")</f>
        <v>4</v>
      </c>
      <c r="BF17" s="49">
        <v>3</v>
      </c>
      <c r="BG17" s="50">
        <v>9.67741935483871</v>
      </c>
      <c r="BH17" s="49">
        <v>0</v>
      </c>
      <c r="BI17" s="50">
        <v>0</v>
      </c>
      <c r="BJ17" s="49">
        <v>0</v>
      </c>
      <c r="BK17" s="50">
        <v>0</v>
      </c>
      <c r="BL17" s="49">
        <v>28</v>
      </c>
      <c r="BM17" s="50">
        <v>90.3225806451613</v>
      </c>
      <c r="BN17" s="49">
        <v>31</v>
      </c>
    </row>
    <row r="18" spans="1:66" ht="15">
      <c r="A18" s="65" t="s">
        <v>249</v>
      </c>
      <c r="B18" s="65" t="s">
        <v>279</v>
      </c>
      <c r="C18" s="66"/>
      <c r="D18" s="67"/>
      <c r="E18" s="66"/>
      <c r="F18" s="69"/>
      <c r="G18" s="66"/>
      <c r="H18" s="70"/>
      <c r="I18" s="71"/>
      <c r="J18" s="71"/>
      <c r="K18" s="35" t="s">
        <v>65</v>
      </c>
      <c r="L18" s="72">
        <v>31</v>
      </c>
      <c r="M18" s="72"/>
      <c r="N18" s="73"/>
      <c r="O18" s="80" t="s">
        <v>352</v>
      </c>
      <c r="P18" s="82">
        <v>44218.48142361111</v>
      </c>
      <c r="Q18" s="80" t="s">
        <v>357</v>
      </c>
      <c r="R18" s="84" t="str">
        <f>HYPERLINK("https://www.tiess.online/registration?utm_source=SM&amp;utm_medium=Swaroop&amp;utm_campaign=TIESS&amp;utm_term=015")</f>
        <v>https://www.tiess.online/registration?utm_source=SM&amp;utm_medium=Swaroop&amp;utm_campaign=TIESS&amp;utm_term=015</v>
      </c>
      <c r="S18" s="80" t="s">
        <v>444</v>
      </c>
      <c r="T18" s="80" t="s">
        <v>450</v>
      </c>
      <c r="U18" s="84" t="str">
        <f>HYPERLINK("https://pbs.twimg.com/media/EsPS8swVEAEm_LK.jpg")</f>
        <v>https://pbs.twimg.com/media/EsPS8swVEAEm_LK.jpg</v>
      </c>
      <c r="V18" s="84" t="str">
        <f>HYPERLINK("https://pbs.twimg.com/media/EsPS8swVEAEm_LK.jpg")</f>
        <v>https://pbs.twimg.com/media/EsPS8swVEAEm_LK.jpg</v>
      </c>
      <c r="W18" s="82">
        <v>44218.48142361111</v>
      </c>
      <c r="X18" s="86">
        <v>44218</v>
      </c>
      <c r="Y18" s="88" t="s">
        <v>475</v>
      </c>
      <c r="Z18" s="84" t="str">
        <f>HYPERLINK("https://twitter.com/adatewithcocoa/status/1352580081382785026")</f>
        <v>https://twitter.com/adatewithcocoa/status/1352580081382785026</v>
      </c>
      <c r="AA18" s="80"/>
      <c r="AB18" s="80"/>
      <c r="AC18" s="88" t="s">
        <v>626</v>
      </c>
      <c r="AD18" s="80"/>
      <c r="AE18" s="80" t="b">
        <v>0</v>
      </c>
      <c r="AF18" s="80">
        <v>0</v>
      </c>
      <c r="AG18" s="88" t="s">
        <v>763</v>
      </c>
      <c r="AH18" s="80" t="b">
        <v>0</v>
      </c>
      <c r="AI18" s="80" t="s">
        <v>764</v>
      </c>
      <c r="AJ18" s="80"/>
      <c r="AK18" s="88" t="s">
        <v>763</v>
      </c>
      <c r="AL18" s="80" t="b">
        <v>0</v>
      </c>
      <c r="AM18" s="80">
        <v>5</v>
      </c>
      <c r="AN18" s="88" t="s">
        <v>667</v>
      </c>
      <c r="AO18" s="80" t="s">
        <v>767</v>
      </c>
      <c r="AP18" s="80" t="b">
        <v>0</v>
      </c>
      <c r="AQ18" s="88" t="s">
        <v>667</v>
      </c>
      <c r="AR18" s="80" t="s">
        <v>197</v>
      </c>
      <c r="AS18" s="80">
        <v>0</v>
      </c>
      <c r="AT18" s="80">
        <v>0</v>
      </c>
      <c r="AU18" s="80"/>
      <c r="AV18" s="80"/>
      <c r="AW18" s="80"/>
      <c r="AX18" s="80"/>
      <c r="AY18" s="80"/>
      <c r="AZ18" s="80"/>
      <c r="BA18" s="80"/>
      <c r="BB18" s="80"/>
      <c r="BC18">
        <v>1</v>
      </c>
      <c r="BD18" s="79" t="str">
        <f>REPLACE(INDEX(GroupVertices[Group],MATCH(Edges25[[#This Row],[Vertex 1]],GroupVertices[Vertex],0)),1,1,"")</f>
        <v>1</v>
      </c>
      <c r="BE18" s="79" t="str">
        <f>REPLACE(INDEX(GroupVertices[Group],MATCH(Edges25[[#This Row],[Vertex 2]],GroupVertices[Vertex],0)),1,1,"")</f>
        <v>1</v>
      </c>
      <c r="BF18" s="49"/>
      <c r="BG18" s="50"/>
      <c r="BH18" s="49"/>
      <c r="BI18" s="50"/>
      <c r="BJ18" s="49"/>
      <c r="BK18" s="50"/>
      <c r="BL18" s="49"/>
      <c r="BM18" s="50"/>
      <c r="BN18" s="49"/>
    </row>
    <row r="19" spans="1:66" ht="15">
      <c r="A19" s="65" t="s">
        <v>250</v>
      </c>
      <c r="B19" s="65" t="s">
        <v>307</v>
      </c>
      <c r="C19" s="66"/>
      <c r="D19" s="67"/>
      <c r="E19" s="66"/>
      <c r="F19" s="69"/>
      <c r="G19" s="66"/>
      <c r="H19" s="70"/>
      <c r="I19" s="71"/>
      <c r="J19" s="71"/>
      <c r="K19" s="35" t="s">
        <v>65</v>
      </c>
      <c r="L19" s="72">
        <v>33</v>
      </c>
      <c r="M19" s="72"/>
      <c r="N19" s="73"/>
      <c r="O19" s="80" t="s">
        <v>352</v>
      </c>
      <c r="P19" s="82">
        <v>44218.56685185185</v>
      </c>
      <c r="Q19" s="80" t="s">
        <v>361</v>
      </c>
      <c r="R19" s="84" t="str">
        <f>HYPERLINK("https://www.tiess.online/registration?utm_source=TIESS&amp;utm_medium=Amity&amp;utm_campaign=TIESS&amp;utm_term=010")</f>
        <v>https://www.tiess.online/registration?utm_source=TIESS&amp;utm_medium=Amity&amp;utm_campaign=TIESS&amp;utm_term=010</v>
      </c>
      <c r="S19" s="80" t="s">
        <v>444</v>
      </c>
      <c r="T19" s="80" t="s">
        <v>449</v>
      </c>
      <c r="U19" s="84" t="str">
        <f>HYPERLINK("https://pbs.twimg.com/media/EsUyST3U0AA3Z4O.jpg")</f>
        <v>https://pbs.twimg.com/media/EsUyST3U0AA3Z4O.jpg</v>
      </c>
      <c r="V19" s="84" t="str">
        <f>HYPERLINK("https://pbs.twimg.com/media/EsUyST3U0AA3Z4O.jpg")</f>
        <v>https://pbs.twimg.com/media/EsUyST3U0AA3Z4O.jpg</v>
      </c>
      <c r="W19" s="82">
        <v>44218.56685185185</v>
      </c>
      <c r="X19" s="86">
        <v>44218</v>
      </c>
      <c r="Y19" s="88" t="s">
        <v>476</v>
      </c>
      <c r="Z19" s="84" t="str">
        <f>HYPERLINK("https://twitter.com/amityuni/status/1352611038970036226")</f>
        <v>https://twitter.com/amityuni/status/1352611038970036226</v>
      </c>
      <c r="AA19" s="80"/>
      <c r="AB19" s="80"/>
      <c r="AC19" s="88" t="s">
        <v>627</v>
      </c>
      <c r="AD19" s="80"/>
      <c r="AE19" s="80" t="b">
        <v>0</v>
      </c>
      <c r="AF19" s="80">
        <v>0</v>
      </c>
      <c r="AG19" s="88" t="s">
        <v>763</v>
      </c>
      <c r="AH19" s="80" t="b">
        <v>0</v>
      </c>
      <c r="AI19" s="80" t="s">
        <v>764</v>
      </c>
      <c r="AJ19" s="80"/>
      <c r="AK19" s="88" t="s">
        <v>763</v>
      </c>
      <c r="AL19" s="80" t="b">
        <v>0</v>
      </c>
      <c r="AM19" s="80">
        <v>7</v>
      </c>
      <c r="AN19" s="88" t="s">
        <v>677</v>
      </c>
      <c r="AO19" s="80" t="s">
        <v>767</v>
      </c>
      <c r="AP19" s="80" t="b">
        <v>0</v>
      </c>
      <c r="AQ19" s="88" t="s">
        <v>677</v>
      </c>
      <c r="AR19" s="80" t="s">
        <v>197</v>
      </c>
      <c r="AS19" s="80">
        <v>0</v>
      </c>
      <c r="AT19" s="80">
        <v>0</v>
      </c>
      <c r="AU19" s="80"/>
      <c r="AV19" s="80"/>
      <c r="AW19" s="80"/>
      <c r="AX19" s="80"/>
      <c r="AY19" s="80"/>
      <c r="AZ19" s="80"/>
      <c r="BA19" s="80"/>
      <c r="BB19" s="80"/>
      <c r="BC19">
        <v>1</v>
      </c>
      <c r="BD19" s="79" t="str">
        <f>REPLACE(INDEX(GroupVertices[Group],MATCH(Edges25[[#This Row],[Vertex 1]],GroupVertices[Vertex],0)),1,1,"")</f>
        <v>4</v>
      </c>
      <c r="BE19" s="79" t="str">
        <f>REPLACE(INDEX(GroupVertices[Group],MATCH(Edges25[[#This Row],[Vertex 2]],GroupVertices[Vertex],0)),1,1,"")</f>
        <v>4</v>
      </c>
      <c r="BF19" s="49"/>
      <c r="BG19" s="50"/>
      <c r="BH19" s="49"/>
      <c r="BI19" s="50"/>
      <c r="BJ19" s="49"/>
      <c r="BK19" s="50"/>
      <c r="BL19" s="49"/>
      <c r="BM19" s="50"/>
      <c r="BN19" s="49"/>
    </row>
    <row r="20" spans="1:66" ht="15">
      <c r="A20" s="65" t="s">
        <v>251</v>
      </c>
      <c r="B20" s="65" t="s">
        <v>307</v>
      </c>
      <c r="C20" s="66"/>
      <c r="D20" s="67"/>
      <c r="E20" s="66"/>
      <c r="F20" s="69"/>
      <c r="G20" s="66"/>
      <c r="H20" s="70"/>
      <c r="I20" s="71"/>
      <c r="J20" s="71"/>
      <c r="K20" s="35" t="s">
        <v>65</v>
      </c>
      <c r="L20" s="72">
        <v>35</v>
      </c>
      <c r="M20" s="72"/>
      <c r="N20" s="73"/>
      <c r="O20" s="80" t="s">
        <v>352</v>
      </c>
      <c r="P20" s="82">
        <v>44218.644479166665</v>
      </c>
      <c r="Q20" s="80" t="s">
        <v>361</v>
      </c>
      <c r="R20" s="84" t="str">
        <f>HYPERLINK("https://www.tiess.online/registration?utm_source=TIESS&amp;utm_medium=Amity&amp;utm_campaign=TIESS&amp;utm_term=010")</f>
        <v>https://www.tiess.online/registration?utm_source=TIESS&amp;utm_medium=Amity&amp;utm_campaign=TIESS&amp;utm_term=010</v>
      </c>
      <c r="S20" s="80" t="s">
        <v>444</v>
      </c>
      <c r="T20" s="80" t="s">
        <v>449</v>
      </c>
      <c r="U20" s="84" t="str">
        <f>HYPERLINK("https://pbs.twimg.com/media/EsUyST3U0AA3Z4O.jpg")</f>
        <v>https://pbs.twimg.com/media/EsUyST3U0AA3Z4O.jpg</v>
      </c>
      <c r="V20" s="84" t="str">
        <f>HYPERLINK("https://pbs.twimg.com/media/EsUyST3U0AA3Z4O.jpg")</f>
        <v>https://pbs.twimg.com/media/EsUyST3U0AA3Z4O.jpg</v>
      </c>
      <c r="W20" s="82">
        <v>44218.644479166665</v>
      </c>
      <c r="X20" s="86">
        <v>44218</v>
      </c>
      <c r="Y20" s="88" t="s">
        <v>477</v>
      </c>
      <c r="Z20" s="84" t="str">
        <f>HYPERLINK("https://twitter.com/anjani_kb/status/1352639169378406401")</f>
        <v>https://twitter.com/anjani_kb/status/1352639169378406401</v>
      </c>
      <c r="AA20" s="80"/>
      <c r="AB20" s="80"/>
      <c r="AC20" s="88" t="s">
        <v>628</v>
      </c>
      <c r="AD20" s="80"/>
      <c r="AE20" s="80" t="b">
        <v>0</v>
      </c>
      <c r="AF20" s="80">
        <v>0</v>
      </c>
      <c r="AG20" s="88" t="s">
        <v>763</v>
      </c>
      <c r="AH20" s="80" t="b">
        <v>0</v>
      </c>
      <c r="AI20" s="80" t="s">
        <v>764</v>
      </c>
      <c r="AJ20" s="80"/>
      <c r="AK20" s="88" t="s">
        <v>763</v>
      </c>
      <c r="AL20" s="80" t="b">
        <v>0</v>
      </c>
      <c r="AM20" s="80">
        <v>7</v>
      </c>
      <c r="AN20" s="88" t="s">
        <v>677</v>
      </c>
      <c r="AO20" s="80" t="s">
        <v>766</v>
      </c>
      <c r="AP20" s="80" t="b">
        <v>0</v>
      </c>
      <c r="AQ20" s="88" t="s">
        <v>677</v>
      </c>
      <c r="AR20" s="80" t="s">
        <v>197</v>
      </c>
      <c r="AS20" s="80">
        <v>0</v>
      </c>
      <c r="AT20" s="80">
        <v>0</v>
      </c>
      <c r="AU20" s="80"/>
      <c r="AV20" s="80"/>
      <c r="AW20" s="80"/>
      <c r="AX20" s="80"/>
      <c r="AY20" s="80"/>
      <c r="AZ20" s="80"/>
      <c r="BA20" s="80"/>
      <c r="BB20" s="80"/>
      <c r="BC20">
        <v>1</v>
      </c>
      <c r="BD20" s="79" t="str">
        <f>REPLACE(INDEX(GroupVertices[Group],MATCH(Edges25[[#This Row],[Vertex 1]],GroupVertices[Vertex],0)),1,1,"")</f>
        <v>4</v>
      </c>
      <c r="BE20" s="79" t="str">
        <f>REPLACE(INDEX(GroupVertices[Group],MATCH(Edges25[[#This Row],[Vertex 2]],GroupVertices[Vertex],0)),1,1,"")</f>
        <v>4</v>
      </c>
      <c r="BF20" s="49"/>
      <c r="BG20" s="50"/>
      <c r="BH20" s="49"/>
      <c r="BI20" s="50"/>
      <c r="BJ20" s="49"/>
      <c r="BK20" s="50"/>
      <c r="BL20" s="49"/>
      <c r="BM20" s="50"/>
      <c r="BN20" s="49"/>
    </row>
    <row r="21" spans="1:66" ht="15">
      <c r="A21" s="65" t="s">
        <v>252</v>
      </c>
      <c r="B21" s="65" t="s">
        <v>307</v>
      </c>
      <c r="C21" s="66"/>
      <c r="D21" s="67"/>
      <c r="E21" s="66"/>
      <c r="F21" s="69"/>
      <c r="G21" s="66"/>
      <c r="H21" s="70"/>
      <c r="I21" s="71"/>
      <c r="J21" s="71"/>
      <c r="K21" s="35" t="s">
        <v>65</v>
      </c>
      <c r="L21" s="72">
        <v>37</v>
      </c>
      <c r="M21" s="72"/>
      <c r="N21" s="73"/>
      <c r="O21" s="80" t="s">
        <v>352</v>
      </c>
      <c r="P21" s="82">
        <v>44218.65589120371</v>
      </c>
      <c r="Q21" s="80" t="s">
        <v>361</v>
      </c>
      <c r="R21" s="84" t="str">
        <f>HYPERLINK("https://www.tiess.online/registration?utm_source=TIESS&amp;utm_medium=Amity&amp;utm_campaign=TIESS&amp;utm_term=010")</f>
        <v>https://www.tiess.online/registration?utm_source=TIESS&amp;utm_medium=Amity&amp;utm_campaign=TIESS&amp;utm_term=010</v>
      </c>
      <c r="S21" s="80" t="s">
        <v>444</v>
      </c>
      <c r="T21" s="80" t="s">
        <v>449</v>
      </c>
      <c r="U21" s="84" t="str">
        <f>HYPERLINK("https://pbs.twimg.com/media/EsUyST3U0AA3Z4O.jpg")</f>
        <v>https://pbs.twimg.com/media/EsUyST3U0AA3Z4O.jpg</v>
      </c>
      <c r="V21" s="84" t="str">
        <f>HYPERLINK("https://pbs.twimg.com/media/EsUyST3U0AA3Z4O.jpg")</f>
        <v>https://pbs.twimg.com/media/EsUyST3U0AA3Z4O.jpg</v>
      </c>
      <c r="W21" s="82">
        <v>44218.65589120371</v>
      </c>
      <c r="X21" s="86">
        <v>44218</v>
      </c>
      <c r="Y21" s="88" t="s">
        <v>478</v>
      </c>
      <c r="Z21" s="84" t="str">
        <f>HYPERLINK("https://twitter.com/fonsstoelinga/status/1352643306338086916")</f>
        <v>https://twitter.com/fonsstoelinga/status/1352643306338086916</v>
      </c>
      <c r="AA21" s="80"/>
      <c r="AB21" s="80"/>
      <c r="AC21" s="88" t="s">
        <v>629</v>
      </c>
      <c r="AD21" s="80"/>
      <c r="AE21" s="80" t="b">
        <v>0</v>
      </c>
      <c r="AF21" s="80">
        <v>0</v>
      </c>
      <c r="AG21" s="88" t="s">
        <v>763</v>
      </c>
      <c r="AH21" s="80" t="b">
        <v>0</v>
      </c>
      <c r="AI21" s="80" t="s">
        <v>764</v>
      </c>
      <c r="AJ21" s="80"/>
      <c r="AK21" s="88" t="s">
        <v>763</v>
      </c>
      <c r="AL21" s="80" t="b">
        <v>0</v>
      </c>
      <c r="AM21" s="80">
        <v>7</v>
      </c>
      <c r="AN21" s="88" t="s">
        <v>677</v>
      </c>
      <c r="AO21" s="80" t="s">
        <v>767</v>
      </c>
      <c r="AP21" s="80" t="b">
        <v>0</v>
      </c>
      <c r="AQ21" s="88" t="s">
        <v>677</v>
      </c>
      <c r="AR21" s="80" t="s">
        <v>197</v>
      </c>
      <c r="AS21" s="80">
        <v>0</v>
      </c>
      <c r="AT21" s="80">
        <v>0</v>
      </c>
      <c r="AU21" s="80"/>
      <c r="AV21" s="80"/>
      <c r="AW21" s="80"/>
      <c r="AX21" s="80"/>
      <c r="AY21" s="80"/>
      <c r="AZ21" s="80"/>
      <c r="BA21" s="80"/>
      <c r="BB21" s="80"/>
      <c r="BC21">
        <v>1</v>
      </c>
      <c r="BD21" s="79" t="str">
        <f>REPLACE(INDEX(GroupVertices[Group],MATCH(Edges25[[#This Row],[Vertex 1]],GroupVertices[Vertex],0)),1,1,"")</f>
        <v>4</v>
      </c>
      <c r="BE21" s="79" t="str">
        <f>REPLACE(INDEX(GroupVertices[Group],MATCH(Edges25[[#This Row],[Vertex 2]],GroupVertices[Vertex],0)),1,1,"")</f>
        <v>4</v>
      </c>
      <c r="BF21" s="49"/>
      <c r="BG21" s="50"/>
      <c r="BH21" s="49"/>
      <c r="BI21" s="50"/>
      <c r="BJ21" s="49"/>
      <c r="BK21" s="50"/>
      <c r="BL21" s="49"/>
      <c r="BM21" s="50"/>
      <c r="BN21" s="49"/>
    </row>
    <row r="22" spans="1:66" ht="15">
      <c r="A22" s="65" t="s">
        <v>253</v>
      </c>
      <c r="B22" s="65" t="s">
        <v>308</v>
      </c>
      <c r="C22" s="66"/>
      <c r="D22" s="67"/>
      <c r="E22" s="66"/>
      <c r="F22" s="69"/>
      <c r="G22" s="66"/>
      <c r="H22" s="70"/>
      <c r="I22" s="71"/>
      <c r="J22" s="71"/>
      <c r="K22" s="35" t="s">
        <v>65</v>
      </c>
      <c r="L22" s="72">
        <v>39</v>
      </c>
      <c r="M22" s="72"/>
      <c r="N22" s="73"/>
      <c r="O22" s="80" t="s">
        <v>352</v>
      </c>
      <c r="P22" s="82">
        <v>44218.689467592594</v>
      </c>
      <c r="Q22" s="80" t="s">
        <v>362</v>
      </c>
      <c r="R22" s="84" t="str">
        <f>HYPERLINK("https://www.tiess.online/registration?utm_source=SM&amp;utm_medium=Ramanan&amp;utm_campaign=TIESS&amp;utm_term=011")</f>
        <v>https://www.tiess.online/registration?utm_source=SM&amp;utm_medium=Ramanan&amp;utm_campaign=TIESS&amp;utm_term=011</v>
      </c>
      <c r="S22" s="80" t="s">
        <v>444</v>
      </c>
      <c r="T22" s="80" t="s">
        <v>451</v>
      </c>
      <c r="U22" s="84" t="str">
        <f>HYPERLINK("https://pbs.twimg.com/media/EsWHGdcVcAE-c4p.jpg")</f>
        <v>https://pbs.twimg.com/media/EsWHGdcVcAE-c4p.jpg</v>
      </c>
      <c r="V22" s="84" t="str">
        <f>HYPERLINK("https://pbs.twimg.com/media/EsWHGdcVcAE-c4p.jpg")</f>
        <v>https://pbs.twimg.com/media/EsWHGdcVcAE-c4p.jpg</v>
      </c>
      <c r="W22" s="82">
        <v>44218.689467592594</v>
      </c>
      <c r="X22" s="86">
        <v>44218</v>
      </c>
      <c r="Y22" s="88" t="s">
        <v>479</v>
      </c>
      <c r="Z22" s="84" t="str">
        <f>HYPERLINK("https://twitter.com/aimtoinnovate/status/1352655470876622856")</f>
        <v>https://twitter.com/aimtoinnovate/status/1352655470876622856</v>
      </c>
      <c r="AA22" s="80"/>
      <c r="AB22" s="80"/>
      <c r="AC22" s="88" t="s">
        <v>630</v>
      </c>
      <c r="AD22" s="80"/>
      <c r="AE22" s="80" t="b">
        <v>0</v>
      </c>
      <c r="AF22" s="80">
        <v>0</v>
      </c>
      <c r="AG22" s="88" t="s">
        <v>763</v>
      </c>
      <c r="AH22" s="80" t="b">
        <v>0</v>
      </c>
      <c r="AI22" s="80" t="s">
        <v>764</v>
      </c>
      <c r="AJ22" s="80"/>
      <c r="AK22" s="88" t="s">
        <v>763</v>
      </c>
      <c r="AL22" s="80" t="b">
        <v>0</v>
      </c>
      <c r="AM22" s="80">
        <v>3</v>
      </c>
      <c r="AN22" s="88" t="s">
        <v>695</v>
      </c>
      <c r="AO22" s="80" t="s">
        <v>767</v>
      </c>
      <c r="AP22" s="80" t="b">
        <v>0</v>
      </c>
      <c r="AQ22" s="88" t="s">
        <v>695</v>
      </c>
      <c r="AR22" s="80" t="s">
        <v>197</v>
      </c>
      <c r="AS22" s="80">
        <v>0</v>
      </c>
      <c r="AT22" s="80">
        <v>0</v>
      </c>
      <c r="AU22" s="80"/>
      <c r="AV22" s="80"/>
      <c r="AW22" s="80"/>
      <c r="AX22" s="80"/>
      <c r="AY22" s="80"/>
      <c r="AZ22" s="80"/>
      <c r="BA22" s="80"/>
      <c r="BB22" s="80"/>
      <c r="BC22">
        <v>1</v>
      </c>
      <c r="BD22" s="79" t="str">
        <f>REPLACE(INDEX(GroupVertices[Group],MATCH(Edges25[[#This Row],[Vertex 1]],GroupVertices[Vertex],0)),1,1,"")</f>
        <v>6</v>
      </c>
      <c r="BE22" s="79" t="str">
        <f>REPLACE(INDEX(GroupVertices[Group],MATCH(Edges25[[#This Row],[Vertex 2]],GroupVertices[Vertex],0)),1,1,"")</f>
        <v>6</v>
      </c>
      <c r="BF22" s="49"/>
      <c r="BG22" s="50"/>
      <c r="BH22" s="49"/>
      <c r="BI22" s="50"/>
      <c r="BJ22" s="49"/>
      <c r="BK22" s="50"/>
      <c r="BL22" s="49"/>
      <c r="BM22" s="50"/>
      <c r="BN22" s="49"/>
    </row>
    <row r="23" spans="1:66" ht="15">
      <c r="A23" s="65" t="s">
        <v>254</v>
      </c>
      <c r="B23" s="65" t="s">
        <v>308</v>
      </c>
      <c r="C23" s="66"/>
      <c r="D23" s="67"/>
      <c r="E23" s="66"/>
      <c r="F23" s="69"/>
      <c r="G23" s="66"/>
      <c r="H23" s="70"/>
      <c r="I23" s="71"/>
      <c r="J23" s="71"/>
      <c r="K23" s="35" t="s">
        <v>65</v>
      </c>
      <c r="L23" s="72">
        <v>42</v>
      </c>
      <c r="M23" s="72"/>
      <c r="N23" s="73"/>
      <c r="O23" s="80" t="s">
        <v>352</v>
      </c>
      <c r="P23" s="82">
        <v>44218.71372685185</v>
      </c>
      <c r="Q23" s="80" t="s">
        <v>362</v>
      </c>
      <c r="R23" s="84" t="str">
        <f>HYPERLINK("https://www.tiess.online/registration?utm_source=SM&amp;utm_medium=Ramanan&amp;utm_campaign=TIESS&amp;utm_term=011")</f>
        <v>https://www.tiess.online/registration?utm_source=SM&amp;utm_medium=Ramanan&amp;utm_campaign=TIESS&amp;utm_term=011</v>
      </c>
      <c r="S23" s="80" t="s">
        <v>444</v>
      </c>
      <c r="T23" s="80" t="s">
        <v>451</v>
      </c>
      <c r="U23" s="84" t="str">
        <f>HYPERLINK("https://pbs.twimg.com/media/EsWHGdcVcAE-c4p.jpg")</f>
        <v>https://pbs.twimg.com/media/EsWHGdcVcAE-c4p.jpg</v>
      </c>
      <c r="V23" s="84" t="str">
        <f>HYPERLINK("https://pbs.twimg.com/media/EsWHGdcVcAE-c4p.jpg")</f>
        <v>https://pbs.twimg.com/media/EsWHGdcVcAE-c4p.jpg</v>
      </c>
      <c r="W23" s="82">
        <v>44218.71372685185</v>
      </c>
      <c r="X23" s="86">
        <v>44218</v>
      </c>
      <c r="Y23" s="88" t="s">
        <v>480</v>
      </c>
      <c r="Z23" s="84" t="str">
        <f>HYPERLINK("https://twitter.com/bhilai/status/1352664264851419136")</f>
        <v>https://twitter.com/bhilai/status/1352664264851419136</v>
      </c>
      <c r="AA23" s="80"/>
      <c r="AB23" s="80"/>
      <c r="AC23" s="88" t="s">
        <v>631</v>
      </c>
      <c r="AD23" s="80"/>
      <c r="AE23" s="80" t="b">
        <v>0</v>
      </c>
      <c r="AF23" s="80">
        <v>0</v>
      </c>
      <c r="AG23" s="88" t="s">
        <v>763</v>
      </c>
      <c r="AH23" s="80" t="b">
        <v>0</v>
      </c>
      <c r="AI23" s="80" t="s">
        <v>764</v>
      </c>
      <c r="AJ23" s="80"/>
      <c r="AK23" s="88" t="s">
        <v>763</v>
      </c>
      <c r="AL23" s="80" t="b">
        <v>0</v>
      </c>
      <c r="AM23" s="80">
        <v>3</v>
      </c>
      <c r="AN23" s="88" t="s">
        <v>695</v>
      </c>
      <c r="AO23" s="80" t="s">
        <v>765</v>
      </c>
      <c r="AP23" s="80" t="b">
        <v>0</v>
      </c>
      <c r="AQ23" s="88" t="s">
        <v>695</v>
      </c>
      <c r="AR23" s="80" t="s">
        <v>197</v>
      </c>
      <c r="AS23" s="80">
        <v>0</v>
      </c>
      <c r="AT23" s="80">
        <v>0</v>
      </c>
      <c r="AU23" s="80"/>
      <c r="AV23" s="80"/>
      <c r="AW23" s="80"/>
      <c r="AX23" s="80"/>
      <c r="AY23" s="80"/>
      <c r="AZ23" s="80"/>
      <c r="BA23" s="80"/>
      <c r="BB23" s="80"/>
      <c r="BC23">
        <v>1</v>
      </c>
      <c r="BD23" s="79" t="str">
        <f>REPLACE(INDEX(GroupVertices[Group],MATCH(Edges25[[#This Row],[Vertex 1]],GroupVertices[Vertex],0)),1,1,"")</f>
        <v>6</v>
      </c>
      <c r="BE23" s="79" t="str">
        <f>REPLACE(INDEX(GroupVertices[Group],MATCH(Edges25[[#This Row],[Vertex 2]],GroupVertices[Vertex],0)),1,1,"")</f>
        <v>6</v>
      </c>
      <c r="BF23" s="49"/>
      <c r="BG23" s="50"/>
      <c r="BH23" s="49"/>
      <c r="BI23" s="50"/>
      <c r="BJ23" s="49"/>
      <c r="BK23" s="50"/>
      <c r="BL23" s="49"/>
      <c r="BM23" s="50"/>
      <c r="BN23" s="49"/>
    </row>
    <row r="24" spans="1:66" ht="15">
      <c r="A24" s="65" t="s">
        <v>255</v>
      </c>
      <c r="B24" s="65" t="s">
        <v>307</v>
      </c>
      <c r="C24" s="66"/>
      <c r="D24" s="67"/>
      <c r="E24" s="66"/>
      <c r="F24" s="69"/>
      <c r="G24" s="66"/>
      <c r="H24" s="70"/>
      <c r="I24" s="71"/>
      <c r="J24" s="71"/>
      <c r="K24" s="35" t="s">
        <v>65</v>
      </c>
      <c r="L24" s="72">
        <v>45</v>
      </c>
      <c r="M24" s="72"/>
      <c r="N24" s="73"/>
      <c r="O24" s="80" t="s">
        <v>352</v>
      </c>
      <c r="P24" s="82">
        <v>44219.27847222222</v>
      </c>
      <c r="Q24" s="80" t="s">
        <v>361</v>
      </c>
      <c r="R24" s="84" t="str">
        <f>HYPERLINK("https://www.tiess.online/registration?utm_source=TIESS&amp;utm_medium=Amity&amp;utm_campaign=TIESS&amp;utm_term=010")</f>
        <v>https://www.tiess.online/registration?utm_source=TIESS&amp;utm_medium=Amity&amp;utm_campaign=TIESS&amp;utm_term=010</v>
      </c>
      <c r="S24" s="80" t="s">
        <v>444</v>
      </c>
      <c r="T24" s="80" t="s">
        <v>449</v>
      </c>
      <c r="U24" s="84" t="str">
        <f>HYPERLINK("https://pbs.twimg.com/media/EsUyST3U0AA3Z4O.jpg")</f>
        <v>https://pbs.twimg.com/media/EsUyST3U0AA3Z4O.jpg</v>
      </c>
      <c r="V24" s="84" t="str">
        <f>HYPERLINK("https://pbs.twimg.com/media/EsUyST3U0AA3Z4O.jpg")</f>
        <v>https://pbs.twimg.com/media/EsUyST3U0AA3Z4O.jpg</v>
      </c>
      <c r="W24" s="82">
        <v>44219.27847222222</v>
      </c>
      <c r="X24" s="86">
        <v>44219</v>
      </c>
      <c r="Y24" s="88" t="s">
        <v>481</v>
      </c>
      <c r="Z24" s="84" t="str">
        <f>HYPERLINK("https://twitter.com/imgauravsood/status/1352868919334191104")</f>
        <v>https://twitter.com/imgauravsood/status/1352868919334191104</v>
      </c>
      <c r="AA24" s="80"/>
      <c r="AB24" s="80"/>
      <c r="AC24" s="88" t="s">
        <v>632</v>
      </c>
      <c r="AD24" s="80"/>
      <c r="AE24" s="80" t="b">
        <v>0</v>
      </c>
      <c r="AF24" s="80">
        <v>0</v>
      </c>
      <c r="AG24" s="88" t="s">
        <v>763</v>
      </c>
      <c r="AH24" s="80" t="b">
        <v>0</v>
      </c>
      <c r="AI24" s="80" t="s">
        <v>764</v>
      </c>
      <c r="AJ24" s="80"/>
      <c r="AK24" s="88" t="s">
        <v>763</v>
      </c>
      <c r="AL24" s="80" t="b">
        <v>0</v>
      </c>
      <c r="AM24" s="80">
        <v>7</v>
      </c>
      <c r="AN24" s="88" t="s">
        <v>677</v>
      </c>
      <c r="AO24" s="80" t="s">
        <v>767</v>
      </c>
      <c r="AP24" s="80" t="b">
        <v>0</v>
      </c>
      <c r="AQ24" s="88" t="s">
        <v>677</v>
      </c>
      <c r="AR24" s="80" t="s">
        <v>197</v>
      </c>
      <c r="AS24" s="80">
        <v>0</v>
      </c>
      <c r="AT24" s="80">
        <v>0</v>
      </c>
      <c r="AU24" s="80"/>
      <c r="AV24" s="80"/>
      <c r="AW24" s="80"/>
      <c r="AX24" s="80"/>
      <c r="AY24" s="80"/>
      <c r="AZ24" s="80"/>
      <c r="BA24" s="80"/>
      <c r="BB24" s="80"/>
      <c r="BC24">
        <v>1</v>
      </c>
      <c r="BD24" s="79" t="str">
        <f>REPLACE(INDEX(GroupVertices[Group],MATCH(Edges25[[#This Row],[Vertex 1]],GroupVertices[Vertex],0)),1,1,"")</f>
        <v>4</v>
      </c>
      <c r="BE24" s="79" t="str">
        <f>REPLACE(INDEX(GroupVertices[Group],MATCH(Edges25[[#This Row],[Vertex 2]],GroupVertices[Vertex],0)),1,1,"")</f>
        <v>4</v>
      </c>
      <c r="BF24" s="49"/>
      <c r="BG24" s="50"/>
      <c r="BH24" s="49"/>
      <c r="BI24" s="50"/>
      <c r="BJ24" s="49"/>
      <c r="BK24" s="50"/>
      <c r="BL24" s="49"/>
      <c r="BM24" s="50"/>
      <c r="BN24" s="49"/>
    </row>
    <row r="25" spans="1:66" ht="15">
      <c r="A25" s="65" t="s">
        <v>256</v>
      </c>
      <c r="B25" s="65" t="s">
        <v>287</v>
      </c>
      <c r="C25" s="66"/>
      <c r="D25" s="67"/>
      <c r="E25" s="66"/>
      <c r="F25" s="69"/>
      <c r="G25" s="66"/>
      <c r="H25" s="70"/>
      <c r="I25" s="71"/>
      <c r="J25" s="71"/>
      <c r="K25" s="35" t="s">
        <v>65</v>
      </c>
      <c r="L25" s="72">
        <v>47</v>
      </c>
      <c r="M25" s="72"/>
      <c r="N25" s="73"/>
      <c r="O25" s="80" t="s">
        <v>351</v>
      </c>
      <c r="P25" s="82">
        <v>44219.53996527778</v>
      </c>
      <c r="Q25" s="80" t="s">
        <v>363</v>
      </c>
      <c r="R25" s="84" t="str">
        <f>HYPERLINK("https://www.tiess.online/registration?utm_source=Ollie&amp;utm_medium=SM&amp;utm_campaign=TIESS&amp;utm_term=029")</f>
        <v>https://www.tiess.online/registration?utm_source=Ollie&amp;utm_medium=SM&amp;utm_campaign=TIESS&amp;utm_term=029</v>
      </c>
      <c r="S25" s="80" t="s">
        <v>444</v>
      </c>
      <c r="T25" s="80" t="s">
        <v>449</v>
      </c>
      <c r="U25" s="84" t="str">
        <f>HYPERLINK("https://pbs.twimg.com/media/EsZvwrMVEAAm51K.jpg")</f>
        <v>https://pbs.twimg.com/media/EsZvwrMVEAAm51K.jpg</v>
      </c>
      <c r="V25" s="84" t="str">
        <f>HYPERLINK("https://pbs.twimg.com/media/EsZvwrMVEAAm51K.jpg")</f>
        <v>https://pbs.twimg.com/media/EsZvwrMVEAAm51K.jpg</v>
      </c>
      <c r="W25" s="82">
        <v>44219.53996527778</v>
      </c>
      <c r="X25" s="86">
        <v>44219</v>
      </c>
      <c r="Y25" s="88" t="s">
        <v>482</v>
      </c>
      <c r="Z25" s="84" t="str">
        <f>HYPERLINK("https://twitter.com/muriel21400928/status/1352963682049863680")</f>
        <v>https://twitter.com/muriel21400928/status/1352963682049863680</v>
      </c>
      <c r="AA25" s="80"/>
      <c r="AB25" s="80"/>
      <c r="AC25" s="88" t="s">
        <v>633</v>
      </c>
      <c r="AD25" s="80"/>
      <c r="AE25" s="80" t="b">
        <v>0</v>
      </c>
      <c r="AF25" s="80">
        <v>0</v>
      </c>
      <c r="AG25" s="88" t="s">
        <v>763</v>
      </c>
      <c r="AH25" s="80" t="b">
        <v>1</v>
      </c>
      <c r="AI25" s="80" t="s">
        <v>764</v>
      </c>
      <c r="AJ25" s="80"/>
      <c r="AK25" s="88" t="s">
        <v>704</v>
      </c>
      <c r="AL25" s="80" t="b">
        <v>0</v>
      </c>
      <c r="AM25" s="80">
        <v>1</v>
      </c>
      <c r="AN25" s="88" t="s">
        <v>703</v>
      </c>
      <c r="AO25" s="80" t="s">
        <v>766</v>
      </c>
      <c r="AP25" s="80" t="b">
        <v>0</v>
      </c>
      <c r="AQ25" s="88" t="s">
        <v>703</v>
      </c>
      <c r="AR25" s="80" t="s">
        <v>197</v>
      </c>
      <c r="AS25" s="80">
        <v>0</v>
      </c>
      <c r="AT25" s="80">
        <v>0</v>
      </c>
      <c r="AU25" s="80"/>
      <c r="AV25" s="80"/>
      <c r="AW25" s="80"/>
      <c r="AX25" s="80"/>
      <c r="AY25" s="80"/>
      <c r="AZ25" s="80"/>
      <c r="BA25" s="80"/>
      <c r="BB25" s="80"/>
      <c r="BC25">
        <v>1</v>
      </c>
      <c r="BD25" s="79" t="str">
        <f>REPLACE(INDEX(GroupVertices[Group],MATCH(Edges25[[#This Row],[Vertex 1]],GroupVertices[Vertex],0)),1,1,"")</f>
        <v>13</v>
      </c>
      <c r="BE25" s="79" t="str">
        <f>REPLACE(INDEX(GroupVertices[Group],MATCH(Edges25[[#This Row],[Vertex 2]],GroupVertices[Vertex],0)),1,1,"")</f>
        <v>13</v>
      </c>
      <c r="BF25" s="49">
        <v>0</v>
      </c>
      <c r="BG25" s="50">
        <v>0</v>
      </c>
      <c r="BH25" s="49">
        <v>0</v>
      </c>
      <c r="BI25" s="50">
        <v>0</v>
      </c>
      <c r="BJ25" s="49">
        <v>0</v>
      </c>
      <c r="BK25" s="50">
        <v>0</v>
      </c>
      <c r="BL25" s="49">
        <v>12</v>
      </c>
      <c r="BM25" s="50">
        <v>100</v>
      </c>
      <c r="BN25" s="49">
        <v>12</v>
      </c>
    </row>
    <row r="26" spans="1:66" ht="15">
      <c r="A26" s="65" t="s">
        <v>257</v>
      </c>
      <c r="B26" s="65" t="s">
        <v>307</v>
      </c>
      <c r="C26" s="66"/>
      <c r="D26" s="67"/>
      <c r="E26" s="66"/>
      <c r="F26" s="69"/>
      <c r="G26" s="66"/>
      <c r="H26" s="70"/>
      <c r="I26" s="71"/>
      <c r="J26" s="71"/>
      <c r="K26" s="35" t="s">
        <v>65</v>
      </c>
      <c r="L26" s="72">
        <v>48</v>
      </c>
      <c r="M26" s="72"/>
      <c r="N26" s="73"/>
      <c r="O26" s="80" t="s">
        <v>352</v>
      </c>
      <c r="P26" s="82">
        <v>44219.551145833335</v>
      </c>
      <c r="Q26" s="80" t="s">
        <v>361</v>
      </c>
      <c r="R26" s="84" t="str">
        <f>HYPERLINK("https://www.tiess.online/registration?utm_source=TIESS&amp;utm_medium=Amity&amp;utm_campaign=TIESS&amp;utm_term=010")</f>
        <v>https://www.tiess.online/registration?utm_source=TIESS&amp;utm_medium=Amity&amp;utm_campaign=TIESS&amp;utm_term=010</v>
      </c>
      <c r="S26" s="80" t="s">
        <v>444</v>
      </c>
      <c r="T26" s="80" t="s">
        <v>449</v>
      </c>
      <c r="U26" s="84" t="str">
        <f>HYPERLINK("https://pbs.twimg.com/media/EsUyST3U0AA3Z4O.jpg")</f>
        <v>https://pbs.twimg.com/media/EsUyST3U0AA3Z4O.jpg</v>
      </c>
      <c r="V26" s="84" t="str">
        <f>HYPERLINK("https://pbs.twimg.com/media/EsUyST3U0AA3Z4O.jpg")</f>
        <v>https://pbs.twimg.com/media/EsUyST3U0AA3Z4O.jpg</v>
      </c>
      <c r="W26" s="82">
        <v>44219.551145833335</v>
      </c>
      <c r="X26" s="86">
        <v>44219</v>
      </c>
      <c r="Y26" s="88" t="s">
        <v>483</v>
      </c>
      <c r="Z26" s="84" t="str">
        <f>HYPERLINK("https://twitter.com/drsantanugupta/status/1352967736616382464")</f>
        <v>https://twitter.com/drsantanugupta/status/1352967736616382464</v>
      </c>
      <c r="AA26" s="80"/>
      <c r="AB26" s="80"/>
      <c r="AC26" s="88" t="s">
        <v>634</v>
      </c>
      <c r="AD26" s="80"/>
      <c r="AE26" s="80" t="b">
        <v>0</v>
      </c>
      <c r="AF26" s="80">
        <v>0</v>
      </c>
      <c r="AG26" s="88" t="s">
        <v>763</v>
      </c>
      <c r="AH26" s="80" t="b">
        <v>0</v>
      </c>
      <c r="AI26" s="80" t="s">
        <v>764</v>
      </c>
      <c r="AJ26" s="80"/>
      <c r="AK26" s="88" t="s">
        <v>763</v>
      </c>
      <c r="AL26" s="80" t="b">
        <v>0</v>
      </c>
      <c r="AM26" s="80">
        <v>7</v>
      </c>
      <c r="AN26" s="88" t="s">
        <v>677</v>
      </c>
      <c r="AO26" s="80" t="s">
        <v>766</v>
      </c>
      <c r="AP26" s="80" t="b">
        <v>0</v>
      </c>
      <c r="AQ26" s="88" t="s">
        <v>677</v>
      </c>
      <c r="AR26" s="80" t="s">
        <v>197</v>
      </c>
      <c r="AS26" s="80">
        <v>0</v>
      </c>
      <c r="AT26" s="80">
        <v>0</v>
      </c>
      <c r="AU26" s="80"/>
      <c r="AV26" s="80"/>
      <c r="AW26" s="80"/>
      <c r="AX26" s="80"/>
      <c r="AY26" s="80"/>
      <c r="AZ26" s="80"/>
      <c r="BA26" s="80"/>
      <c r="BB26" s="80"/>
      <c r="BC26">
        <v>1</v>
      </c>
      <c r="BD26" s="79" t="str">
        <f>REPLACE(INDEX(GroupVertices[Group],MATCH(Edges25[[#This Row],[Vertex 1]],GroupVertices[Vertex],0)),1,1,"")</f>
        <v>4</v>
      </c>
      <c r="BE26" s="79" t="str">
        <f>REPLACE(INDEX(GroupVertices[Group],MATCH(Edges25[[#This Row],[Vertex 2]],GroupVertices[Vertex],0)),1,1,"")</f>
        <v>4</v>
      </c>
      <c r="BF26" s="49"/>
      <c r="BG26" s="50"/>
      <c r="BH26" s="49"/>
      <c r="BI26" s="50"/>
      <c r="BJ26" s="49"/>
      <c r="BK26" s="50"/>
      <c r="BL26" s="49"/>
      <c r="BM26" s="50"/>
      <c r="BN26" s="49"/>
    </row>
    <row r="27" spans="1:66" ht="15">
      <c r="A27" s="65" t="s">
        <v>258</v>
      </c>
      <c r="B27" s="65" t="s">
        <v>307</v>
      </c>
      <c r="C27" s="66"/>
      <c r="D27" s="67"/>
      <c r="E27" s="66"/>
      <c r="F27" s="69"/>
      <c r="G27" s="66"/>
      <c r="H27" s="70"/>
      <c r="I27" s="71"/>
      <c r="J27" s="71"/>
      <c r="K27" s="35" t="s">
        <v>65</v>
      </c>
      <c r="L27" s="72">
        <v>50</v>
      </c>
      <c r="M27" s="72"/>
      <c r="N27" s="73"/>
      <c r="O27" s="80" t="s">
        <v>352</v>
      </c>
      <c r="P27" s="82">
        <v>44219.577199074076</v>
      </c>
      <c r="Q27" s="80" t="s">
        <v>361</v>
      </c>
      <c r="R27" s="84" t="str">
        <f>HYPERLINK("https://www.tiess.online/registration?utm_source=TIESS&amp;utm_medium=Amity&amp;utm_campaign=TIESS&amp;utm_term=010")</f>
        <v>https://www.tiess.online/registration?utm_source=TIESS&amp;utm_medium=Amity&amp;utm_campaign=TIESS&amp;utm_term=010</v>
      </c>
      <c r="S27" s="80" t="s">
        <v>444</v>
      </c>
      <c r="T27" s="80" t="s">
        <v>449</v>
      </c>
      <c r="U27" s="84" t="str">
        <f>HYPERLINK("https://pbs.twimg.com/media/EsUyST3U0AA3Z4O.jpg")</f>
        <v>https://pbs.twimg.com/media/EsUyST3U0AA3Z4O.jpg</v>
      </c>
      <c r="V27" s="84" t="str">
        <f>HYPERLINK("https://pbs.twimg.com/media/EsUyST3U0AA3Z4O.jpg")</f>
        <v>https://pbs.twimg.com/media/EsUyST3U0AA3Z4O.jpg</v>
      </c>
      <c r="W27" s="82">
        <v>44219.577199074076</v>
      </c>
      <c r="X27" s="86">
        <v>44219</v>
      </c>
      <c r="Y27" s="88" t="s">
        <v>484</v>
      </c>
      <c r="Z27" s="84" t="str">
        <f>HYPERLINK("https://twitter.com/aizadkhursheed/status/1352977174513389568")</f>
        <v>https://twitter.com/aizadkhursheed/status/1352977174513389568</v>
      </c>
      <c r="AA27" s="80"/>
      <c r="AB27" s="80"/>
      <c r="AC27" s="88" t="s">
        <v>635</v>
      </c>
      <c r="AD27" s="80"/>
      <c r="AE27" s="80" t="b">
        <v>0</v>
      </c>
      <c r="AF27" s="80">
        <v>0</v>
      </c>
      <c r="AG27" s="88" t="s">
        <v>763</v>
      </c>
      <c r="AH27" s="80" t="b">
        <v>0</v>
      </c>
      <c r="AI27" s="80" t="s">
        <v>764</v>
      </c>
      <c r="AJ27" s="80"/>
      <c r="AK27" s="88" t="s">
        <v>763</v>
      </c>
      <c r="AL27" s="80" t="b">
        <v>0</v>
      </c>
      <c r="AM27" s="80">
        <v>7</v>
      </c>
      <c r="AN27" s="88" t="s">
        <v>677</v>
      </c>
      <c r="AO27" s="80" t="s">
        <v>766</v>
      </c>
      <c r="AP27" s="80" t="b">
        <v>0</v>
      </c>
      <c r="AQ27" s="88" t="s">
        <v>677</v>
      </c>
      <c r="AR27" s="80" t="s">
        <v>197</v>
      </c>
      <c r="AS27" s="80">
        <v>0</v>
      </c>
      <c r="AT27" s="80">
        <v>0</v>
      </c>
      <c r="AU27" s="80"/>
      <c r="AV27" s="80"/>
      <c r="AW27" s="80"/>
      <c r="AX27" s="80"/>
      <c r="AY27" s="80"/>
      <c r="AZ27" s="80"/>
      <c r="BA27" s="80"/>
      <c r="BB27" s="80"/>
      <c r="BC27">
        <v>1</v>
      </c>
      <c r="BD27" s="79" t="str">
        <f>REPLACE(INDEX(GroupVertices[Group],MATCH(Edges25[[#This Row],[Vertex 1]],GroupVertices[Vertex],0)),1,1,"")</f>
        <v>4</v>
      </c>
      <c r="BE27" s="79" t="str">
        <f>REPLACE(INDEX(GroupVertices[Group],MATCH(Edges25[[#This Row],[Vertex 2]],GroupVertices[Vertex],0)),1,1,"")</f>
        <v>4</v>
      </c>
      <c r="BF27" s="49"/>
      <c r="BG27" s="50"/>
      <c r="BH27" s="49"/>
      <c r="BI27" s="50"/>
      <c r="BJ27" s="49"/>
      <c r="BK27" s="50"/>
      <c r="BL27" s="49"/>
      <c r="BM27" s="50"/>
      <c r="BN27" s="49"/>
    </row>
    <row r="28" spans="1:66" ht="15">
      <c r="A28" s="65" t="s">
        <v>259</v>
      </c>
      <c r="B28" s="65" t="s">
        <v>284</v>
      </c>
      <c r="C28" s="66"/>
      <c r="D28" s="67"/>
      <c r="E28" s="66"/>
      <c r="F28" s="69"/>
      <c r="G28" s="66"/>
      <c r="H28" s="70"/>
      <c r="I28" s="71"/>
      <c r="J28" s="71"/>
      <c r="K28" s="35" t="s">
        <v>65</v>
      </c>
      <c r="L28" s="72">
        <v>52</v>
      </c>
      <c r="M28" s="72"/>
      <c r="N28" s="73"/>
      <c r="O28" s="80" t="s">
        <v>352</v>
      </c>
      <c r="P28" s="82">
        <v>44220.12322916667</v>
      </c>
      <c r="Q28" s="80" t="s">
        <v>364</v>
      </c>
      <c r="R28" s="84" t="str">
        <f>HYPERLINK("https://www.tiess.online/registration?utm_source=SM&amp;utm_medium=Raghavan&amp;utm_campaign=TIESS&amp;utm_term=023")</f>
        <v>https://www.tiess.online/registration?utm_source=SM&amp;utm_medium=Raghavan&amp;utm_campaign=TIESS&amp;utm_term=023</v>
      </c>
      <c r="S28" s="80" t="s">
        <v>444</v>
      </c>
      <c r="T28" s="80" t="s">
        <v>449</v>
      </c>
      <c r="U28" s="84" t="str">
        <f>HYPERLINK("https://pbs.twimg.com/media/EsWDr3BU4AAvApB.jpg")</f>
        <v>https://pbs.twimg.com/media/EsWDr3BU4AAvApB.jpg</v>
      </c>
      <c r="V28" s="84" t="str">
        <f>HYPERLINK("https://pbs.twimg.com/media/EsWDr3BU4AAvApB.jpg")</f>
        <v>https://pbs.twimg.com/media/EsWDr3BU4AAvApB.jpg</v>
      </c>
      <c r="W28" s="82">
        <v>44220.12322916667</v>
      </c>
      <c r="X28" s="86">
        <v>44220</v>
      </c>
      <c r="Y28" s="88" t="s">
        <v>485</v>
      </c>
      <c r="Z28" s="84" t="str">
        <f>HYPERLINK("https://twitter.com/mehulch06582077/status/1353175050661158913")</f>
        <v>https://twitter.com/mehulch06582077/status/1353175050661158913</v>
      </c>
      <c r="AA28" s="80"/>
      <c r="AB28" s="80"/>
      <c r="AC28" s="88" t="s">
        <v>636</v>
      </c>
      <c r="AD28" s="80"/>
      <c r="AE28" s="80" t="b">
        <v>0</v>
      </c>
      <c r="AF28" s="80">
        <v>0</v>
      </c>
      <c r="AG28" s="88" t="s">
        <v>763</v>
      </c>
      <c r="AH28" s="80" t="b">
        <v>0</v>
      </c>
      <c r="AI28" s="80" t="s">
        <v>764</v>
      </c>
      <c r="AJ28" s="80"/>
      <c r="AK28" s="88" t="s">
        <v>763</v>
      </c>
      <c r="AL28" s="80" t="b">
        <v>0</v>
      </c>
      <c r="AM28" s="80">
        <v>4</v>
      </c>
      <c r="AN28" s="88" t="s">
        <v>694</v>
      </c>
      <c r="AO28" s="80" t="s">
        <v>766</v>
      </c>
      <c r="AP28" s="80" t="b">
        <v>0</v>
      </c>
      <c r="AQ28" s="88" t="s">
        <v>694</v>
      </c>
      <c r="AR28" s="80" t="s">
        <v>197</v>
      </c>
      <c r="AS28" s="80">
        <v>0</v>
      </c>
      <c r="AT28" s="80">
        <v>0</v>
      </c>
      <c r="AU28" s="80"/>
      <c r="AV28" s="80"/>
      <c r="AW28" s="80"/>
      <c r="AX28" s="80"/>
      <c r="AY28" s="80"/>
      <c r="AZ28" s="80"/>
      <c r="BA28" s="80"/>
      <c r="BB28" s="80"/>
      <c r="BC28">
        <v>1</v>
      </c>
      <c r="BD28" s="79" t="str">
        <f>REPLACE(INDEX(GroupVertices[Group],MATCH(Edges25[[#This Row],[Vertex 1]],GroupVertices[Vertex],0)),1,1,"")</f>
        <v>1</v>
      </c>
      <c r="BE28" s="79" t="str">
        <f>REPLACE(INDEX(GroupVertices[Group],MATCH(Edges25[[#This Row],[Vertex 2]],GroupVertices[Vertex],0)),1,1,"")</f>
        <v>1</v>
      </c>
      <c r="BF28" s="49">
        <v>0</v>
      </c>
      <c r="BG28" s="50">
        <v>0</v>
      </c>
      <c r="BH28" s="49">
        <v>0</v>
      </c>
      <c r="BI28" s="50">
        <v>0</v>
      </c>
      <c r="BJ28" s="49">
        <v>0</v>
      </c>
      <c r="BK28" s="50">
        <v>0</v>
      </c>
      <c r="BL28" s="49">
        <v>32</v>
      </c>
      <c r="BM28" s="50">
        <v>100</v>
      </c>
      <c r="BN28" s="49">
        <v>32</v>
      </c>
    </row>
    <row r="29" spans="1:66" ht="15">
      <c r="A29" s="65" t="s">
        <v>260</v>
      </c>
      <c r="B29" s="65" t="s">
        <v>284</v>
      </c>
      <c r="C29" s="66"/>
      <c r="D29" s="67"/>
      <c r="E29" s="66"/>
      <c r="F29" s="69"/>
      <c r="G29" s="66"/>
      <c r="H29" s="70"/>
      <c r="I29" s="71"/>
      <c r="J29" s="71"/>
      <c r="K29" s="35" t="s">
        <v>65</v>
      </c>
      <c r="L29" s="72">
        <v>54</v>
      </c>
      <c r="M29" s="72"/>
      <c r="N29" s="73"/>
      <c r="O29" s="80" t="s">
        <v>352</v>
      </c>
      <c r="P29" s="82">
        <v>44220.202835648146</v>
      </c>
      <c r="Q29" s="80" t="s">
        <v>364</v>
      </c>
      <c r="R29" s="84" t="str">
        <f>HYPERLINK("https://www.tiess.online/registration?utm_source=SM&amp;utm_medium=Raghavan&amp;utm_campaign=TIESS&amp;utm_term=023")</f>
        <v>https://www.tiess.online/registration?utm_source=SM&amp;utm_medium=Raghavan&amp;utm_campaign=TIESS&amp;utm_term=023</v>
      </c>
      <c r="S29" s="80" t="s">
        <v>444</v>
      </c>
      <c r="T29" s="80" t="s">
        <v>449</v>
      </c>
      <c r="U29" s="84" t="str">
        <f>HYPERLINK("https://pbs.twimg.com/media/EsWDr3BU4AAvApB.jpg")</f>
        <v>https://pbs.twimg.com/media/EsWDr3BU4AAvApB.jpg</v>
      </c>
      <c r="V29" s="84" t="str">
        <f>HYPERLINK("https://pbs.twimg.com/media/EsWDr3BU4AAvApB.jpg")</f>
        <v>https://pbs.twimg.com/media/EsWDr3BU4AAvApB.jpg</v>
      </c>
      <c r="W29" s="82">
        <v>44220.202835648146</v>
      </c>
      <c r="X29" s="86">
        <v>44220</v>
      </c>
      <c r="Y29" s="88" t="s">
        <v>486</v>
      </c>
      <c r="Z29" s="84" t="str">
        <f>HYPERLINK("https://twitter.com/mukesh49963098/status/1353203897716772864")</f>
        <v>https://twitter.com/mukesh49963098/status/1353203897716772864</v>
      </c>
      <c r="AA29" s="80"/>
      <c r="AB29" s="80"/>
      <c r="AC29" s="88" t="s">
        <v>637</v>
      </c>
      <c r="AD29" s="80"/>
      <c r="AE29" s="80" t="b">
        <v>0</v>
      </c>
      <c r="AF29" s="80">
        <v>0</v>
      </c>
      <c r="AG29" s="88" t="s">
        <v>763</v>
      </c>
      <c r="AH29" s="80" t="b">
        <v>0</v>
      </c>
      <c r="AI29" s="80" t="s">
        <v>764</v>
      </c>
      <c r="AJ29" s="80"/>
      <c r="AK29" s="88" t="s">
        <v>763</v>
      </c>
      <c r="AL29" s="80" t="b">
        <v>0</v>
      </c>
      <c r="AM29" s="80">
        <v>4</v>
      </c>
      <c r="AN29" s="88" t="s">
        <v>694</v>
      </c>
      <c r="AO29" s="80" t="s">
        <v>766</v>
      </c>
      <c r="AP29" s="80" t="b">
        <v>0</v>
      </c>
      <c r="AQ29" s="88" t="s">
        <v>694</v>
      </c>
      <c r="AR29" s="80" t="s">
        <v>197</v>
      </c>
      <c r="AS29" s="80">
        <v>0</v>
      </c>
      <c r="AT29" s="80">
        <v>0</v>
      </c>
      <c r="AU29" s="80"/>
      <c r="AV29" s="80"/>
      <c r="AW29" s="80"/>
      <c r="AX29" s="80"/>
      <c r="AY29" s="80"/>
      <c r="AZ29" s="80"/>
      <c r="BA29" s="80"/>
      <c r="BB29" s="80"/>
      <c r="BC29">
        <v>1</v>
      </c>
      <c r="BD29" s="79" t="str">
        <f>REPLACE(INDEX(GroupVertices[Group],MATCH(Edges25[[#This Row],[Vertex 1]],GroupVertices[Vertex],0)),1,1,"")</f>
        <v>1</v>
      </c>
      <c r="BE29" s="79" t="str">
        <f>REPLACE(INDEX(GroupVertices[Group],MATCH(Edges25[[#This Row],[Vertex 2]],GroupVertices[Vertex],0)),1,1,"")</f>
        <v>1</v>
      </c>
      <c r="BF29" s="49"/>
      <c r="BG29" s="50"/>
      <c r="BH29" s="49"/>
      <c r="BI29" s="50"/>
      <c r="BJ29" s="49"/>
      <c r="BK29" s="50"/>
      <c r="BL29" s="49"/>
      <c r="BM29" s="50"/>
      <c r="BN29" s="49"/>
    </row>
    <row r="30" spans="1:66" ht="15">
      <c r="A30" s="65" t="s">
        <v>261</v>
      </c>
      <c r="B30" s="65" t="s">
        <v>308</v>
      </c>
      <c r="C30" s="66"/>
      <c r="D30" s="67"/>
      <c r="E30" s="66"/>
      <c r="F30" s="69"/>
      <c r="G30" s="66"/>
      <c r="H30" s="70"/>
      <c r="I30" s="71"/>
      <c r="J30" s="71"/>
      <c r="K30" s="35" t="s">
        <v>65</v>
      </c>
      <c r="L30" s="72">
        <v>56</v>
      </c>
      <c r="M30" s="72"/>
      <c r="N30" s="73"/>
      <c r="O30" s="80" t="s">
        <v>352</v>
      </c>
      <c r="P30" s="82">
        <v>44220.68375</v>
      </c>
      <c r="Q30" s="80" t="s">
        <v>362</v>
      </c>
      <c r="R30" s="84" t="str">
        <f>HYPERLINK("https://www.tiess.online/registration?utm_source=SM&amp;utm_medium=Ramanan&amp;utm_campaign=TIESS&amp;utm_term=011")</f>
        <v>https://www.tiess.online/registration?utm_source=SM&amp;utm_medium=Ramanan&amp;utm_campaign=TIESS&amp;utm_term=011</v>
      </c>
      <c r="S30" s="80" t="s">
        <v>444</v>
      </c>
      <c r="T30" s="80" t="s">
        <v>451</v>
      </c>
      <c r="U30" s="84" t="str">
        <f>HYPERLINK("https://pbs.twimg.com/media/EsWHGdcVcAE-c4p.jpg")</f>
        <v>https://pbs.twimg.com/media/EsWHGdcVcAE-c4p.jpg</v>
      </c>
      <c r="V30" s="84" t="str">
        <f>HYPERLINK("https://pbs.twimg.com/media/EsWHGdcVcAE-c4p.jpg")</f>
        <v>https://pbs.twimg.com/media/EsWHGdcVcAE-c4p.jpg</v>
      </c>
      <c r="W30" s="82">
        <v>44220.68375</v>
      </c>
      <c r="X30" s="86">
        <v>44220</v>
      </c>
      <c r="Y30" s="88" t="s">
        <v>487</v>
      </c>
      <c r="Z30" s="84" t="str">
        <f>HYPERLINK("https://twitter.com/sanatan96735902/status/1353378177737875459")</f>
        <v>https://twitter.com/sanatan96735902/status/1353378177737875459</v>
      </c>
      <c r="AA30" s="80"/>
      <c r="AB30" s="80"/>
      <c r="AC30" s="88" t="s">
        <v>638</v>
      </c>
      <c r="AD30" s="80"/>
      <c r="AE30" s="80" t="b">
        <v>0</v>
      </c>
      <c r="AF30" s="80">
        <v>0</v>
      </c>
      <c r="AG30" s="88" t="s">
        <v>763</v>
      </c>
      <c r="AH30" s="80" t="b">
        <v>0</v>
      </c>
      <c r="AI30" s="80" t="s">
        <v>764</v>
      </c>
      <c r="AJ30" s="80"/>
      <c r="AK30" s="88" t="s">
        <v>763</v>
      </c>
      <c r="AL30" s="80" t="b">
        <v>0</v>
      </c>
      <c r="AM30" s="80">
        <v>3</v>
      </c>
      <c r="AN30" s="88" t="s">
        <v>695</v>
      </c>
      <c r="AO30" s="80" t="s">
        <v>766</v>
      </c>
      <c r="AP30" s="80" t="b">
        <v>0</v>
      </c>
      <c r="AQ30" s="88" t="s">
        <v>695</v>
      </c>
      <c r="AR30" s="80" t="s">
        <v>197</v>
      </c>
      <c r="AS30" s="80">
        <v>0</v>
      </c>
      <c r="AT30" s="80">
        <v>0</v>
      </c>
      <c r="AU30" s="80"/>
      <c r="AV30" s="80"/>
      <c r="AW30" s="80"/>
      <c r="AX30" s="80"/>
      <c r="AY30" s="80"/>
      <c r="AZ30" s="80"/>
      <c r="BA30" s="80"/>
      <c r="BB30" s="80"/>
      <c r="BC30">
        <v>1</v>
      </c>
      <c r="BD30" s="79" t="str">
        <f>REPLACE(INDEX(GroupVertices[Group],MATCH(Edges25[[#This Row],[Vertex 1]],GroupVertices[Vertex],0)),1,1,"")</f>
        <v>6</v>
      </c>
      <c r="BE30" s="79" t="str">
        <f>REPLACE(INDEX(GroupVertices[Group],MATCH(Edges25[[#This Row],[Vertex 2]],GroupVertices[Vertex],0)),1,1,"")</f>
        <v>6</v>
      </c>
      <c r="BF30" s="49"/>
      <c r="BG30" s="50"/>
      <c r="BH30" s="49"/>
      <c r="BI30" s="50"/>
      <c r="BJ30" s="49"/>
      <c r="BK30" s="50"/>
      <c r="BL30" s="49"/>
      <c r="BM30" s="50"/>
      <c r="BN30" s="49"/>
    </row>
    <row r="31" spans="1:66" ht="15">
      <c r="A31" s="65" t="s">
        <v>262</v>
      </c>
      <c r="B31" s="65" t="s">
        <v>310</v>
      </c>
      <c r="C31" s="66"/>
      <c r="D31" s="67"/>
      <c r="E31" s="66"/>
      <c r="F31" s="69"/>
      <c r="G31" s="66"/>
      <c r="H31" s="70"/>
      <c r="I31" s="71"/>
      <c r="J31" s="71"/>
      <c r="K31" s="35" t="s">
        <v>65</v>
      </c>
      <c r="L31" s="72">
        <v>59</v>
      </c>
      <c r="M31" s="72"/>
      <c r="N31" s="73"/>
      <c r="O31" s="80" t="s">
        <v>352</v>
      </c>
      <c r="P31" s="82">
        <v>44220.68540509259</v>
      </c>
      <c r="Q31" s="80" t="s">
        <v>365</v>
      </c>
      <c r="R31" s="84" t="str">
        <f>HYPERLINK("https://www.tiess.online/registration?utm_source=SM&amp;utm_medium=Timmers&amp;utm_campaign=TIESS&amp;utm_term=022")</f>
        <v>https://www.tiess.online/registration?utm_source=SM&amp;utm_medium=Timmers&amp;utm_campaign=TIESS&amp;utm_term=022</v>
      </c>
      <c r="S31" s="80" t="s">
        <v>444</v>
      </c>
      <c r="T31" s="80" t="s">
        <v>449</v>
      </c>
      <c r="U31" s="84" t="str">
        <f>HYPERLINK("https://pbs.twimg.com/media/EsLob21VQAAdPsn.jpg")</f>
        <v>https://pbs.twimg.com/media/EsLob21VQAAdPsn.jpg</v>
      </c>
      <c r="V31" s="84" t="str">
        <f>HYPERLINK("https://pbs.twimg.com/media/EsLob21VQAAdPsn.jpg")</f>
        <v>https://pbs.twimg.com/media/EsLob21VQAAdPsn.jpg</v>
      </c>
      <c r="W31" s="82">
        <v>44220.68540509259</v>
      </c>
      <c r="X31" s="86">
        <v>44220</v>
      </c>
      <c r="Y31" s="88" t="s">
        <v>488</v>
      </c>
      <c r="Z31" s="84" t="str">
        <f>HYPERLINK("https://twitter.com/afreen50079461/status/1353378776885944320")</f>
        <v>https://twitter.com/afreen50079461/status/1353378776885944320</v>
      </c>
      <c r="AA31" s="80"/>
      <c r="AB31" s="80"/>
      <c r="AC31" s="88" t="s">
        <v>639</v>
      </c>
      <c r="AD31" s="80"/>
      <c r="AE31" s="80" t="b">
        <v>0</v>
      </c>
      <c r="AF31" s="80">
        <v>0</v>
      </c>
      <c r="AG31" s="88" t="s">
        <v>763</v>
      </c>
      <c r="AH31" s="80" t="b">
        <v>0</v>
      </c>
      <c r="AI31" s="80" t="s">
        <v>764</v>
      </c>
      <c r="AJ31" s="80"/>
      <c r="AK31" s="88" t="s">
        <v>763</v>
      </c>
      <c r="AL31" s="80" t="b">
        <v>0</v>
      </c>
      <c r="AM31" s="80">
        <v>3</v>
      </c>
      <c r="AN31" s="88" t="s">
        <v>658</v>
      </c>
      <c r="AO31" s="80" t="s">
        <v>765</v>
      </c>
      <c r="AP31" s="80" t="b">
        <v>0</v>
      </c>
      <c r="AQ31" s="88" t="s">
        <v>658</v>
      </c>
      <c r="AR31" s="80" t="s">
        <v>197</v>
      </c>
      <c r="AS31" s="80">
        <v>0</v>
      </c>
      <c r="AT31" s="80">
        <v>0</v>
      </c>
      <c r="AU31" s="80"/>
      <c r="AV31" s="80"/>
      <c r="AW31" s="80"/>
      <c r="AX31" s="80"/>
      <c r="AY31" s="80"/>
      <c r="AZ31" s="80"/>
      <c r="BA31" s="80"/>
      <c r="BB31" s="80"/>
      <c r="BC31">
        <v>1</v>
      </c>
      <c r="BD31" s="79" t="str">
        <f>REPLACE(INDEX(GroupVertices[Group],MATCH(Edges25[[#This Row],[Vertex 1]],GroupVertices[Vertex],0)),1,1,"")</f>
        <v>9</v>
      </c>
      <c r="BE31" s="79" t="str">
        <f>REPLACE(INDEX(GroupVertices[Group],MATCH(Edges25[[#This Row],[Vertex 2]],GroupVertices[Vertex],0)),1,1,"")</f>
        <v>9</v>
      </c>
      <c r="BF31" s="49"/>
      <c r="BG31" s="50"/>
      <c r="BH31" s="49"/>
      <c r="BI31" s="50"/>
      <c r="BJ31" s="49"/>
      <c r="BK31" s="50"/>
      <c r="BL31" s="49"/>
      <c r="BM31" s="50"/>
      <c r="BN31" s="49"/>
    </row>
    <row r="32" spans="1:66" ht="15">
      <c r="A32" s="65" t="s">
        <v>263</v>
      </c>
      <c r="B32" s="65" t="s">
        <v>288</v>
      </c>
      <c r="C32" s="66"/>
      <c r="D32" s="67"/>
      <c r="E32" s="66"/>
      <c r="F32" s="69"/>
      <c r="G32" s="66"/>
      <c r="H32" s="70"/>
      <c r="I32" s="71"/>
      <c r="J32" s="71"/>
      <c r="K32" s="35" t="s">
        <v>65</v>
      </c>
      <c r="L32" s="72">
        <v>62</v>
      </c>
      <c r="M32" s="72"/>
      <c r="N32" s="73"/>
      <c r="O32" s="80" t="s">
        <v>352</v>
      </c>
      <c r="P32" s="82">
        <v>44220.772685185184</v>
      </c>
      <c r="Q32" s="80" t="s">
        <v>366</v>
      </c>
      <c r="R32" s="84" t="str">
        <f>HYPERLINK("https://www.tiess.online/registration?utm_source=Manjula&amp;utm_medium=SM&amp;utm_campaign=TIESS&amp;utm_term=035")</f>
        <v>https://www.tiess.online/registration?utm_source=Manjula&amp;utm_medium=SM&amp;utm_campaign=TIESS&amp;utm_term=035</v>
      </c>
      <c r="S32" s="80" t="s">
        <v>444</v>
      </c>
      <c r="T32" s="80" t="s">
        <v>450</v>
      </c>
      <c r="U32" s="84" t="str">
        <f>HYPERLINK("https://pbs.twimg.com/media/EsaYJWbUUAEqSrE.jpg")</f>
        <v>https://pbs.twimg.com/media/EsaYJWbUUAEqSrE.jpg</v>
      </c>
      <c r="V32" s="84" t="str">
        <f>HYPERLINK("https://pbs.twimg.com/media/EsaYJWbUUAEqSrE.jpg")</f>
        <v>https://pbs.twimg.com/media/EsaYJWbUUAEqSrE.jpg</v>
      </c>
      <c r="W32" s="82">
        <v>44220.772685185184</v>
      </c>
      <c r="X32" s="86">
        <v>44220</v>
      </c>
      <c r="Y32" s="88" t="s">
        <v>489</v>
      </c>
      <c r="Z32" s="84" t="str">
        <f>HYPERLINK("https://twitter.com/educatelanka/status/1353410403955482631")</f>
        <v>https://twitter.com/educatelanka/status/1353410403955482631</v>
      </c>
      <c r="AA32" s="80"/>
      <c r="AB32" s="80"/>
      <c r="AC32" s="88" t="s">
        <v>640</v>
      </c>
      <c r="AD32" s="80"/>
      <c r="AE32" s="80" t="b">
        <v>0</v>
      </c>
      <c r="AF32" s="80">
        <v>0</v>
      </c>
      <c r="AG32" s="88" t="s">
        <v>763</v>
      </c>
      <c r="AH32" s="80" t="b">
        <v>0</v>
      </c>
      <c r="AI32" s="80" t="s">
        <v>764</v>
      </c>
      <c r="AJ32" s="80"/>
      <c r="AK32" s="88" t="s">
        <v>763</v>
      </c>
      <c r="AL32" s="80" t="b">
        <v>0</v>
      </c>
      <c r="AM32" s="80">
        <v>2</v>
      </c>
      <c r="AN32" s="88" t="s">
        <v>707</v>
      </c>
      <c r="AO32" s="80" t="s">
        <v>765</v>
      </c>
      <c r="AP32" s="80" t="b">
        <v>0</v>
      </c>
      <c r="AQ32" s="88" t="s">
        <v>707</v>
      </c>
      <c r="AR32" s="80" t="s">
        <v>197</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1</v>
      </c>
      <c r="BF32" s="49">
        <v>1</v>
      </c>
      <c r="BG32" s="50">
        <v>3.5714285714285716</v>
      </c>
      <c r="BH32" s="49">
        <v>0</v>
      </c>
      <c r="BI32" s="50">
        <v>0</v>
      </c>
      <c r="BJ32" s="49">
        <v>0</v>
      </c>
      <c r="BK32" s="50">
        <v>0</v>
      </c>
      <c r="BL32" s="49">
        <v>27</v>
      </c>
      <c r="BM32" s="50">
        <v>96.42857142857143</v>
      </c>
      <c r="BN32" s="49">
        <v>28</v>
      </c>
    </row>
    <row r="33" spans="1:66" ht="15">
      <c r="A33" s="65" t="s">
        <v>264</v>
      </c>
      <c r="B33" s="65" t="s">
        <v>311</v>
      </c>
      <c r="C33" s="66"/>
      <c r="D33" s="67"/>
      <c r="E33" s="66"/>
      <c r="F33" s="69"/>
      <c r="G33" s="66"/>
      <c r="H33" s="70"/>
      <c r="I33" s="71"/>
      <c r="J33" s="71"/>
      <c r="K33" s="35" t="s">
        <v>65</v>
      </c>
      <c r="L33" s="72">
        <v>64</v>
      </c>
      <c r="M33" s="72"/>
      <c r="N33" s="73"/>
      <c r="O33" s="80" t="s">
        <v>353</v>
      </c>
      <c r="P33" s="82">
        <v>44221.325277777774</v>
      </c>
      <c r="Q33" s="80" t="s">
        <v>367</v>
      </c>
      <c r="R33" s="80" t="s">
        <v>441</v>
      </c>
      <c r="S33" s="80" t="s">
        <v>446</v>
      </c>
      <c r="T33" s="80" t="s">
        <v>452</v>
      </c>
      <c r="U33" s="80"/>
      <c r="V33" s="84" t="str">
        <f>HYPERLINK("https://pbs.twimg.com/profile_images/912616865574219776/s0G4kIoM_normal.jpg")</f>
        <v>https://pbs.twimg.com/profile_images/912616865574219776/s0G4kIoM_normal.jpg</v>
      </c>
      <c r="W33" s="82">
        <v>44221.325277777774</v>
      </c>
      <c r="X33" s="86">
        <v>44221</v>
      </c>
      <c r="Y33" s="88" t="s">
        <v>490</v>
      </c>
      <c r="Z33" s="84" t="str">
        <f>HYPERLINK("https://twitter.com/tcs_ion/status/1353610656533028868")</f>
        <v>https://twitter.com/tcs_ion/status/1353610656533028868</v>
      </c>
      <c r="AA33" s="80"/>
      <c r="AB33" s="80"/>
      <c r="AC33" s="88" t="s">
        <v>641</v>
      </c>
      <c r="AD33" s="80"/>
      <c r="AE33" s="80" t="b">
        <v>0</v>
      </c>
      <c r="AF33" s="80">
        <v>2</v>
      </c>
      <c r="AG33" s="88" t="s">
        <v>763</v>
      </c>
      <c r="AH33" s="80" t="b">
        <v>1</v>
      </c>
      <c r="AI33" s="80" t="s">
        <v>764</v>
      </c>
      <c r="AJ33" s="80"/>
      <c r="AK33" s="88" t="s">
        <v>722</v>
      </c>
      <c r="AL33" s="80" t="b">
        <v>0</v>
      </c>
      <c r="AM33" s="80">
        <v>0</v>
      </c>
      <c r="AN33" s="88" t="s">
        <v>763</v>
      </c>
      <c r="AO33" s="80" t="s">
        <v>765</v>
      </c>
      <c r="AP33" s="80" t="b">
        <v>0</v>
      </c>
      <c r="AQ33" s="88" t="s">
        <v>641</v>
      </c>
      <c r="AR33" s="80" t="s">
        <v>197</v>
      </c>
      <c r="AS33" s="80">
        <v>0</v>
      </c>
      <c r="AT33" s="80">
        <v>0</v>
      </c>
      <c r="AU33" s="80"/>
      <c r="AV33" s="80"/>
      <c r="AW33" s="80"/>
      <c r="AX33" s="80"/>
      <c r="AY33" s="80"/>
      <c r="AZ33" s="80"/>
      <c r="BA33" s="80"/>
      <c r="BB33" s="80"/>
      <c r="BC33">
        <v>1</v>
      </c>
      <c r="BD33" s="79" t="str">
        <f>REPLACE(INDEX(GroupVertices[Group],MATCH(Edges25[[#This Row],[Vertex 1]],GroupVertices[Vertex],0)),1,1,"")</f>
        <v>8</v>
      </c>
      <c r="BE33" s="79" t="str">
        <f>REPLACE(INDEX(GroupVertices[Group],MATCH(Edges25[[#This Row],[Vertex 2]],GroupVertices[Vertex],0)),1,1,"")</f>
        <v>8</v>
      </c>
      <c r="BF33" s="49"/>
      <c r="BG33" s="50"/>
      <c r="BH33" s="49"/>
      <c r="BI33" s="50"/>
      <c r="BJ33" s="49"/>
      <c r="BK33" s="50"/>
      <c r="BL33" s="49"/>
      <c r="BM33" s="50"/>
      <c r="BN33" s="49"/>
    </row>
    <row r="34" spans="1:66" ht="15">
      <c r="A34" s="65" t="s">
        <v>265</v>
      </c>
      <c r="B34" s="65" t="s">
        <v>264</v>
      </c>
      <c r="C34" s="66"/>
      <c r="D34" s="67"/>
      <c r="E34" s="66"/>
      <c r="F34" s="69"/>
      <c r="G34" s="66"/>
      <c r="H34" s="70"/>
      <c r="I34" s="71"/>
      <c r="J34" s="71"/>
      <c r="K34" s="35" t="s">
        <v>65</v>
      </c>
      <c r="L34" s="72">
        <v>66</v>
      </c>
      <c r="M34" s="72"/>
      <c r="N34" s="73"/>
      <c r="O34" s="80" t="s">
        <v>351</v>
      </c>
      <c r="P34" s="82">
        <v>44221.34082175926</v>
      </c>
      <c r="Q34" s="80" t="s">
        <v>368</v>
      </c>
      <c r="R34" s="84" t="str">
        <f>HYPERLINK("https://twitter.com/Indiadidac/status/1353586348117028867")</f>
        <v>https://twitter.com/Indiadidac/status/1353586348117028867</v>
      </c>
      <c r="S34" s="80" t="s">
        <v>445</v>
      </c>
      <c r="T34" s="80" t="s">
        <v>453</v>
      </c>
      <c r="U34" s="80"/>
      <c r="V34" s="84" t="str">
        <f>HYPERLINK("https://pbs.twimg.com/profile_images/1277453468173651968/fwzxOFm3_normal.jpg")</f>
        <v>https://pbs.twimg.com/profile_images/1277453468173651968/fwzxOFm3_normal.jpg</v>
      </c>
      <c r="W34" s="82">
        <v>44221.34082175926</v>
      </c>
      <c r="X34" s="86">
        <v>44221</v>
      </c>
      <c r="Y34" s="88" t="s">
        <v>491</v>
      </c>
      <c r="Z34" s="84" t="str">
        <f>HYPERLINK("https://twitter.com/ashokamane/status/1353616290334695429")</f>
        <v>https://twitter.com/ashokamane/status/1353616290334695429</v>
      </c>
      <c r="AA34" s="80"/>
      <c r="AB34" s="80"/>
      <c r="AC34" s="88" t="s">
        <v>642</v>
      </c>
      <c r="AD34" s="80"/>
      <c r="AE34" s="80" t="b">
        <v>0</v>
      </c>
      <c r="AF34" s="80">
        <v>0</v>
      </c>
      <c r="AG34" s="88" t="s">
        <v>763</v>
      </c>
      <c r="AH34" s="80" t="b">
        <v>1</v>
      </c>
      <c r="AI34" s="80" t="s">
        <v>764</v>
      </c>
      <c r="AJ34" s="80"/>
      <c r="AK34" s="88" t="s">
        <v>718</v>
      </c>
      <c r="AL34" s="80" t="b">
        <v>0</v>
      </c>
      <c r="AM34" s="80">
        <v>1</v>
      </c>
      <c r="AN34" s="88" t="s">
        <v>721</v>
      </c>
      <c r="AO34" s="80" t="s">
        <v>767</v>
      </c>
      <c r="AP34" s="80" t="b">
        <v>0</v>
      </c>
      <c r="AQ34" s="88" t="s">
        <v>721</v>
      </c>
      <c r="AR34" s="80" t="s">
        <v>197</v>
      </c>
      <c r="AS34" s="80">
        <v>0</v>
      </c>
      <c r="AT34" s="80">
        <v>0</v>
      </c>
      <c r="AU34" s="80"/>
      <c r="AV34" s="80"/>
      <c r="AW34" s="80"/>
      <c r="AX34" s="80"/>
      <c r="AY34" s="80"/>
      <c r="AZ34" s="80"/>
      <c r="BA34" s="80"/>
      <c r="BB34" s="80"/>
      <c r="BC34">
        <v>1</v>
      </c>
      <c r="BD34" s="79" t="str">
        <f>REPLACE(INDEX(GroupVertices[Group],MATCH(Edges25[[#This Row],[Vertex 1]],GroupVertices[Vertex],0)),1,1,"")</f>
        <v>8</v>
      </c>
      <c r="BE34" s="79" t="str">
        <f>REPLACE(INDEX(GroupVertices[Group],MATCH(Edges25[[#This Row],[Vertex 2]],GroupVertices[Vertex],0)),1,1,"")</f>
        <v>8</v>
      </c>
      <c r="BF34" s="49">
        <v>1</v>
      </c>
      <c r="BG34" s="50">
        <v>3.125</v>
      </c>
      <c r="BH34" s="49">
        <v>0</v>
      </c>
      <c r="BI34" s="50">
        <v>0</v>
      </c>
      <c r="BJ34" s="49">
        <v>0</v>
      </c>
      <c r="BK34" s="50">
        <v>0</v>
      </c>
      <c r="BL34" s="49">
        <v>31</v>
      </c>
      <c r="BM34" s="50">
        <v>96.875</v>
      </c>
      <c r="BN34" s="49">
        <v>32</v>
      </c>
    </row>
    <row r="35" spans="1:66" ht="15">
      <c r="A35" s="65" t="s">
        <v>266</v>
      </c>
      <c r="B35" s="65" t="s">
        <v>271</v>
      </c>
      <c r="C35" s="66"/>
      <c r="D35" s="67"/>
      <c r="E35" s="66"/>
      <c r="F35" s="69"/>
      <c r="G35" s="66"/>
      <c r="H35" s="70"/>
      <c r="I35" s="71"/>
      <c r="J35" s="71"/>
      <c r="K35" s="35" t="s">
        <v>65</v>
      </c>
      <c r="L35" s="72">
        <v>67</v>
      </c>
      <c r="M35" s="72"/>
      <c r="N35" s="73"/>
      <c r="O35" s="80" t="s">
        <v>351</v>
      </c>
      <c r="P35" s="82">
        <v>44221.556296296294</v>
      </c>
      <c r="Q35" s="80" t="s">
        <v>369</v>
      </c>
      <c r="R35" s="80"/>
      <c r="S35" s="80"/>
      <c r="T35" s="80" t="s">
        <v>454</v>
      </c>
      <c r="U35" s="84" t="str">
        <f>HYPERLINK("https://pbs.twimg.com/media/EskiR9xVEAYLaX3.jpg")</f>
        <v>https://pbs.twimg.com/media/EskiR9xVEAYLaX3.jpg</v>
      </c>
      <c r="V35" s="84" t="str">
        <f>HYPERLINK("https://pbs.twimg.com/media/EskiR9xVEAYLaX3.jpg")</f>
        <v>https://pbs.twimg.com/media/EskiR9xVEAYLaX3.jpg</v>
      </c>
      <c r="W35" s="82">
        <v>44221.556296296294</v>
      </c>
      <c r="X35" s="86">
        <v>44221</v>
      </c>
      <c r="Y35" s="88" t="s">
        <v>492</v>
      </c>
      <c r="Z35" s="84" t="str">
        <f>HYPERLINK("https://twitter.com/tweeteretta/status/1353694374698344448")</f>
        <v>https://twitter.com/tweeteretta/status/1353694374698344448</v>
      </c>
      <c r="AA35" s="80"/>
      <c r="AB35" s="80"/>
      <c r="AC35" s="88" t="s">
        <v>643</v>
      </c>
      <c r="AD35" s="80"/>
      <c r="AE35" s="80" t="b">
        <v>0</v>
      </c>
      <c r="AF35" s="80">
        <v>0</v>
      </c>
      <c r="AG35" s="88" t="s">
        <v>763</v>
      </c>
      <c r="AH35" s="80" t="b">
        <v>0</v>
      </c>
      <c r="AI35" s="80" t="s">
        <v>764</v>
      </c>
      <c r="AJ35" s="80"/>
      <c r="AK35" s="88" t="s">
        <v>763</v>
      </c>
      <c r="AL35" s="80" t="b">
        <v>0</v>
      </c>
      <c r="AM35" s="80">
        <v>2</v>
      </c>
      <c r="AN35" s="88" t="s">
        <v>754</v>
      </c>
      <c r="AO35" s="80" t="s">
        <v>766</v>
      </c>
      <c r="AP35" s="80" t="b">
        <v>0</v>
      </c>
      <c r="AQ35" s="88" t="s">
        <v>754</v>
      </c>
      <c r="AR35" s="80" t="s">
        <v>197</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9">
        <v>2</v>
      </c>
      <c r="BG35" s="50">
        <v>5.555555555555555</v>
      </c>
      <c r="BH35" s="49">
        <v>0</v>
      </c>
      <c r="BI35" s="50">
        <v>0</v>
      </c>
      <c r="BJ35" s="49">
        <v>0</v>
      </c>
      <c r="BK35" s="50">
        <v>0</v>
      </c>
      <c r="BL35" s="49">
        <v>34</v>
      </c>
      <c r="BM35" s="50">
        <v>94.44444444444444</v>
      </c>
      <c r="BN35" s="49">
        <v>36</v>
      </c>
    </row>
    <row r="36" spans="1:66" ht="15">
      <c r="A36" s="65" t="s">
        <v>267</v>
      </c>
      <c r="B36" s="65" t="s">
        <v>310</v>
      </c>
      <c r="C36" s="66"/>
      <c r="D36" s="67"/>
      <c r="E36" s="66"/>
      <c r="F36" s="69"/>
      <c r="G36" s="66"/>
      <c r="H36" s="70"/>
      <c r="I36" s="71"/>
      <c r="J36" s="71"/>
      <c r="K36" s="35" t="s">
        <v>65</v>
      </c>
      <c r="L36" s="72">
        <v>68</v>
      </c>
      <c r="M36" s="72"/>
      <c r="N36" s="73"/>
      <c r="O36" s="80" t="s">
        <v>352</v>
      </c>
      <c r="P36" s="82">
        <v>44221.73369212963</v>
      </c>
      <c r="Q36" s="80" t="s">
        <v>365</v>
      </c>
      <c r="R36" s="84" t="str">
        <f>HYPERLINK("https://www.tiess.online/registration?utm_source=SM&amp;utm_medium=Timmers&amp;utm_campaign=TIESS&amp;utm_term=022")</f>
        <v>https://www.tiess.online/registration?utm_source=SM&amp;utm_medium=Timmers&amp;utm_campaign=TIESS&amp;utm_term=022</v>
      </c>
      <c r="S36" s="80" t="s">
        <v>444</v>
      </c>
      <c r="T36" s="80" t="s">
        <v>449</v>
      </c>
      <c r="U36" s="84" t="str">
        <f>HYPERLINK("https://pbs.twimg.com/media/EsLob21VQAAdPsn.jpg")</f>
        <v>https://pbs.twimg.com/media/EsLob21VQAAdPsn.jpg</v>
      </c>
      <c r="V36" s="84" t="str">
        <f>HYPERLINK("https://pbs.twimg.com/media/EsLob21VQAAdPsn.jpg")</f>
        <v>https://pbs.twimg.com/media/EsLob21VQAAdPsn.jpg</v>
      </c>
      <c r="W36" s="82">
        <v>44221.73369212963</v>
      </c>
      <c r="X36" s="86">
        <v>44221</v>
      </c>
      <c r="Y36" s="88" t="s">
        <v>493</v>
      </c>
      <c r="Z36" s="84" t="str">
        <f>HYPERLINK("https://twitter.com/debijules/status/1353758661160562688")</f>
        <v>https://twitter.com/debijules/status/1353758661160562688</v>
      </c>
      <c r="AA36" s="80"/>
      <c r="AB36" s="80"/>
      <c r="AC36" s="88" t="s">
        <v>644</v>
      </c>
      <c r="AD36" s="80"/>
      <c r="AE36" s="80" t="b">
        <v>0</v>
      </c>
      <c r="AF36" s="80">
        <v>0</v>
      </c>
      <c r="AG36" s="88" t="s">
        <v>763</v>
      </c>
      <c r="AH36" s="80" t="b">
        <v>0</v>
      </c>
      <c r="AI36" s="80" t="s">
        <v>764</v>
      </c>
      <c r="AJ36" s="80"/>
      <c r="AK36" s="88" t="s">
        <v>763</v>
      </c>
      <c r="AL36" s="80" t="b">
        <v>0</v>
      </c>
      <c r="AM36" s="80">
        <v>3</v>
      </c>
      <c r="AN36" s="88" t="s">
        <v>658</v>
      </c>
      <c r="AO36" s="80" t="s">
        <v>765</v>
      </c>
      <c r="AP36" s="80" t="b">
        <v>0</v>
      </c>
      <c r="AQ36" s="88" t="s">
        <v>658</v>
      </c>
      <c r="AR36" s="80" t="s">
        <v>197</v>
      </c>
      <c r="AS36" s="80">
        <v>0</v>
      </c>
      <c r="AT36" s="80">
        <v>0</v>
      </c>
      <c r="AU36" s="80"/>
      <c r="AV36" s="80"/>
      <c r="AW36" s="80"/>
      <c r="AX36" s="80"/>
      <c r="AY36" s="80"/>
      <c r="AZ36" s="80"/>
      <c r="BA36" s="80"/>
      <c r="BB36" s="80"/>
      <c r="BC36">
        <v>1</v>
      </c>
      <c r="BD36" s="79" t="str">
        <f>REPLACE(INDEX(GroupVertices[Group],MATCH(Edges25[[#This Row],[Vertex 1]],GroupVertices[Vertex],0)),1,1,"")</f>
        <v>9</v>
      </c>
      <c r="BE36" s="79" t="str">
        <f>REPLACE(INDEX(GroupVertices[Group],MATCH(Edges25[[#This Row],[Vertex 2]],GroupVertices[Vertex],0)),1,1,"")</f>
        <v>9</v>
      </c>
      <c r="BF36" s="49"/>
      <c r="BG36" s="50"/>
      <c r="BH36" s="49"/>
      <c r="BI36" s="50"/>
      <c r="BJ36" s="49"/>
      <c r="BK36" s="50"/>
      <c r="BL36" s="49"/>
      <c r="BM36" s="50"/>
      <c r="BN36" s="49"/>
    </row>
    <row r="37" spans="1:66" ht="15">
      <c r="A37" s="65" t="s">
        <v>268</v>
      </c>
      <c r="B37" s="65" t="s">
        <v>268</v>
      </c>
      <c r="C37" s="66"/>
      <c r="D37" s="67"/>
      <c r="E37" s="66"/>
      <c r="F37" s="69"/>
      <c r="G37" s="66"/>
      <c r="H37" s="70"/>
      <c r="I37" s="71"/>
      <c r="J37" s="71"/>
      <c r="K37" s="35" t="s">
        <v>65</v>
      </c>
      <c r="L37" s="72">
        <v>71</v>
      </c>
      <c r="M37" s="72"/>
      <c r="N37" s="73"/>
      <c r="O37" s="80" t="s">
        <v>197</v>
      </c>
      <c r="P37" s="82">
        <v>44215.38344907408</v>
      </c>
      <c r="Q37" s="80" t="s">
        <v>354</v>
      </c>
      <c r="R37" s="84" t="str">
        <f>HYPERLINK("https://www.tiess.online/registration?utm_source=Twitter&amp;utm_medium=IDA&amp;utm_campaign=TIESS&amp;utm_term=006")</f>
        <v>https://www.tiess.online/registration?utm_source=Twitter&amp;utm_medium=IDA&amp;utm_campaign=TIESS&amp;utm_term=006</v>
      </c>
      <c r="S37" s="80" t="s">
        <v>444</v>
      </c>
      <c r="T37" s="80" t="s">
        <v>449</v>
      </c>
      <c r="U37" s="84" t="str">
        <f>HYPERLINK("https://pbs.twimg.com/ext_tw_video_thumb/1351456442998546433/pu/img/aSegp9wmdlv0gjvz.jpg")</f>
        <v>https://pbs.twimg.com/ext_tw_video_thumb/1351456442998546433/pu/img/aSegp9wmdlv0gjvz.jpg</v>
      </c>
      <c r="V37" s="84" t="str">
        <f>HYPERLINK("https://pbs.twimg.com/ext_tw_video_thumb/1351456442998546433/pu/img/aSegp9wmdlv0gjvz.jpg")</f>
        <v>https://pbs.twimg.com/ext_tw_video_thumb/1351456442998546433/pu/img/aSegp9wmdlv0gjvz.jpg</v>
      </c>
      <c r="W37" s="82">
        <v>44215.38344907408</v>
      </c>
      <c r="X37" s="86">
        <v>44215</v>
      </c>
      <c r="Y37" s="88" t="s">
        <v>494</v>
      </c>
      <c r="Z37" s="84" t="str">
        <f>HYPERLINK("https://twitter.com/didacindia/status/1351457412163760134")</f>
        <v>https://twitter.com/didacindia/status/1351457412163760134</v>
      </c>
      <c r="AA37" s="80"/>
      <c r="AB37" s="80"/>
      <c r="AC37" s="88" t="s">
        <v>645</v>
      </c>
      <c r="AD37" s="80"/>
      <c r="AE37" s="80" t="b">
        <v>0</v>
      </c>
      <c r="AF37" s="80">
        <v>7</v>
      </c>
      <c r="AG37" s="88" t="s">
        <v>763</v>
      </c>
      <c r="AH37" s="80" t="b">
        <v>0</v>
      </c>
      <c r="AI37" s="80" t="s">
        <v>764</v>
      </c>
      <c r="AJ37" s="80"/>
      <c r="AK37" s="88" t="s">
        <v>763</v>
      </c>
      <c r="AL37" s="80" t="b">
        <v>0</v>
      </c>
      <c r="AM37" s="80">
        <v>4</v>
      </c>
      <c r="AN37" s="88" t="s">
        <v>763</v>
      </c>
      <c r="AO37" s="80" t="s">
        <v>768</v>
      </c>
      <c r="AP37" s="80" t="b">
        <v>0</v>
      </c>
      <c r="AQ37" s="88" t="s">
        <v>645</v>
      </c>
      <c r="AR37" s="80" t="s">
        <v>351</v>
      </c>
      <c r="AS37" s="80">
        <v>0</v>
      </c>
      <c r="AT37" s="80">
        <v>0</v>
      </c>
      <c r="AU37" s="80"/>
      <c r="AV37" s="80"/>
      <c r="AW37" s="80"/>
      <c r="AX37" s="80"/>
      <c r="AY37" s="80"/>
      <c r="AZ37" s="80"/>
      <c r="BA37" s="80"/>
      <c r="BB37" s="80"/>
      <c r="BC37">
        <v>3</v>
      </c>
      <c r="BD37" s="79" t="str">
        <f>REPLACE(INDEX(GroupVertices[Group],MATCH(Edges25[[#This Row],[Vertex 1]],GroupVertices[Vertex],0)),1,1,"")</f>
        <v>12</v>
      </c>
      <c r="BE37" s="79" t="str">
        <f>REPLACE(INDEX(GroupVertices[Group],MATCH(Edges25[[#This Row],[Vertex 2]],GroupVertices[Vertex],0)),1,1,"")</f>
        <v>12</v>
      </c>
      <c r="BF37" s="49">
        <v>1</v>
      </c>
      <c r="BG37" s="50">
        <v>2.857142857142857</v>
      </c>
      <c r="BH37" s="49">
        <v>0</v>
      </c>
      <c r="BI37" s="50">
        <v>0</v>
      </c>
      <c r="BJ37" s="49">
        <v>0</v>
      </c>
      <c r="BK37" s="50">
        <v>0</v>
      </c>
      <c r="BL37" s="49">
        <v>34</v>
      </c>
      <c r="BM37" s="50">
        <v>97.14285714285714</v>
      </c>
      <c r="BN37" s="49">
        <v>35</v>
      </c>
    </row>
    <row r="38" spans="1:66" ht="15">
      <c r="A38" s="65" t="s">
        <v>268</v>
      </c>
      <c r="B38" s="65" t="s">
        <v>268</v>
      </c>
      <c r="C38" s="66"/>
      <c r="D38" s="67"/>
      <c r="E38" s="66"/>
      <c r="F38" s="69"/>
      <c r="G38" s="66"/>
      <c r="H38" s="70"/>
      <c r="I38" s="71"/>
      <c r="J38" s="71"/>
      <c r="K38" s="35" t="s">
        <v>65</v>
      </c>
      <c r="L38" s="72">
        <v>72</v>
      </c>
      <c r="M38" s="72"/>
      <c r="N38" s="73"/>
      <c r="O38" s="80" t="s">
        <v>197</v>
      </c>
      <c r="P38" s="82">
        <v>44221.436574074076</v>
      </c>
      <c r="Q38" s="80" t="s">
        <v>370</v>
      </c>
      <c r="R38" s="80"/>
      <c r="S38" s="80"/>
      <c r="T38" s="80" t="s">
        <v>454</v>
      </c>
      <c r="U38" s="84" t="str">
        <f>HYPERLINK("https://pbs.twimg.com/media/EskiYkyUwAEXg0o.jpg")</f>
        <v>https://pbs.twimg.com/media/EskiYkyUwAEXg0o.jpg</v>
      </c>
      <c r="V38" s="84" t="str">
        <f>HYPERLINK("https://pbs.twimg.com/media/EskiYkyUwAEXg0o.jpg")</f>
        <v>https://pbs.twimg.com/media/EskiYkyUwAEXg0o.jpg</v>
      </c>
      <c r="W38" s="82">
        <v>44221.436574074076</v>
      </c>
      <c r="X38" s="86">
        <v>44221</v>
      </c>
      <c r="Y38" s="88" t="s">
        <v>495</v>
      </c>
      <c r="Z38" s="84" t="str">
        <f>HYPERLINK("https://twitter.com/didacindia/status/1353650989438365704")</f>
        <v>https://twitter.com/didacindia/status/1353650989438365704</v>
      </c>
      <c r="AA38" s="80"/>
      <c r="AB38" s="80"/>
      <c r="AC38" s="88" t="s">
        <v>646</v>
      </c>
      <c r="AD38" s="80"/>
      <c r="AE38" s="80" t="b">
        <v>0</v>
      </c>
      <c r="AF38" s="80">
        <v>1</v>
      </c>
      <c r="AG38" s="88" t="s">
        <v>763</v>
      </c>
      <c r="AH38" s="80" t="b">
        <v>0</v>
      </c>
      <c r="AI38" s="80" t="s">
        <v>764</v>
      </c>
      <c r="AJ38" s="80"/>
      <c r="AK38" s="88" t="s">
        <v>763</v>
      </c>
      <c r="AL38" s="80" t="b">
        <v>0</v>
      </c>
      <c r="AM38" s="80">
        <v>0</v>
      </c>
      <c r="AN38" s="88" t="s">
        <v>763</v>
      </c>
      <c r="AO38" s="80" t="s">
        <v>768</v>
      </c>
      <c r="AP38" s="80" t="b">
        <v>0</v>
      </c>
      <c r="AQ38" s="88" t="s">
        <v>646</v>
      </c>
      <c r="AR38" s="80" t="s">
        <v>197</v>
      </c>
      <c r="AS38" s="80">
        <v>0</v>
      </c>
      <c r="AT38" s="80">
        <v>0</v>
      </c>
      <c r="AU38" s="80"/>
      <c r="AV38" s="80"/>
      <c r="AW38" s="80"/>
      <c r="AX38" s="80"/>
      <c r="AY38" s="80"/>
      <c r="AZ38" s="80"/>
      <c r="BA38" s="80"/>
      <c r="BB38" s="80"/>
      <c r="BC38">
        <v>3</v>
      </c>
      <c r="BD38" s="79" t="str">
        <f>REPLACE(INDEX(GroupVertices[Group],MATCH(Edges25[[#This Row],[Vertex 1]],GroupVertices[Vertex],0)),1,1,"")</f>
        <v>12</v>
      </c>
      <c r="BE38" s="79" t="str">
        <f>REPLACE(INDEX(GroupVertices[Group],MATCH(Edges25[[#This Row],[Vertex 2]],GroupVertices[Vertex],0)),1,1,"")</f>
        <v>12</v>
      </c>
      <c r="BF38" s="49">
        <v>2</v>
      </c>
      <c r="BG38" s="50">
        <v>5.555555555555555</v>
      </c>
      <c r="BH38" s="49">
        <v>0</v>
      </c>
      <c r="BI38" s="50">
        <v>0</v>
      </c>
      <c r="BJ38" s="49">
        <v>0</v>
      </c>
      <c r="BK38" s="50">
        <v>0</v>
      </c>
      <c r="BL38" s="49">
        <v>34</v>
      </c>
      <c r="BM38" s="50">
        <v>94.44444444444444</v>
      </c>
      <c r="BN38" s="49">
        <v>36</v>
      </c>
    </row>
    <row r="39" spans="1:66" ht="15">
      <c r="A39" s="65" t="s">
        <v>268</v>
      </c>
      <c r="B39" s="65" t="s">
        <v>268</v>
      </c>
      <c r="C39" s="66"/>
      <c r="D39" s="67"/>
      <c r="E39" s="66"/>
      <c r="F39" s="69"/>
      <c r="G39" s="66"/>
      <c r="H39" s="70"/>
      <c r="I39" s="71"/>
      <c r="J39" s="71"/>
      <c r="K39" s="35" t="s">
        <v>65</v>
      </c>
      <c r="L39" s="72">
        <v>73</v>
      </c>
      <c r="M39" s="72"/>
      <c r="N39" s="73"/>
      <c r="O39" s="80" t="s">
        <v>197</v>
      </c>
      <c r="P39" s="82">
        <v>44222.35696759259</v>
      </c>
      <c r="Q39" s="80" t="s">
        <v>371</v>
      </c>
      <c r="R39" s="80"/>
      <c r="S39" s="80"/>
      <c r="T39" s="80" t="s">
        <v>450</v>
      </c>
      <c r="U39" s="84" t="str">
        <f>HYPERLINK("https://pbs.twimg.com/media/EspRuklU0AMbuIh.jpg")</f>
        <v>https://pbs.twimg.com/media/EspRuklU0AMbuIh.jpg</v>
      </c>
      <c r="V39" s="84" t="str">
        <f>HYPERLINK("https://pbs.twimg.com/media/EspRuklU0AMbuIh.jpg")</f>
        <v>https://pbs.twimg.com/media/EspRuklU0AMbuIh.jpg</v>
      </c>
      <c r="W39" s="82">
        <v>44222.35696759259</v>
      </c>
      <c r="X39" s="86">
        <v>44222</v>
      </c>
      <c r="Y39" s="88" t="s">
        <v>496</v>
      </c>
      <c r="Z39" s="84" t="str">
        <f>HYPERLINK("https://twitter.com/didacindia/status/1353984532081385472")</f>
        <v>https://twitter.com/didacindia/status/1353984532081385472</v>
      </c>
      <c r="AA39" s="80"/>
      <c r="AB39" s="80"/>
      <c r="AC39" s="88" t="s">
        <v>647</v>
      </c>
      <c r="AD39" s="80"/>
      <c r="AE39" s="80" t="b">
        <v>0</v>
      </c>
      <c r="AF39" s="80">
        <v>0</v>
      </c>
      <c r="AG39" s="88" t="s">
        <v>763</v>
      </c>
      <c r="AH39" s="80" t="b">
        <v>0</v>
      </c>
      <c r="AI39" s="80" t="s">
        <v>764</v>
      </c>
      <c r="AJ39" s="80"/>
      <c r="AK39" s="88" t="s">
        <v>763</v>
      </c>
      <c r="AL39" s="80" t="b">
        <v>0</v>
      </c>
      <c r="AM39" s="80">
        <v>0</v>
      </c>
      <c r="AN39" s="88" t="s">
        <v>763</v>
      </c>
      <c r="AO39" s="80" t="s">
        <v>768</v>
      </c>
      <c r="AP39" s="80" t="b">
        <v>0</v>
      </c>
      <c r="AQ39" s="88" t="s">
        <v>647</v>
      </c>
      <c r="AR39" s="80" t="s">
        <v>197</v>
      </c>
      <c r="AS39" s="80">
        <v>0</v>
      </c>
      <c r="AT39" s="80">
        <v>0</v>
      </c>
      <c r="AU39" s="80"/>
      <c r="AV39" s="80"/>
      <c r="AW39" s="80"/>
      <c r="AX39" s="80"/>
      <c r="AY39" s="80"/>
      <c r="AZ39" s="80"/>
      <c r="BA39" s="80"/>
      <c r="BB39" s="80"/>
      <c r="BC39">
        <v>3</v>
      </c>
      <c r="BD39" s="79" t="str">
        <f>REPLACE(INDEX(GroupVertices[Group],MATCH(Edges25[[#This Row],[Vertex 1]],GroupVertices[Vertex],0)),1,1,"")</f>
        <v>12</v>
      </c>
      <c r="BE39" s="79" t="str">
        <f>REPLACE(INDEX(GroupVertices[Group],MATCH(Edges25[[#This Row],[Vertex 2]],GroupVertices[Vertex],0)),1,1,"")</f>
        <v>12</v>
      </c>
      <c r="BF39" s="49">
        <v>2</v>
      </c>
      <c r="BG39" s="50">
        <v>5</v>
      </c>
      <c r="BH39" s="49">
        <v>0</v>
      </c>
      <c r="BI39" s="50">
        <v>0</v>
      </c>
      <c r="BJ39" s="49">
        <v>0</v>
      </c>
      <c r="BK39" s="50">
        <v>0</v>
      </c>
      <c r="BL39" s="49">
        <v>38</v>
      </c>
      <c r="BM39" s="50">
        <v>95</v>
      </c>
      <c r="BN39" s="49">
        <v>40</v>
      </c>
    </row>
    <row r="40" spans="1:66" ht="15">
      <c r="A40" s="65" t="s">
        <v>269</v>
      </c>
      <c r="B40" s="65" t="s">
        <v>284</v>
      </c>
      <c r="C40" s="66"/>
      <c r="D40" s="67"/>
      <c r="E40" s="66"/>
      <c r="F40" s="69"/>
      <c r="G40" s="66"/>
      <c r="H40" s="70"/>
      <c r="I40" s="71"/>
      <c r="J40" s="71"/>
      <c r="K40" s="35" t="s">
        <v>65</v>
      </c>
      <c r="L40" s="72">
        <v>74</v>
      </c>
      <c r="M40" s="72"/>
      <c r="N40" s="73"/>
      <c r="O40" s="80" t="s">
        <v>352</v>
      </c>
      <c r="P40" s="82">
        <v>44222.496458333335</v>
      </c>
      <c r="Q40" s="80" t="s">
        <v>364</v>
      </c>
      <c r="R40" s="84" t="str">
        <f>HYPERLINK("https://www.tiess.online/registration?utm_source=SM&amp;utm_medium=Raghavan&amp;utm_campaign=TIESS&amp;utm_term=023")</f>
        <v>https://www.tiess.online/registration?utm_source=SM&amp;utm_medium=Raghavan&amp;utm_campaign=TIESS&amp;utm_term=023</v>
      </c>
      <c r="S40" s="80" t="s">
        <v>444</v>
      </c>
      <c r="T40" s="80" t="s">
        <v>449</v>
      </c>
      <c r="U40" s="84" t="str">
        <f>HYPERLINK("https://pbs.twimg.com/media/EsWDr3BU4AAvApB.jpg")</f>
        <v>https://pbs.twimg.com/media/EsWDr3BU4AAvApB.jpg</v>
      </c>
      <c r="V40" s="84" t="str">
        <f>HYPERLINK("https://pbs.twimg.com/media/EsWDr3BU4AAvApB.jpg")</f>
        <v>https://pbs.twimg.com/media/EsWDr3BU4AAvApB.jpg</v>
      </c>
      <c r="W40" s="82">
        <v>44222.496458333335</v>
      </c>
      <c r="X40" s="86">
        <v>44222</v>
      </c>
      <c r="Y40" s="88" t="s">
        <v>497</v>
      </c>
      <c r="Z40" s="84" t="str">
        <f>HYPERLINK("https://twitter.com/kthiag2000/status/1354035081317281792")</f>
        <v>https://twitter.com/kthiag2000/status/1354035081317281792</v>
      </c>
      <c r="AA40" s="80"/>
      <c r="AB40" s="80"/>
      <c r="AC40" s="88" t="s">
        <v>648</v>
      </c>
      <c r="AD40" s="80"/>
      <c r="AE40" s="80" t="b">
        <v>0</v>
      </c>
      <c r="AF40" s="80">
        <v>0</v>
      </c>
      <c r="AG40" s="88" t="s">
        <v>763</v>
      </c>
      <c r="AH40" s="80" t="b">
        <v>0</v>
      </c>
      <c r="AI40" s="80" t="s">
        <v>764</v>
      </c>
      <c r="AJ40" s="80"/>
      <c r="AK40" s="88" t="s">
        <v>763</v>
      </c>
      <c r="AL40" s="80" t="b">
        <v>0</v>
      </c>
      <c r="AM40" s="80">
        <v>4</v>
      </c>
      <c r="AN40" s="88" t="s">
        <v>694</v>
      </c>
      <c r="AO40" s="80" t="s">
        <v>765</v>
      </c>
      <c r="AP40" s="80" t="b">
        <v>0</v>
      </c>
      <c r="AQ40" s="88" t="s">
        <v>694</v>
      </c>
      <c r="AR40" s="80" t="s">
        <v>197</v>
      </c>
      <c r="AS40" s="80">
        <v>0</v>
      </c>
      <c r="AT40" s="80">
        <v>0</v>
      </c>
      <c r="AU40" s="80"/>
      <c r="AV40" s="80"/>
      <c r="AW40" s="80"/>
      <c r="AX40" s="80"/>
      <c r="AY40" s="80"/>
      <c r="AZ40" s="80"/>
      <c r="BA40" s="80"/>
      <c r="BB40" s="80"/>
      <c r="BC40">
        <v>1</v>
      </c>
      <c r="BD40" s="79" t="str">
        <f>REPLACE(INDEX(GroupVertices[Group],MATCH(Edges25[[#This Row],[Vertex 1]],GroupVertices[Vertex],0)),1,1,"")</f>
        <v>1</v>
      </c>
      <c r="BE40" s="79" t="str">
        <f>REPLACE(INDEX(GroupVertices[Group],MATCH(Edges25[[#This Row],[Vertex 2]],GroupVertices[Vertex],0)),1,1,"")</f>
        <v>1</v>
      </c>
      <c r="BF40" s="49"/>
      <c r="BG40" s="50"/>
      <c r="BH40" s="49"/>
      <c r="BI40" s="50"/>
      <c r="BJ40" s="49"/>
      <c r="BK40" s="50"/>
      <c r="BL40" s="49"/>
      <c r="BM40" s="50"/>
      <c r="BN40" s="49"/>
    </row>
    <row r="41" spans="1:66" ht="15">
      <c r="A41" s="65" t="s">
        <v>270</v>
      </c>
      <c r="B41" s="65" t="s">
        <v>277</v>
      </c>
      <c r="C41" s="66"/>
      <c r="D41" s="67"/>
      <c r="E41" s="66"/>
      <c r="F41" s="69"/>
      <c r="G41" s="66"/>
      <c r="H41" s="70"/>
      <c r="I41" s="71"/>
      <c r="J41" s="71"/>
      <c r="K41" s="35" t="s">
        <v>65</v>
      </c>
      <c r="L41" s="72">
        <v>76</v>
      </c>
      <c r="M41" s="72"/>
      <c r="N41" s="73"/>
      <c r="O41" s="80" t="s">
        <v>352</v>
      </c>
      <c r="P41" s="82">
        <v>44222.51630787037</v>
      </c>
      <c r="Q41" s="80" t="s">
        <v>372</v>
      </c>
      <c r="R41" s="84" t="str">
        <f>HYPERLINK("https://www.tiess.online/registration?utm_source=SM&amp;utm_medium=Akyeampong&amp;utm_campaign=TIESS&amp;utm_term=031")</f>
        <v>https://www.tiess.online/registration?utm_source=SM&amp;utm_medium=Akyeampong&amp;utm_campaign=TIESS&amp;utm_term=031</v>
      </c>
      <c r="S41" s="80" t="s">
        <v>444</v>
      </c>
      <c r="T41" s="80" t="s">
        <v>450</v>
      </c>
      <c r="U41" s="84" t="str">
        <f>HYPERLINK("https://pbs.twimg.com/media/EsOz7HPUwAI5v7t.jpg")</f>
        <v>https://pbs.twimg.com/media/EsOz7HPUwAI5v7t.jpg</v>
      </c>
      <c r="V41" s="84" t="str">
        <f>HYPERLINK("https://pbs.twimg.com/media/EsOz7HPUwAI5v7t.jpg")</f>
        <v>https://pbs.twimg.com/media/EsOz7HPUwAI5v7t.jpg</v>
      </c>
      <c r="W41" s="82">
        <v>44222.51630787037</v>
      </c>
      <c r="X41" s="86">
        <v>44222</v>
      </c>
      <c r="Y41" s="88" t="s">
        <v>498</v>
      </c>
      <c r="Z41" s="84" t="str">
        <f>HYPERLINK("https://twitter.com/emuvunyi1/status/1354042273831542786")</f>
        <v>https://twitter.com/emuvunyi1/status/1354042273831542786</v>
      </c>
      <c r="AA41" s="80"/>
      <c r="AB41" s="80"/>
      <c r="AC41" s="88" t="s">
        <v>649</v>
      </c>
      <c r="AD41" s="80"/>
      <c r="AE41" s="80" t="b">
        <v>0</v>
      </c>
      <c r="AF41" s="80">
        <v>0</v>
      </c>
      <c r="AG41" s="88" t="s">
        <v>763</v>
      </c>
      <c r="AH41" s="80" t="b">
        <v>0</v>
      </c>
      <c r="AI41" s="80" t="s">
        <v>764</v>
      </c>
      <c r="AJ41" s="80"/>
      <c r="AK41" s="88" t="s">
        <v>763</v>
      </c>
      <c r="AL41" s="80" t="b">
        <v>0</v>
      </c>
      <c r="AM41" s="80">
        <v>2</v>
      </c>
      <c r="AN41" s="88" t="s">
        <v>663</v>
      </c>
      <c r="AO41" s="80" t="s">
        <v>766</v>
      </c>
      <c r="AP41" s="80" t="b">
        <v>0</v>
      </c>
      <c r="AQ41" s="88" t="s">
        <v>663</v>
      </c>
      <c r="AR41" s="80" t="s">
        <v>197</v>
      </c>
      <c r="AS41" s="80">
        <v>0</v>
      </c>
      <c r="AT41" s="80">
        <v>0</v>
      </c>
      <c r="AU41" s="80"/>
      <c r="AV41" s="80"/>
      <c r="AW41" s="80"/>
      <c r="AX41" s="80"/>
      <c r="AY41" s="80"/>
      <c r="AZ41" s="80"/>
      <c r="BA41" s="80"/>
      <c r="BB41" s="80"/>
      <c r="BC41">
        <v>1</v>
      </c>
      <c r="BD41" s="79" t="str">
        <f>REPLACE(INDEX(GroupVertices[Group],MATCH(Edges25[[#This Row],[Vertex 1]],GroupVertices[Vertex],0)),1,1,"")</f>
        <v>1</v>
      </c>
      <c r="BE41" s="79" t="str">
        <f>REPLACE(INDEX(GroupVertices[Group],MATCH(Edges25[[#This Row],[Vertex 2]],GroupVertices[Vertex],0)),1,1,"")</f>
        <v>1</v>
      </c>
      <c r="BF41" s="49">
        <v>1</v>
      </c>
      <c r="BG41" s="50">
        <v>3.7037037037037037</v>
      </c>
      <c r="BH41" s="49">
        <v>0</v>
      </c>
      <c r="BI41" s="50">
        <v>0</v>
      </c>
      <c r="BJ41" s="49">
        <v>0</v>
      </c>
      <c r="BK41" s="50">
        <v>0</v>
      </c>
      <c r="BL41" s="49">
        <v>26</v>
      </c>
      <c r="BM41" s="50">
        <v>96.29629629629629</v>
      </c>
      <c r="BN41" s="49">
        <v>27</v>
      </c>
    </row>
    <row r="42" spans="1:66" ht="15">
      <c r="A42" s="65" t="s">
        <v>271</v>
      </c>
      <c r="B42" s="65" t="s">
        <v>313</v>
      </c>
      <c r="C42" s="66"/>
      <c r="D42" s="67"/>
      <c r="E42" s="66"/>
      <c r="F42" s="69"/>
      <c r="G42" s="66"/>
      <c r="H42" s="70"/>
      <c r="I42" s="71"/>
      <c r="J42" s="71"/>
      <c r="K42" s="35" t="s">
        <v>65</v>
      </c>
      <c r="L42" s="72">
        <v>78</v>
      </c>
      <c r="M42" s="72"/>
      <c r="N42" s="73"/>
      <c r="O42" s="80" t="s">
        <v>353</v>
      </c>
      <c r="P42" s="82">
        <v>44215.482094907406</v>
      </c>
      <c r="Q42" s="80" t="s">
        <v>373</v>
      </c>
      <c r="R42" s="84" t="str">
        <f>HYPERLINK("https://www.tiess.online/registration?utm_source=SM&amp;utm_medium=Mwai&amp;utm_campaign=TIESS&amp;utm_term=014")</f>
        <v>https://www.tiess.online/registration?utm_source=SM&amp;utm_medium=Mwai&amp;utm_campaign=TIESS&amp;utm_term=014</v>
      </c>
      <c r="S42" s="80" t="s">
        <v>444</v>
      </c>
      <c r="T42" s="80" t="s">
        <v>450</v>
      </c>
      <c r="U42" s="84" t="str">
        <f>HYPERLINK("https://pbs.twimg.com/media/EsF3zC7UYAIGSLq.jpg")</f>
        <v>https://pbs.twimg.com/media/EsF3zC7UYAIGSLq.jpg</v>
      </c>
      <c r="V42" s="84" t="str">
        <f>HYPERLINK("https://pbs.twimg.com/media/EsF3zC7UYAIGSLq.jpg")</f>
        <v>https://pbs.twimg.com/media/EsF3zC7UYAIGSLq.jpg</v>
      </c>
      <c r="W42" s="82">
        <v>44215.482094907406</v>
      </c>
      <c r="X42" s="86">
        <v>44215</v>
      </c>
      <c r="Y42" s="88" t="s">
        <v>499</v>
      </c>
      <c r="Z42" s="84" t="str">
        <f>HYPERLINK("https://twitter.com/indiadidac/status/1351493161688866816")</f>
        <v>https://twitter.com/indiadidac/status/1351493161688866816</v>
      </c>
      <c r="AA42" s="80"/>
      <c r="AB42" s="80"/>
      <c r="AC42" s="88" t="s">
        <v>650</v>
      </c>
      <c r="AD42" s="80"/>
      <c r="AE42" s="80" t="b">
        <v>0</v>
      </c>
      <c r="AF42" s="80">
        <v>3</v>
      </c>
      <c r="AG42" s="88" t="s">
        <v>763</v>
      </c>
      <c r="AH42" s="80" t="b">
        <v>0</v>
      </c>
      <c r="AI42" s="80" t="s">
        <v>764</v>
      </c>
      <c r="AJ42" s="80"/>
      <c r="AK42" s="88" t="s">
        <v>763</v>
      </c>
      <c r="AL42" s="80" t="b">
        <v>0</v>
      </c>
      <c r="AM42" s="80">
        <v>0</v>
      </c>
      <c r="AN42" s="88" t="s">
        <v>763</v>
      </c>
      <c r="AO42" s="80" t="s">
        <v>765</v>
      </c>
      <c r="AP42" s="80" t="b">
        <v>0</v>
      </c>
      <c r="AQ42" s="88" t="s">
        <v>650</v>
      </c>
      <c r="AR42" s="80" t="s">
        <v>197</v>
      </c>
      <c r="AS42" s="80">
        <v>0</v>
      </c>
      <c r="AT42" s="80">
        <v>0</v>
      </c>
      <c r="AU42" s="80"/>
      <c r="AV42" s="80"/>
      <c r="AW42" s="80"/>
      <c r="AX42" s="80"/>
      <c r="AY42" s="80"/>
      <c r="AZ42" s="80"/>
      <c r="BA42" s="80"/>
      <c r="BB42" s="80"/>
      <c r="BC42">
        <v>1</v>
      </c>
      <c r="BD42" s="79" t="str">
        <f>REPLACE(INDEX(GroupVertices[Group],MATCH(Edges25[[#This Row],[Vertex 1]],GroupVertices[Vertex],0)),1,1,"")</f>
        <v>1</v>
      </c>
      <c r="BE42" s="79" t="str">
        <f>REPLACE(INDEX(GroupVertices[Group],MATCH(Edges25[[#This Row],[Vertex 2]],GroupVertices[Vertex],0)),1,1,"")</f>
        <v>1</v>
      </c>
      <c r="BF42" s="49">
        <v>0</v>
      </c>
      <c r="BG42" s="50">
        <v>0</v>
      </c>
      <c r="BH42" s="49">
        <v>1</v>
      </c>
      <c r="BI42" s="50">
        <v>3.0303030303030303</v>
      </c>
      <c r="BJ42" s="49">
        <v>0</v>
      </c>
      <c r="BK42" s="50">
        <v>0</v>
      </c>
      <c r="BL42" s="49">
        <v>32</v>
      </c>
      <c r="BM42" s="50">
        <v>96.96969696969697</v>
      </c>
      <c r="BN42" s="49">
        <v>33</v>
      </c>
    </row>
    <row r="43" spans="1:66" ht="15">
      <c r="A43" s="65" t="s">
        <v>272</v>
      </c>
      <c r="B43" s="65" t="s">
        <v>273</v>
      </c>
      <c r="C43" s="66"/>
      <c r="D43" s="67"/>
      <c r="E43" s="66"/>
      <c r="F43" s="69"/>
      <c r="G43" s="66"/>
      <c r="H43" s="70"/>
      <c r="I43" s="71"/>
      <c r="J43" s="71"/>
      <c r="K43" s="35" t="s">
        <v>65</v>
      </c>
      <c r="L43" s="72">
        <v>79</v>
      </c>
      <c r="M43" s="72"/>
      <c r="N43" s="73"/>
      <c r="O43" s="80" t="s">
        <v>352</v>
      </c>
      <c r="P43" s="82">
        <v>44215.55039351852</v>
      </c>
      <c r="Q43" s="80" t="s">
        <v>355</v>
      </c>
      <c r="R43" s="84" t="str">
        <f>HYPERLINK("https://www.tiess.online/registration?utm_source=SM&amp;utm_medium=Andreas&amp;utm_campaign=TIESS&amp;utm_term=008")</f>
        <v>https://www.tiess.online/registration?utm_source=SM&amp;utm_medium=Andreas&amp;utm_campaign=TIESS&amp;utm_term=008</v>
      </c>
      <c r="S43" s="80" t="s">
        <v>444</v>
      </c>
      <c r="T43" s="80" t="s">
        <v>450</v>
      </c>
      <c r="U43" s="84" t="str">
        <f>HYPERLINK("https://pbs.twimg.com/media/EsF5NK-VcAAprHt.jpg")</f>
        <v>https://pbs.twimg.com/media/EsF5NK-VcAAprHt.jpg</v>
      </c>
      <c r="V43" s="84" t="str">
        <f>HYPERLINK("https://pbs.twimg.com/media/EsF5NK-VcAAprHt.jpg")</f>
        <v>https://pbs.twimg.com/media/EsF5NK-VcAAprHt.jpg</v>
      </c>
      <c r="W43" s="82">
        <v>44215.55039351852</v>
      </c>
      <c r="X43" s="86">
        <v>44215</v>
      </c>
      <c r="Y43" s="88" t="s">
        <v>500</v>
      </c>
      <c r="Z43" s="84" t="str">
        <f>HYPERLINK("https://twitter.com/schleicheroecd/status/1351517909080805376")</f>
        <v>https://twitter.com/schleicheroecd/status/1351517909080805376</v>
      </c>
      <c r="AA43" s="80"/>
      <c r="AB43" s="80"/>
      <c r="AC43" s="88" t="s">
        <v>651</v>
      </c>
      <c r="AD43" s="80"/>
      <c r="AE43" s="80" t="b">
        <v>0</v>
      </c>
      <c r="AF43" s="80">
        <v>0</v>
      </c>
      <c r="AG43" s="88" t="s">
        <v>763</v>
      </c>
      <c r="AH43" s="80" t="b">
        <v>0</v>
      </c>
      <c r="AI43" s="80" t="s">
        <v>764</v>
      </c>
      <c r="AJ43" s="80"/>
      <c r="AK43" s="88" t="s">
        <v>763</v>
      </c>
      <c r="AL43" s="80" t="b">
        <v>0</v>
      </c>
      <c r="AM43" s="80">
        <v>3</v>
      </c>
      <c r="AN43" s="88" t="s">
        <v>653</v>
      </c>
      <c r="AO43" s="80" t="s">
        <v>765</v>
      </c>
      <c r="AP43" s="80" t="b">
        <v>0</v>
      </c>
      <c r="AQ43" s="88" t="s">
        <v>653</v>
      </c>
      <c r="AR43" s="80" t="s">
        <v>197</v>
      </c>
      <c r="AS43" s="80">
        <v>0</v>
      </c>
      <c r="AT43" s="80">
        <v>0</v>
      </c>
      <c r="AU43" s="80"/>
      <c r="AV43" s="80"/>
      <c r="AW43" s="80"/>
      <c r="AX43" s="80"/>
      <c r="AY43" s="80"/>
      <c r="AZ43" s="80"/>
      <c r="BA43" s="80"/>
      <c r="BB43" s="80"/>
      <c r="BC43">
        <v>1</v>
      </c>
      <c r="BD43" s="79" t="str">
        <f>REPLACE(INDEX(GroupVertices[Group],MATCH(Edges25[[#This Row],[Vertex 1]],GroupVertices[Vertex],0)),1,1,"")</f>
        <v>3</v>
      </c>
      <c r="BE43" s="79" t="str">
        <f>REPLACE(INDEX(GroupVertices[Group],MATCH(Edges25[[#This Row],[Vertex 2]],GroupVertices[Vertex],0)),1,1,"")</f>
        <v>3</v>
      </c>
      <c r="BF43" s="49"/>
      <c r="BG43" s="50"/>
      <c r="BH43" s="49"/>
      <c r="BI43" s="50"/>
      <c r="BJ43" s="49"/>
      <c r="BK43" s="50"/>
      <c r="BL43" s="49"/>
      <c r="BM43" s="50"/>
      <c r="BN43" s="49"/>
    </row>
    <row r="44" spans="1:66" ht="15">
      <c r="A44" s="65" t="s">
        <v>273</v>
      </c>
      <c r="B44" s="65" t="s">
        <v>306</v>
      </c>
      <c r="C44" s="66"/>
      <c r="D44" s="67"/>
      <c r="E44" s="66"/>
      <c r="F44" s="69"/>
      <c r="G44" s="66"/>
      <c r="H44" s="70"/>
      <c r="I44" s="71"/>
      <c r="J44" s="71"/>
      <c r="K44" s="35" t="s">
        <v>65</v>
      </c>
      <c r="L44" s="72">
        <v>80</v>
      </c>
      <c r="M44" s="72"/>
      <c r="N44" s="73"/>
      <c r="O44" s="80" t="s">
        <v>352</v>
      </c>
      <c r="P44" s="82">
        <v>44218.38862268518</v>
      </c>
      <c r="Q44" s="80" t="s">
        <v>360</v>
      </c>
      <c r="R44" s="84" t="str">
        <f>HYPERLINK("https://www.tiess.online/registration?utm_source=SM&amp;utm_medium=Vincent&amp;utm_campaign=TIESS&amp;utm_term=018")</f>
        <v>https://www.tiess.online/registration?utm_source=SM&amp;utm_medium=Vincent&amp;utm_campaign=TIESS&amp;utm_term=018</v>
      </c>
      <c r="S44" s="80" t="s">
        <v>444</v>
      </c>
      <c r="T44" s="80" t="s">
        <v>450</v>
      </c>
      <c r="U44" s="84" t="str">
        <f>HYPERLINK("https://pbs.twimg.com/media/EsK26ZcVcAEapSV.jpg")</f>
        <v>https://pbs.twimg.com/media/EsK26ZcVcAEapSV.jpg</v>
      </c>
      <c r="V44" s="84" t="str">
        <f>HYPERLINK("https://pbs.twimg.com/media/EsK26ZcVcAEapSV.jpg")</f>
        <v>https://pbs.twimg.com/media/EsK26ZcVcAEapSV.jpg</v>
      </c>
      <c r="W44" s="82">
        <v>44218.38862268518</v>
      </c>
      <c r="X44" s="86">
        <v>44218</v>
      </c>
      <c r="Y44" s="88" t="s">
        <v>501</v>
      </c>
      <c r="Z44" s="84" t="str">
        <f>HYPERLINK("https://twitter.com/oecdeduskills/status/1352546450945748994")</f>
        <v>https://twitter.com/oecdeduskills/status/1352546450945748994</v>
      </c>
      <c r="AA44" s="80"/>
      <c r="AB44" s="80"/>
      <c r="AC44" s="88" t="s">
        <v>652</v>
      </c>
      <c r="AD44" s="80"/>
      <c r="AE44" s="80" t="b">
        <v>0</v>
      </c>
      <c r="AF44" s="80">
        <v>0</v>
      </c>
      <c r="AG44" s="88" t="s">
        <v>763</v>
      </c>
      <c r="AH44" s="80" t="b">
        <v>0</v>
      </c>
      <c r="AI44" s="80" t="s">
        <v>764</v>
      </c>
      <c r="AJ44" s="80"/>
      <c r="AK44" s="88" t="s">
        <v>763</v>
      </c>
      <c r="AL44" s="80" t="b">
        <v>0</v>
      </c>
      <c r="AM44" s="80">
        <v>3</v>
      </c>
      <c r="AN44" s="88" t="s">
        <v>655</v>
      </c>
      <c r="AO44" s="80" t="s">
        <v>765</v>
      </c>
      <c r="AP44" s="80" t="b">
        <v>0</v>
      </c>
      <c r="AQ44" s="88" t="s">
        <v>655</v>
      </c>
      <c r="AR44" s="80" t="s">
        <v>197</v>
      </c>
      <c r="AS44" s="80">
        <v>0</v>
      </c>
      <c r="AT44" s="80">
        <v>0</v>
      </c>
      <c r="AU44" s="80"/>
      <c r="AV44" s="80"/>
      <c r="AW44" s="80"/>
      <c r="AX44" s="80"/>
      <c r="AY44" s="80"/>
      <c r="AZ44" s="80"/>
      <c r="BA44" s="80"/>
      <c r="BB44" s="80"/>
      <c r="BC44">
        <v>1</v>
      </c>
      <c r="BD44" s="79" t="str">
        <f>REPLACE(INDEX(GroupVertices[Group],MATCH(Edges25[[#This Row],[Vertex 1]],GroupVertices[Vertex],0)),1,1,"")</f>
        <v>3</v>
      </c>
      <c r="BE44" s="79" t="str">
        <f>REPLACE(INDEX(GroupVertices[Group],MATCH(Edges25[[#This Row],[Vertex 2]],GroupVertices[Vertex],0)),1,1,"")</f>
        <v>3</v>
      </c>
      <c r="BF44" s="49">
        <v>0</v>
      </c>
      <c r="BG44" s="50">
        <v>0</v>
      </c>
      <c r="BH44" s="49">
        <v>0</v>
      </c>
      <c r="BI44" s="50">
        <v>0</v>
      </c>
      <c r="BJ44" s="49">
        <v>0</v>
      </c>
      <c r="BK44" s="50">
        <v>0</v>
      </c>
      <c r="BL44" s="49">
        <v>30</v>
      </c>
      <c r="BM44" s="50">
        <v>100</v>
      </c>
      <c r="BN44" s="49">
        <v>30</v>
      </c>
    </row>
    <row r="45" spans="1:66" ht="15">
      <c r="A45" s="65" t="s">
        <v>271</v>
      </c>
      <c r="B45" s="65" t="s">
        <v>273</v>
      </c>
      <c r="C45" s="66"/>
      <c r="D45" s="67"/>
      <c r="E45" s="66"/>
      <c r="F45" s="69"/>
      <c r="G45" s="66"/>
      <c r="H45" s="70"/>
      <c r="I45" s="71"/>
      <c r="J45" s="71"/>
      <c r="K45" s="35" t="s">
        <v>66</v>
      </c>
      <c r="L45" s="72">
        <v>82</v>
      </c>
      <c r="M45" s="72"/>
      <c r="N45" s="73"/>
      <c r="O45" s="80" t="s">
        <v>353</v>
      </c>
      <c r="P45" s="82">
        <v>44215.48619212963</v>
      </c>
      <c r="Q45" s="80" t="s">
        <v>355</v>
      </c>
      <c r="R45" s="84" t="str">
        <f>HYPERLINK("https://www.tiess.online/registration?utm_source=SM&amp;utm_medium=Andreas&amp;utm_campaign=TIESS&amp;utm_term=008")</f>
        <v>https://www.tiess.online/registration?utm_source=SM&amp;utm_medium=Andreas&amp;utm_campaign=TIESS&amp;utm_term=008</v>
      </c>
      <c r="S45" s="80" t="s">
        <v>444</v>
      </c>
      <c r="T45" s="80" t="s">
        <v>450</v>
      </c>
      <c r="U45" s="84" t="str">
        <f>HYPERLINK("https://pbs.twimg.com/media/EsF5NK-VcAAprHt.jpg")</f>
        <v>https://pbs.twimg.com/media/EsF5NK-VcAAprHt.jpg</v>
      </c>
      <c r="V45" s="84" t="str">
        <f>HYPERLINK("https://pbs.twimg.com/media/EsF5NK-VcAAprHt.jpg")</f>
        <v>https://pbs.twimg.com/media/EsF5NK-VcAAprHt.jpg</v>
      </c>
      <c r="W45" s="82">
        <v>44215.48619212963</v>
      </c>
      <c r="X45" s="86">
        <v>44215</v>
      </c>
      <c r="Y45" s="88" t="s">
        <v>502</v>
      </c>
      <c r="Z45" s="84" t="str">
        <f>HYPERLINK("https://twitter.com/indiadidac/status/1351494643142201344")</f>
        <v>https://twitter.com/indiadidac/status/1351494643142201344</v>
      </c>
      <c r="AA45" s="80"/>
      <c r="AB45" s="80"/>
      <c r="AC45" s="88" t="s">
        <v>653</v>
      </c>
      <c r="AD45" s="80"/>
      <c r="AE45" s="80" t="b">
        <v>0</v>
      </c>
      <c r="AF45" s="80">
        <v>10</v>
      </c>
      <c r="AG45" s="88" t="s">
        <v>763</v>
      </c>
      <c r="AH45" s="80" t="b">
        <v>0</v>
      </c>
      <c r="AI45" s="80" t="s">
        <v>764</v>
      </c>
      <c r="AJ45" s="80"/>
      <c r="AK45" s="88" t="s">
        <v>763</v>
      </c>
      <c r="AL45" s="80" t="b">
        <v>0</v>
      </c>
      <c r="AM45" s="80">
        <v>3</v>
      </c>
      <c r="AN45" s="88" t="s">
        <v>763</v>
      </c>
      <c r="AO45" s="80" t="s">
        <v>765</v>
      </c>
      <c r="AP45" s="80" t="b">
        <v>0</v>
      </c>
      <c r="AQ45" s="88" t="s">
        <v>653</v>
      </c>
      <c r="AR45" s="80" t="s">
        <v>197</v>
      </c>
      <c r="AS45" s="80">
        <v>0</v>
      </c>
      <c r="AT45" s="80">
        <v>0</v>
      </c>
      <c r="AU45" s="80"/>
      <c r="AV45" s="80"/>
      <c r="AW45" s="80"/>
      <c r="AX45" s="80"/>
      <c r="AY45" s="80"/>
      <c r="AZ45" s="80"/>
      <c r="BA45" s="80"/>
      <c r="BB45" s="80"/>
      <c r="BC45">
        <v>1</v>
      </c>
      <c r="BD45" s="79" t="str">
        <f>REPLACE(INDEX(GroupVertices[Group],MATCH(Edges25[[#This Row],[Vertex 1]],GroupVertices[Vertex],0)),1,1,"")</f>
        <v>1</v>
      </c>
      <c r="BE45" s="79" t="str">
        <f>REPLACE(INDEX(GroupVertices[Group],MATCH(Edges25[[#This Row],[Vertex 2]],GroupVertices[Vertex],0)),1,1,"")</f>
        <v>3</v>
      </c>
      <c r="BF45" s="49"/>
      <c r="BG45" s="50"/>
      <c r="BH45" s="49"/>
      <c r="BI45" s="50"/>
      <c r="BJ45" s="49"/>
      <c r="BK45" s="50"/>
      <c r="BL45" s="49"/>
      <c r="BM45" s="50"/>
      <c r="BN45" s="49"/>
    </row>
    <row r="46" spans="1:66" ht="15">
      <c r="A46" s="65" t="s">
        <v>274</v>
      </c>
      <c r="B46" s="65" t="s">
        <v>306</v>
      </c>
      <c r="C46" s="66"/>
      <c r="D46" s="67"/>
      <c r="E46" s="66"/>
      <c r="F46" s="69"/>
      <c r="G46" s="66"/>
      <c r="H46" s="70"/>
      <c r="I46" s="71"/>
      <c r="J46" s="71"/>
      <c r="K46" s="35" t="s">
        <v>65</v>
      </c>
      <c r="L46" s="72">
        <v>85</v>
      </c>
      <c r="M46" s="72"/>
      <c r="N46" s="73"/>
      <c r="O46" s="80" t="s">
        <v>352</v>
      </c>
      <c r="P46" s="82">
        <v>44216.48809027778</v>
      </c>
      <c r="Q46" s="80" t="s">
        <v>360</v>
      </c>
      <c r="R46" s="84" t="str">
        <f>HYPERLINK("https://www.tiess.online/registration?utm_source=SM&amp;utm_medium=Vincent&amp;utm_campaign=TIESS&amp;utm_term=018")</f>
        <v>https://www.tiess.online/registration?utm_source=SM&amp;utm_medium=Vincent&amp;utm_campaign=TIESS&amp;utm_term=018</v>
      </c>
      <c r="S46" s="80" t="s">
        <v>444</v>
      </c>
      <c r="T46" s="80" t="s">
        <v>450</v>
      </c>
      <c r="U46" s="84" t="str">
        <f>HYPERLINK("https://pbs.twimg.com/media/EsK26ZcVcAEapSV.jpg")</f>
        <v>https://pbs.twimg.com/media/EsK26ZcVcAEapSV.jpg</v>
      </c>
      <c r="V46" s="84" t="str">
        <f>HYPERLINK("https://pbs.twimg.com/media/EsK26ZcVcAEapSV.jpg")</f>
        <v>https://pbs.twimg.com/media/EsK26ZcVcAEapSV.jpg</v>
      </c>
      <c r="W46" s="82">
        <v>44216.48809027778</v>
      </c>
      <c r="X46" s="86">
        <v>44216</v>
      </c>
      <c r="Y46" s="88" t="s">
        <v>503</v>
      </c>
      <c r="Z46" s="84" t="str">
        <f>HYPERLINK("https://twitter.com/gavindk/status/1351857720375320576")</f>
        <v>https://twitter.com/gavindk/status/1351857720375320576</v>
      </c>
      <c r="AA46" s="80"/>
      <c r="AB46" s="80"/>
      <c r="AC46" s="88" t="s">
        <v>654</v>
      </c>
      <c r="AD46" s="80"/>
      <c r="AE46" s="80" t="b">
        <v>0</v>
      </c>
      <c r="AF46" s="80">
        <v>0</v>
      </c>
      <c r="AG46" s="88" t="s">
        <v>763</v>
      </c>
      <c r="AH46" s="80" t="b">
        <v>0</v>
      </c>
      <c r="AI46" s="80" t="s">
        <v>764</v>
      </c>
      <c r="AJ46" s="80"/>
      <c r="AK46" s="88" t="s">
        <v>763</v>
      </c>
      <c r="AL46" s="80" t="b">
        <v>0</v>
      </c>
      <c r="AM46" s="80">
        <v>3</v>
      </c>
      <c r="AN46" s="88" t="s">
        <v>655</v>
      </c>
      <c r="AO46" s="80" t="s">
        <v>765</v>
      </c>
      <c r="AP46" s="80" t="b">
        <v>0</v>
      </c>
      <c r="AQ46" s="88" t="s">
        <v>655</v>
      </c>
      <c r="AR46" s="80" t="s">
        <v>197</v>
      </c>
      <c r="AS46" s="80">
        <v>0</v>
      </c>
      <c r="AT46" s="80">
        <v>0</v>
      </c>
      <c r="AU46" s="80"/>
      <c r="AV46" s="80"/>
      <c r="AW46" s="80"/>
      <c r="AX46" s="80"/>
      <c r="AY46" s="80"/>
      <c r="AZ46" s="80"/>
      <c r="BA46" s="80"/>
      <c r="BB46" s="80"/>
      <c r="BC46">
        <v>1</v>
      </c>
      <c r="BD46" s="79" t="str">
        <f>REPLACE(INDEX(GroupVertices[Group],MATCH(Edges25[[#This Row],[Vertex 1]],GroupVertices[Vertex],0)),1,1,"")</f>
        <v>3</v>
      </c>
      <c r="BE46" s="79" t="str">
        <f>REPLACE(INDEX(GroupVertices[Group],MATCH(Edges25[[#This Row],[Vertex 2]],GroupVertices[Vertex],0)),1,1,"")</f>
        <v>3</v>
      </c>
      <c r="BF46" s="49"/>
      <c r="BG46" s="50"/>
      <c r="BH46" s="49"/>
      <c r="BI46" s="50"/>
      <c r="BJ46" s="49"/>
      <c r="BK46" s="50"/>
      <c r="BL46" s="49"/>
      <c r="BM46" s="50"/>
      <c r="BN46" s="49"/>
    </row>
    <row r="47" spans="1:66" ht="15">
      <c r="A47" s="65" t="s">
        <v>271</v>
      </c>
      <c r="B47" s="65" t="s">
        <v>306</v>
      </c>
      <c r="C47" s="66"/>
      <c r="D47" s="67"/>
      <c r="E47" s="66"/>
      <c r="F47" s="69"/>
      <c r="G47" s="66"/>
      <c r="H47" s="70"/>
      <c r="I47" s="71"/>
      <c r="J47" s="71"/>
      <c r="K47" s="35" t="s">
        <v>65</v>
      </c>
      <c r="L47" s="72">
        <v>86</v>
      </c>
      <c r="M47" s="72"/>
      <c r="N47" s="73"/>
      <c r="O47" s="80" t="s">
        <v>353</v>
      </c>
      <c r="P47" s="82">
        <v>44216.45216435185</v>
      </c>
      <c r="Q47" s="80" t="s">
        <v>360</v>
      </c>
      <c r="R47" s="84" t="str">
        <f>HYPERLINK("https://www.tiess.online/registration?utm_source=SM&amp;utm_medium=Vincent&amp;utm_campaign=TIESS&amp;utm_term=018")</f>
        <v>https://www.tiess.online/registration?utm_source=SM&amp;utm_medium=Vincent&amp;utm_campaign=TIESS&amp;utm_term=018</v>
      </c>
      <c r="S47" s="80" t="s">
        <v>444</v>
      </c>
      <c r="T47" s="80" t="s">
        <v>450</v>
      </c>
      <c r="U47" s="84" t="str">
        <f>HYPERLINK("https://pbs.twimg.com/media/EsK26ZcVcAEapSV.jpg")</f>
        <v>https://pbs.twimg.com/media/EsK26ZcVcAEapSV.jpg</v>
      </c>
      <c r="V47" s="84" t="str">
        <f>HYPERLINK("https://pbs.twimg.com/media/EsK26ZcVcAEapSV.jpg")</f>
        <v>https://pbs.twimg.com/media/EsK26ZcVcAEapSV.jpg</v>
      </c>
      <c r="W47" s="82">
        <v>44216.45216435185</v>
      </c>
      <c r="X47" s="86">
        <v>44216</v>
      </c>
      <c r="Y47" s="88" t="s">
        <v>504</v>
      </c>
      <c r="Z47" s="84" t="str">
        <f>HYPERLINK("https://twitter.com/indiadidac/status/1351844702404833282")</f>
        <v>https://twitter.com/indiadidac/status/1351844702404833282</v>
      </c>
      <c r="AA47" s="80"/>
      <c r="AB47" s="80"/>
      <c r="AC47" s="88" t="s">
        <v>655</v>
      </c>
      <c r="AD47" s="80"/>
      <c r="AE47" s="80" t="b">
        <v>0</v>
      </c>
      <c r="AF47" s="80">
        <v>5</v>
      </c>
      <c r="AG47" s="88" t="s">
        <v>763</v>
      </c>
      <c r="AH47" s="80" t="b">
        <v>0</v>
      </c>
      <c r="AI47" s="80" t="s">
        <v>764</v>
      </c>
      <c r="AJ47" s="80"/>
      <c r="AK47" s="88" t="s">
        <v>763</v>
      </c>
      <c r="AL47" s="80" t="b">
        <v>0</v>
      </c>
      <c r="AM47" s="80">
        <v>3</v>
      </c>
      <c r="AN47" s="88" t="s">
        <v>763</v>
      </c>
      <c r="AO47" s="80" t="s">
        <v>765</v>
      </c>
      <c r="AP47" s="80" t="b">
        <v>0</v>
      </c>
      <c r="AQ47" s="88" t="s">
        <v>655</v>
      </c>
      <c r="AR47" s="80" t="s">
        <v>197</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3</v>
      </c>
      <c r="BF47" s="49">
        <v>0</v>
      </c>
      <c r="BG47" s="50">
        <v>0</v>
      </c>
      <c r="BH47" s="49">
        <v>0</v>
      </c>
      <c r="BI47" s="50">
        <v>0</v>
      </c>
      <c r="BJ47" s="49">
        <v>0</v>
      </c>
      <c r="BK47" s="50">
        <v>0</v>
      </c>
      <c r="BL47" s="49">
        <v>30</v>
      </c>
      <c r="BM47" s="50">
        <v>100</v>
      </c>
      <c r="BN47" s="49">
        <v>30</v>
      </c>
    </row>
    <row r="48" spans="1:66" ht="15">
      <c r="A48" s="65" t="s">
        <v>271</v>
      </c>
      <c r="B48" s="65" t="s">
        <v>314</v>
      </c>
      <c r="C48" s="66"/>
      <c r="D48" s="67"/>
      <c r="E48" s="66"/>
      <c r="F48" s="69"/>
      <c r="G48" s="66"/>
      <c r="H48" s="70"/>
      <c r="I48" s="71"/>
      <c r="J48" s="71"/>
      <c r="K48" s="35" t="s">
        <v>65</v>
      </c>
      <c r="L48" s="72">
        <v>87</v>
      </c>
      <c r="M48" s="72"/>
      <c r="N48" s="73"/>
      <c r="O48" s="80" t="s">
        <v>353</v>
      </c>
      <c r="P48" s="82">
        <v>44216.455</v>
      </c>
      <c r="Q48" s="80" t="s">
        <v>374</v>
      </c>
      <c r="R48" s="84" t="str">
        <f>HYPERLINK("https://www.tiess.online/registration?utm_source=SM&amp;utm_medium=Lassalle&amp;utm_campaign=TIESS&amp;utm_term=013")</f>
        <v>https://www.tiess.online/registration?utm_source=SM&amp;utm_medium=Lassalle&amp;utm_campaign=TIESS&amp;utm_term=013</v>
      </c>
      <c r="S48" s="80" t="s">
        <v>444</v>
      </c>
      <c r="T48" s="80" t="s">
        <v>450</v>
      </c>
      <c r="U48" s="84" t="str">
        <f>HYPERLINK("https://pbs.twimg.com/media/EsK4gfVVkAEq-xb.jpg")</f>
        <v>https://pbs.twimg.com/media/EsK4gfVVkAEq-xb.jpg</v>
      </c>
      <c r="V48" s="84" t="str">
        <f>HYPERLINK("https://pbs.twimg.com/media/EsK4gfVVkAEq-xb.jpg")</f>
        <v>https://pbs.twimg.com/media/EsK4gfVVkAEq-xb.jpg</v>
      </c>
      <c r="W48" s="82">
        <v>44216.455</v>
      </c>
      <c r="X48" s="86">
        <v>44216</v>
      </c>
      <c r="Y48" s="88" t="s">
        <v>505</v>
      </c>
      <c r="Z48" s="84" t="str">
        <f>HYPERLINK("https://twitter.com/indiadidac/status/1351845726834212873")</f>
        <v>https://twitter.com/indiadidac/status/1351845726834212873</v>
      </c>
      <c r="AA48" s="80"/>
      <c r="AB48" s="80"/>
      <c r="AC48" s="88" t="s">
        <v>656</v>
      </c>
      <c r="AD48" s="80"/>
      <c r="AE48" s="80" t="b">
        <v>0</v>
      </c>
      <c r="AF48" s="80">
        <v>1</v>
      </c>
      <c r="AG48" s="88" t="s">
        <v>763</v>
      </c>
      <c r="AH48" s="80" t="b">
        <v>0</v>
      </c>
      <c r="AI48" s="80" t="s">
        <v>764</v>
      </c>
      <c r="AJ48" s="80"/>
      <c r="AK48" s="88" t="s">
        <v>763</v>
      </c>
      <c r="AL48" s="80" t="b">
        <v>0</v>
      </c>
      <c r="AM48" s="80">
        <v>0</v>
      </c>
      <c r="AN48" s="88" t="s">
        <v>763</v>
      </c>
      <c r="AO48" s="80" t="s">
        <v>765</v>
      </c>
      <c r="AP48" s="80" t="b">
        <v>0</v>
      </c>
      <c r="AQ48" s="88" t="s">
        <v>656</v>
      </c>
      <c r="AR48" s="80" t="s">
        <v>197</v>
      </c>
      <c r="AS48" s="80">
        <v>0</v>
      </c>
      <c r="AT48" s="80">
        <v>0</v>
      </c>
      <c r="AU48" s="80"/>
      <c r="AV48" s="80"/>
      <c r="AW48" s="80"/>
      <c r="AX48" s="80"/>
      <c r="AY48" s="80"/>
      <c r="AZ48" s="80"/>
      <c r="BA48" s="80"/>
      <c r="BB48" s="80"/>
      <c r="BC48">
        <v>1</v>
      </c>
      <c r="BD48" s="79" t="str">
        <f>REPLACE(INDEX(GroupVertices[Group],MATCH(Edges25[[#This Row],[Vertex 1]],GroupVertices[Vertex],0)),1,1,"")</f>
        <v>1</v>
      </c>
      <c r="BE48" s="79" t="str">
        <f>REPLACE(INDEX(GroupVertices[Group],MATCH(Edges25[[#This Row],[Vertex 2]],GroupVertices[Vertex],0)),1,1,"")</f>
        <v>1</v>
      </c>
      <c r="BF48" s="49">
        <v>0</v>
      </c>
      <c r="BG48" s="50">
        <v>0</v>
      </c>
      <c r="BH48" s="49">
        <v>0</v>
      </c>
      <c r="BI48" s="50">
        <v>0</v>
      </c>
      <c r="BJ48" s="49">
        <v>0</v>
      </c>
      <c r="BK48" s="50">
        <v>0</v>
      </c>
      <c r="BL48" s="49">
        <v>30</v>
      </c>
      <c r="BM48" s="50">
        <v>100</v>
      </c>
      <c r="BN48" s="49">
        <v>30</v>
      </c>
    </row>
    <row r="49" spans="1:66" ht="15">
      <c r="A49" s="65" t="s">
        <v>275</v>
      </c>
      <c r="B49" s="65" t="s">
        <v>310</v>
      </c>
      <c r="C49" s="66"/>
      <c r="D49" s="67"/>
      <c r="E49" s="66"/>
      <c r="F49" s="69"/>
      <c r="G49" s="66"/>
      <c r="H49" s="70"/>
      <c r="I49" s="71"/>
      <c r="J49" s="71"/>
      <c r="K49" s="35" t="s">
        <v>65</v>
      </c>
      <c r="L49" s="72">
        <v>88</v>
      </c>
      <c r="M49" s="72"/>
      <c r="N49" s="73"/>
      <c r="O49" s="80" t="s">
        <v>352</v>
      </c>
      <c r="P49" s="82">
        <v>44219.75224537037</v>
      </c>
      <c r="Q49" s="80" t="s">
        <v>365</v>
      </c>
      <c r="R49" s="84" t="str">
        <f>HYPERLINK("https://www.tiess.online/registration?utm_source=SM&amp;utm_medium=Timmers&amp;utm_campaign=TIESS&amp;utm_term=022")</f>
        <v>https://www.tiess.online/registration?utm_source=SM&amp;utm_medium=Timmers&amp;utm_campaign=TIESS&amp;utm_term=022</v>
      </c>
      <c r="S49" s="80" t="s">
        <v>444</v>
      </c>
      <c r="T49" s="80" t="s">
        <v>449</v>
      </c>
      <c r="U49" s="84" t="str">
        <f>HYPERLINK("https://pbs.twimg.com/media/EsLob21VQAAdPsn.jpg")</f>
        <v>https://pbs.twimg.com/media/EsLob21VQAAdPsn.jpg</v>
      </c>
      <c r="V49" s="84" t="str">
        <f>HYPERLINK("https://pbs.twimg.com/media/EsLob21VQAAdPsn.jpg")</f>
        <v>https://pbs.twimg.com/media/EsLob21VQAAdPsn.jpg</v>
      </c>
      <c r="W49" s="82">
        <v>44219.75224537037</v>
      </c>
      <c r="X49" s="86">
        <v>44219</v>
      </c>
      <c r="Y49" s="88" t="s">
        <v>506</v>
      </c>
      <c r="Z49" s="84" t="str">
        <f>HYPERLINK("https://twitter.com/zelfstudie/status/1353040611230801920")</f>
        <v>https://twitter.com/zelfstudie/status/1353040611230801920</v>
      </c>
      <c r="AA49" s="80"/>
      <c r="AB49" s="80"/>
      <c r="AC49" s="88" t="s">
        <v>657</v>
      </c>
      <c r="AD49" s="80"/>
      <c r="AE49" s="80" t="b">
        <v>0</v>
      </c>
      <c r="AF49" s="80">
        <v>0</v>
      </c>
      <c r="AG49" s="88" t="s">
        <v>763</v>
      </c>
      <c r="AH49" s="80" t="b">
        <v>0</v>
      </c>
      <c r="AI49" s="80" t="s">
        <v>764</v>
      </c>
      <c r="AJ49" s="80"/>
      <c r="AK49" s="88" t="s">
        <v>763</v>
      </c>
      <c r="AL49" s="80" t="b">
        <v>0</v>
      </c>
      <c r="AM49" s="80">
        <v>3</v>
      </c>
      <c r="AN49" s="88" t="s">
        <v>658</v>
      </c>
      <c r="AO49" s="80" t="s">
        <v>765</v>
      </c>
      <c r="AP49" s="80" t="b">
        <v>0</v>
      </c>
      <c r="AQ49" s="88" t="s">
        <v>658</v>
      </c>
      <c r="AR49" s="80" t="s">
        <v>197</v>
      </c>
      <c r="AS49" s="80">
        <v>0</v>
      </c>
      <c r="AT49" s="80">
        <v>0</v>
      </c>
      <c r="AU49" s="80"/>
      <c r="AV49" s="80"/>
      <c r="AW49" s="80"/>
      <c r="AX49" s="80"/>
      <c r="AY49" s="80"/>
      <c r="AZ49" s="80"/>
      <c r="BA49" s="80"/>
      <c r="BB49" s="80"/>
      <c r="BC49">
        <v>1</v>
      </c>
      <c r="BD49" s="79" t="str">
        <f>REPLACE(INDEX(GroupVertices[Group],MATCH(Edges25[[#This Row],[Vertex 1]],GroupVertices[Vertex],0)),1,1,"")</f>
        <v>9</v>
      </c>
      <c r="BE49" s="79" t="str">
        <f>REPLACE(INDEX(GroupVertices[Group],MATCH(Edges25[[#This Row],[Vertex 2]],GroupVertices[Vertex],0)),1,1,"")</f>
        <v>9</v>
      </c>
      <c r="BF49" s="49"/>
      <c r="BG49" s="50"/>
      <c r="BH49" s="49"/>
      <c r="BI49" s="50"/>
      <c r="BJ49" s="49"/>
      <c r="BK49" s="50"/>
      <c r="BL49" s="49"/>
      <c r="BM49" s="50"/>
      <c r="BN49" s="49"/>
    </row>
    <row r="50" spans="1:66" ht="15">
      <c r="A50" s="65" t="s">
        <v>271</v>
      </c>
      <c r="B50" s="65" t="s">
        <v>310</v>
      </c>
      <c r="C50" s="66"/>
      <c r="D50" s="67"/>
      <c r="E50" s="66"/>
      <c r="F50" s="69"/>
      <c r="G50" s="66"/>
      <c r="H50" s="70"/>
      <c r="I50" s="71"/>
      <c r="J50" s="71"/>
      <c r="K50" s="35" t="s">
        <v>65</v>
      </c>
      <c r="L50" s="72">
        <v>89</v>
      </c>
      <c r="M50" s="72"/>
      <c r="N50" s="73"/>
      <c r="O50" s="80" t="s">
        <v>353</v>
      </c>
      <c r="P50" s="82">
        <v>44216.60045138889</v>
      </c>
      <c r="Q50" s="80" t="s">
        <v>365</v>
      </c>
      <c r="R50" s="84" t="str">
        <f>HYPERLINK("https://www.tiess.online/registration?utm_source=SM&amp;utm_medium=Timmers&amp;utm_campaign=TIESS&amp;utm_term=022")</f>
        <v>https://www.tiess.online/registration?utm_source=SM&amp;utm_medium=Timmers&amp;utm_campaign=TIESS&amp;utm_term=022</v>
      </c>
      <c r="S50" s="80" t="s">
        <v>444</v>
      </c>
      <c r="T50" s="80" t="s">
        <v>449</v>
      </c>
      <c r="U50" s="84" t="str">
        <f>HYPERLINK("https://pbs.twimg.com/media/EsLob21VQAAdPsn.jpg")</f>
        <v>https://pbs.twimg.com/media/EsLob21VQAAdPsn.jpg</v>
      </c>
      <c r="V50" s="84" t="str">
        <f>HYPERLINK("https://pbs.twimg.com/media/EsLob21VQAAdPsn.jpg")</f>
        <v>https://pbs.twimg.com/media/EsLob21VQAAdPsn.jpg</v>
      </c>
      <c r="W50" s="82">
        <v>44216.60045138889</v>
      </c>
      <c r="X50" s="86">
        <v>44216</v>
      </c>
      <c r="Y50" s="88" t="s">
        <v>507</v>
      </c>
      <c r="Z50" s="84" t="str">
        <f>HYPERLINK("https://twitter.com/indiadidac/status/1351898436954595333")</f>
        <v>https://twitter.com/indiadidac/status/1351898436954595333</v>
      </c>
      <c r="AA50" s="80"/>
      <c r="AB50" s="80"/>
      <c r="AC50" s="88" t="s">
        <v>658</v>
      </c>
      <c r="AD50" s="80"/>
      <c r="AE50" s="80" t="b">
        <v>0</v>
      </c>
      <c r="AF50" s="80">
        <v>9</v>
      </c>
      <c r="AG50" s="88" t="s">
        <v>763</v>
      </c>
      <c r="AH50" s="80" t="b">
        <v>0</v>
      </c>
      <c r="AI50" s="80" t="s">
        <v>764</v>
      </c>
      <c r="AJ50" s="80"/>
      <c r="AK50" s="88" t="s">
        <v>763</v>
      </c>
      <c r="AL50" s="80" t="b">
        <v>0</v>
      </c>
      <c r="AM50" s="80">
        <v>3</v>
      </c>
      <c r="AN50" s="88" t="s">
        <v>763</v>
      </c>
      <c r="AO50" s="80" t="s">
        <v>765</v>
      </c>
      <c r="AP50" s="80" t="b">
        <v>0</v>
      </c>
      <c r="AQ50" s="88" t="s">
        <v>658</v>
      </c>
      <c r="AR50" s="80" t="s">
        <v>197</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9</v>
      </c>
      <c r="BF50" s="49"/>
      <c r="BG50" s="50"/>
      <c r="BH50" s="49"/>
      <c r="BI50" s="50"/>
      <c r="BJ50" s="49"/>
      <c r="BK50" s="50"/>
      <c r="BL50" s="49"/>
      <c r="BM50" s="50"/>
      <c r="BN50" s="49"/>
    </row>
    <row r="51" spans="1:66" ht="15">
      <c r="A51" s="65" t="s">
        <v>271</v>
      </c>
      <c r="B51" s="65" t="s">
        <v>315</v>
      </c>
      <c r="C51" s="66"/>
      <c r="D51" s="67"/>
      <c r="E51" s="66"/>
      <c r="F51" s="69"/>
      <c r="G51" s="66"/>
      <c r="H51" s="70"/>
      <c r="I51" s="71"/>
      <c r="J51" s="71"/>
      <c r="K51" s="35" t="s">
        <v>65</v>
      </c>
      <c r="L51" s="72">
        <v>92</v>
      </c>
      <c r="M51" s="72"/>
      <c r="N51" s="73"/>
      <c r="O51" s="80" t="s">
        <v>353</v>
      </c>
      <c r="P51" s="82">
        <v>44217.19584490741</v>
      </c>
      <c r="Q51" s="80" t="s">
        <v>375</v>
      </c>
      <c r="R51" s="84" t="str">
        <f>HYPERLINK("https://www.tiess.online/registration?utm_source=SM&amp;utm_medium=Timmers&amp;utm_campaign=TIESS&amp;utm_term=022")</f>
        <v>https://www.tiess.online/registration?utm_source=SM&amp;utm_medium=Timmers&amp;utm_campaign=TIESS&amp;utm_term=022</v>
      </c>
      <c r="S51" s="80" t="s">
        <v>444</v>
      </c>
      <c r="T51" s="80" t="s">
        <v>450</v>
      </c>
      <c r="U51" s="84" t="str">
        <f>HYPERLINK("https://pbs.twimg.com/media/EsOscRDVcAAn7qj.jpg")</f>
        <v>https://pbs.twimg.com/media/EsOscRDVcAAn7qj.jpg</v>
      </c>
      <c r="V51" s="84" t="str">
        <f>HYPERLINK("https://pbs.twimg.com/media/EsOscRDVcAAn7qj.jpg")</f>
        <v>https://pbs.twimg.com/media/EsOscRDVcAAn7qj.jpg</v>
      </c>
      <c r="W51" s="82">
        <v>44217.19584490741</v>
      </c>
      <c r="X51" s="86">
        <v>44217</v>
      </c>
      <c r="Y51" s="88" t="s">
        <v>508</v>
      </c>
      <c r="Z51" s="84" t="str">
        <f>HYPERLINK("https://twitter.com/indiadidac/status/1352114202047991809")</f>
        <v>https://twitter.com/indiadidac/status/1352114202047991809</v>
      </c>
      <c r="AA51" s="80"/>
      <c r="AB51" s="80"/>
      <c r="AC51" s="88" t="s">
        <v>659</v>
      </c>
      <c r="AD51" s="80"/>
      <c r="AE51" s="80" t="b">
        <v>0</v>
      </c>
      <c r="AF51" s="80">
        <v>2</v>
      </c>
      <c r="AG51" s="88" t="s">
        <v>763</v>
      </c>
      <c r="AH51" s="80" t="b">
        <v>0</v>
      </c>
      <c r="AI51" s="80" t="s">
        <v>764</v>
      </c>
      <c r="AJ51" s="80"/>
      <c r="AK51" s="88" t="s">
        <v>763</v>
      </c>
      <c r="AL51" s="80" t="b">
        <v>0</v>
      </c>
      <c r="AM51" s="80">
        <v>0</v>
      </c>
      <c r="AN51" s="88" t="s">
        <v>763</v>
      </c>
      <c r="AO51" s="80" t="s">
        <v>765</v>
      </c>
      <c r="AP51" s="80" t="b">
        <v>0</v>
      </c>
      <c r="AQ51" s="88" t="s">
        <v>659</v>
      </c>
      <c r="AR51" s="80" t="s">
        <v>197</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9">
        <v>1</v>
      </c>
      <c r="BG51" s="50">
        <v>3.3333333333333335</v>
      </c>
      <c r="BH51" s="49">
        <v>0</v>
      </c>
      <c r="BI51" s="50">
        <v>0</v>
      </c>
      <c r="BJ51" s="49">
        <v>0</v>
      </c>
      <c r="BK51" s="50">
        <v>0</v>
      </c>
      <c r="BL51" s="49">
        <v>29</v>
      </c>
      <c r="BM51" s="50">
        <v>96.66666666666667</v>
      </c>
      <c r="BN51" s="49">
        <v>30</v>
      </c>
    </row>
    <row r="52" spans="1:66" ht="15">
      <c r="A52" s="65" t="s">
        <v>276</v>
      </c>
      <c r="B52" s="65" t="s">
        <v>316</v>
      </c>
      <c r="C52" s="66"/>
      <c r="D52" s="67"/>
      <c r="E52" s="66"/>
      <c r="F52" s="69"/>
      <c r="G52" s="66"/>
      <c r="H52" s="70"/>
      <c r="I52" s="71"/>
      <c r="J52" s="71"/>
      <c r="K52" s="35" t="s">
        <v>65</v>
      </c>
      <c r="L52" s="72">
        <v>93</v>
      </c>
      <c r="M52" s="72"/>
      <c r="N52" s="73"/>
      <c r="O52" s="80" t="s">
        <v>352</v>
      </c>
      <c r="P52" s="82">
        <v>44218.528032407405</v>
      </c>
      <c r="Q52" s="80" t="s">
        <v>376</v>
      </c>
      <c r="R52" s="84" t="str">
        <f>HYPERLINK("https://www.tiess.online/registration?utm_source=SM&amp;utm_medium=Kelly&amp;utm_campaign=TIESS&amp;utm_term=024")</f>
        <v>https://www.tiess.online/registration?utm_source=SM&amp;utm_medium=Kelly&amp;utm_campaign=TIESS&amp;utm_term=024</v>
      </c>
      <c r="S52" s="80" t="s">
        <v>444</v>
      </c>
      <c r="T52" s="80" t="s">
        <v>450</v>
      </c>
      <c r="U52" s="84" t="str">
        <f>HYPERLINK("https://pbs.twimg.com/media/EsOuxjmVEAArrSP.jpg")</f>
        <v>https://pbs.twimg.com/media/EsOuxjmVEAArrSP.jpg</v>
      </c>
      <c r="V52" s="84" t="str">
        <f>HYPERLINK("https://pbs.twimg.com/media/EsOuxjmVEAArrSP.jpg")</f>
        <v>https://pbs.twimg.com/media/EsOuxjmVEAArrSP.jpg</v>
      </c>
      <c r="W52" s="82">
        <v>44218.528032407405</v>
      </c>
      <c r="X52" s="86">
        <v>44218</v>
      </c>
      <c r="Y52" s="88" t="s">
        <v>509</v>
      </c>
      <c r="Z52" s="84" t="str">
        <f>HYPERLINK("https://twitter.com/mkelly_explo/status/1352596971740131330")</f>
        <v>https://twitter.com/mkelly_explo/status/1352596971740131330</v>
      </c>
      <c r="AA52" s="80"/>
      <c r="AB52" s="80"/>
      <c r="AC52" s="88" t="s">
        <v>660</v>
      </c>
      <c r="AD52" s="80"/>
      <c r="AE52" s="80" t="b">
        <v>0</v>
      </c>
      <c r="AF52" s="80">
        <v>0</v>
      </c>
      <c r="AG52" s="88" t="s">
        <v>763</v>
      </c>
      <c r="AH52" s="80" t="b">
        <v>0</v>
      </c>
      <c r="AI52" s="80" t="s">
        <v>764</v>
      </c>
      <c r="AJ52" s="80"/>
      <c r="AK52" s="88" t="s">
        <v>763</v>
      </c>
      <c r="AL52" s="80" t="b">
        <v>0</v>
      </c>
      <c r="AM52" s="80">
        <v>1</v>
      </c>
      <c r="AN52" s="88" t="s">
        <v>661</v>
      </c>
      <c r="AO52" s="80" t="s">
        <v>765</v>
      </c>
      <c r="AP52" s="80" t="b">
        <v>0</v>
      </c>
      <c r="AQ52" s="88" t="s">
        <v>661</v>
      </c>
      <c r="AR52" s="80" t="s">
        <v>197</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9">
        <v>0</v>
      </c>
      <c r="BG52" s="50">
        <v>0</v>
      </c>
      <c r="BH52" s="49">
        <v>1</v>
      </c>
      <c r="BI52" s="50">
        <v>3.125</v>
      </c>
      <c r="BJ52" s="49">
        <v>0</v>
      </c>
      <c r="BK52" s="50">
        <v>0</v>
      </c>
      <c r="BL52" s="49">
        <v>31</v>
      </c>
      <c r="BM52" s="50">
        <v>96.875</v>
      </c>
      <c r="BN52" s="49">
        <v>32</v>
      </c>
    </row>
    <row r="53" spans="1:66" ht="15">
      <c r="A53" s="65" t="s">
        <v>271</v>
      </c>
      <c r="B53" s="65" t="s">
        <v>316</v>
      </c>
      <c r="C53" s="66"/>
      <c r="D53" s="67"/>
      <c r="E53" s="66"/>
      <c r="F53" s="69"/>
      <c r="G53" s="66"/>
      <c r="H53" s="70"/>
      <c r="I53" s="71"/>
      <c r="J53" s="71"/>
      <c r="K53" s="35" t="s">
        <v>65</v>
      </c>
      <c r="L53" s="72">
        <v>94</v>
      </c>
      <c r="M53" s="72"/>
      <c r="N53" s="73"/>
      <c r="O53" s="80" t="s">
        <v>353</v>
      </c>
      <c r="P53" s="82">
        <v>44217.20238425926</v>
      </c>
      <c r="Q53" s="80" t="s">
        <v>376</v>
      </c>
      <c r="R53" s="84" t="str">
        <f>HYPERLINK("https://www.tiess.online/registration?utm_source=SM&amp;utm_medium=Kelly&amp;utm_campaign=TIESS&amp;utm_term=024")</f>
        <v>https://www.tiess.online/registration?utm_source=SM&amp;utm_medium=Kelly&amp;utm_campaign=TIESS&amp;utm_term=024</v>
      </c>
      <c r="S53" s="80" t="s">
        <v>444</v>
      </c>
      <c r="T53" s="80" t="s">
        <v>450</v>
      </c>
      <c r="U53" s="84" t="str">
        <f>HYPERLINK("https://pbs.twimg.com/media/EsOuxjmVEAArrSP.jpg")</f>
        <v>https://pbs.twimg.com/media/EsOuxjmVEAArrSP.jpg</v>
      </c>
      <c r="V53" s="84" t="str">
        <f>HYPERLINK("https://pbs.twimg.com/media/EsOuxjmVEAArrSP.jpg")</f>
        <v>https://pbs.twimg.com/media/EsOuxjmVEAArrSP.jpg</v>
      </c>
      <c r="W53" s="82">
        <v>44217.20238425926</v>
      </c>
      <c r="X53" s="86">
        <v>44217</v>
      </c>
      <c r="Y53" s="88" t="s">
        <v>510</v>
      </c>
      <c r="Z53" s="84" t="str">
        <f>HYPERLINK("https://twitter.com/indiadidac/status/1352116573113208833")</f>
        <v>https://twitter.com/indiadidac/status/1352116573113208833</v>
      </c>
      <c r="AA53" s="80"/>
      <c r="AB53" s="80"/>
      <c r="AC53" s="88" t="s">
        <v>661</v>
      </c>
      <c r="AD53" s="80"/>
      <c r="AE53" s="80" t="b">
        <v>0</v>
      </c>
      <c r="AF53" s="80">
        <v>3</v>
      </c>
      <c r="AG53" s="88" t="s">
        <v>763</v>
      </c>
      <c r="AH53" s="80" t="b">
        <v>0</v>
      </c>
      <c r="AI53" s="80" t="s">
        <v>764</v>
      </c>
      <c r="AJ53" s="80"/>
      <c r="AK53" s="88" t="s">
        <v>763</v>
      </c>
      <c r="AL53" s="80" t="b">
        <v>0</v>
      </c>
      <c r="AM53" s="80">
        <v>1</v>
      </c>
      <c r="AN53" s="88" t="s">
        <v>763</v>
      </c>
      <c r="AO53" s="80" t="s">
        <v>765</v>
      </c>
      <c r="AP53" s="80" t="b">
        <v>0</v>
      </c>
      <c r="AQ53" s="88" t="s">
        <v>661</v>
      </c>
      <c r="AR53" s="80" t="s">
        <v>197</v>
      </c>
      <c r="AS53" s="80">
        <v>0</v>
      </c>
      <c r="AT53" s="80">
        <v>0</v>
      </c>
      <c r="AU53" s="80"/>
      <c r="AV53" s="80"/>
      <c r="AW53" s="80"/>
      <c r="AX53" s="80"/>
      <c r="AY53" s="80"/>
      <c r="AZ53" s="80"/>
      <c r="BA53" s="80"/>
      <c r="BB53" s="80"/>
      <c r="BC53">
        <v>1</v>
      </c>
      <c r="BD53" s="79" t="str">
        <f>REPLACE(INDEX(GroupVertices[Group],MATCH(Edges25[[#This Row],[Vertex 1]],GroupVertices[Vertex],0)),1,1,"")</f>
        <v>1</v>
      </c>
      <c r="BE53" s="79" t="str">
        <f>REPLACE(INDEX(GroupVertices[Group],MATCH(Edges25[[#This Row],[Vertex 2]],GroupVertices[Vertex],0)),1,1,"")</f>
        <v>1</v>
      </c>
      <c r="BF53" s="49">
        <v>0</v>
      </c>
      <c r="BG53" s="50">
        <v>0</v>
      </c>
      <c r="BH53" s="49">
        <v>1</v>
      </c>
      <c r="BI53" s="50">
        <v>3.125</v>
      </c>
      <c r="BJ53" s="49">
        <v>0</v>
      </c>
      <c r="BK53" s="50">
        <v>0</v>
      </c>
      <c r="BL53" s="49">
        <v>31</v>
      </c>
      <c r="BM53" s="50">
        <v>96.875</v>
      </c>
      <c r="BN53" s="49">
        <v>32</v>
      </c>
    </row>
    <row r="54" spans="1:66" ht="15">
      <c r="A54" s="65" t="s">
        <v>277</v>
      </c>
      <c r="B54" s="65" t="s">
        <v>271</v>
      </c>
      <c r="C54" s="66"/>
      <c r="D54" s="67"/>
      <c r="E54" s="66"/>
      <c r="F54" s="69"/>
      <c r="G54" s="66"/>
      <c r="H54" s="70"/>
      <c r="I54" s="71"/>
      <c r="J54" s="71"/>
      <c r="K54" s="35" t="s">
        <v>66</v>
      </c>
      <c r="L54" s="72">
        <v>97</v>
      </c>
      <c r="M54" s="72"/>
      <c r="N54" s="73"/>
      <c r="O54" s="80" t="s">
        <v>351</v>
      </c>
      <c r="P54" s="82">
        <v>44222.48903935185</v>
      </c>
      <c r="Q54" s="80" t="s">
        <v>372</v>
      </c>
      <c r="R54" s="84" t="str">
        <f>HYPERLINK("https://www.tiess.online/registration?utm_source=SM&amp;utm_medium=Akyeampong&amp;utm_campaign=TIESS&amp;utm_term=031")</f>
        <v>https://www.tiess.online/registration?utm_source=SM&amp;utm_medium=Akyeampong&amp;utm_campaign=TIESS&amp;utm_term=031</v>
      </c>
      <c r="S54" s="80" t="s">
        <v>444</v>
      </c>
      <c r="T54" s="80" t="s">
        <v>450</v>
      </c>
      <c r="U54" s="84" t="str">
        <f>HYPERLINK("https://pbs.twimg.com/media/EsOz7HPUwAI5v7t.jpg")</f>
        <v>https://pbs.twimg.com/media/EsOz7HPUwAI5v7t.jpg</v>
      </c>
      <c r="V54" s="84" t="str">
        <f>HYPERLINK("https://pbs.twimg.com/media/EsOz7HPUwAI5v7t.jpg")</f>
        <v>https://pbs.twimg.com/media/EsOz7HPUwAI5v7t.jpg</v>
      </c>
      <c r="W54" s="82">
        <v>44222.48903935185</v>
      </c>
      <c r="X54" s="86">
        <v>44222</v>
      </c>
      <c r="Y54" s="88" t="s">
        <v>511</v>
      </c>
      <c r="Z54" s="84" t="str">
        <f>HYPERLINK("https://twitter.com/kwameakyeampong/status/1354032391900323840")</f>
        <v>https://twitter.com/kwameakyeampong/status/1354032391900323840</v>
      </c>
      <c r="AA54" s="80"/>
      <c r="AB54" s="80"/>
      <c r="AC54" s="88" t="s">
        <v>662</v>
      </c>
      <c r="AD54" s="80"/>
      <c r="AE54" s="80" t="b">
        <v>0</v>
      </c>
      <c r="AF54" s="80">
        <v>0</v>
      </c>
      <c r="AG54" s="88" t="s">
        <v>763</v>
      </c>
      <c r="AH54" s="80" t="b">
        <v>0</v>
      </c>
      <c r="AI54" s="80" t="s">
        <v>764</v>
      </c>
      <c r="AJ54" s="80"/>
      <c r="AK54" s="88" t="s">
        <v>763</v>
      </c>
      <c r="AL54" s="80" t="b">
        <v>0</v>
      </c>
      <c r="AM54" s="80">
        <v>2</v>
      </c>
      <c r="AN54" s="88" t="s">
        <v>663</v>
      </c>
      <c r="AO54" s="80" t="s">
        <v>767</v>
      </c>
      <c r="AP54" s="80" t="b">
        <v>0</v>
      </c>
      <c r="AQ54" s="88" t="s">
        <v>663</v>
      </c>
      <c r="AR54" s="80" t="s">
        <v>197</v>
      </c>
      <c r="AS54" s="80">
        <v>0</v>
      </c>
      <c r="AT54" s="80">
        <v>0</v>
      </c>
      <c r="AU54" s="80"/>
      <c r="AV54" s="80"/>
      <c r="AW54" s="80"/>
      <c r="AX54" s="80"/>
      <c r="AY54" s="80"/>
      <c r="AZ54" s="80"/>
      <c r="BA54" s="80"/>
      <c r="BB54" s="80"/>
      <c r="BC54">
        <v>1</v>
      </c>
      <c r="BD54" s="79" t="str">
        <f>REPLACE(INDEX(GroupVertices[Group],MATCH(Edges25[[#This Row],[Vertex 1]],GroupVertices[Vertex],0)),1,1,"")</f>
        <v>1</v>
      </c>
      <c r="BE54" s="79" t="str">
        <f>REPLACE(INDEX(GroupVertices[Group],MATCH(Edges25[[#This Row],[Vertex 2]],GroupVertices[Vertex],0)),1,1,"")</f>
        <v>1</v>
      </c>
      <c r="BF54" s="49">
        <v>1</v>
      </c>
      <c r="BG54" s="50">
        <v>3.7037037037037037</v>
      </c>
      <c r="BH54" s="49">
        <v>0</v>
      </c>
      <c r="BI54" s="50">
        <v>0</v>
      </c>
      <c r="BJ54" s="49">
        <v>0</v>
      </c>
      <c r="BK54" s="50">
        <v>0</v>
      </c>
      <c r="BL54" s="49">
        <v>26</v>
      </c>
      <c r="BM54" s="50">
        <v>96.29629629629629</v>
      </c>
      <c r="BN54" s="49">
        <v>27</v>
      </c>
    </row>
    <row r="55" spans="1:66" ht="15">
      <c r="A55" s="65" t="s">
        <v>271</v>
      </c>
      <c r="B55" s="65" t="s">
        <v>277</v>
      </c>
      <c r="C55" s="66"/>
      <c r="D55" s="67"/>
      <c r="E55" s="66"/>
      <c r="F55" s="69"/>
      <c r="G55" s="66"/>
      <c r="H55" s="70"/>
      <c r="I55" s="71"/>
      <c r="J55" s="71"/>
      <c r="K55" s="35" t="s">
        <v>66</v>
      </c>
      <c r="L55" s="72">
        <v>98</v>
      </c>
      <c r="M55" s="72"/>
      <c r="N55" s="73"/>
      <c r="O55" s="80" t="s">
        <v>353</v>
      </c>
      <c r="P55" s="82">
        <v>44217.217824074076</v>
      </c>
      <c r="Q55" s="80" t="s">
        <v>372</v>
      </c>
      <c r="R55" s="84" t="str">
        <f>HYPERLINK("https://www.tiess.online/registration?utm_source=SM&amp;utm_medium=Akyeampong&amp;utm_campaign=TIESS&amp;utm_term=031")</f>
        <v>https://www.tiess.online/registration?utm_source=SM&amp;utm_medium=Akyeampong&amp;utm_campaign=TIESS&amp;utm_term=031</v>
      </c>
      <c r="S55" s="80" t="s">
        <v>444</v>
      </c>
      <c r="T55" s="80" t="s">
        <v>450</v>
      </c>
      <c r="U55" s="84" t="str">
        <f>HYPERLINK("https://pbs.twimg.com/media/EsOz7HPUwAI5v7t.jpg")</f>
        <v>https://pbs.twimg.com/media/EsOz7HPUwAI5v7t.jpg</v>
      </c>
      <c r="V55" s="84" t="str">
        <f>HYPERLINK("https://pbs.twimg.com/media/EsOz7HPUwAI5v7t.jpg")</f>
        <v>https://pbs.twimg.com/media/EsOz7HPUwAI5v7t.jpg</v>
      </c>
      <c r="W55" s="82">
        <v>44217.217824074076</v>
      </c>
      <c r="X55" s="86">
        <v>44217</v>
      </c>
      <c r="Y55" s="88" t="s">
        <v>512</v>
      </c>
      <c r="Z55" s="84" t="str">
        <f>HYPERLINK("https://twitter.com/indiadidac/status/1352122167668862978")</f>
        <v>https://twitter.com/indiadidac/status/1352122167668862978</v>
      </c>
      <c r="AA55" s="80"/>
      <c r="AB55" s="80"/>
      <c r="AC55" s="88" t="s">
        <v>663</v>
      </c>
      <c r="AD55" s="80"/>
      <c r="AE55" s="80" t="b">
        <v>0</v>
      </c>
      <c r="AF55" s="80">
        <v>4</v>
      </c>
      <c r="AG55" s="88" t="s">
        <v>763</v>
      </c>
      <c r="AH55" s="80" t="b">
        <v>0</v>
      </c>
      <c r="AI55" s="80" t="s">
        <v>764</v>
      </c>
      <c r="AJ55" s="80"/>
      <c r="AK55" s="88" t="s">
        <v>763</v>
      </c>
      <c r="AL55" s="80" t="b">
        <v>0</v>
      </c>
      <c r="AM55" s="80">
        <v>2</v>
      </c>
      <c r="AN55" s="88" t="s">
        <v>763</v>
      </c>
      <c r="AO55" s="80" t="s">
        <v>765</v>
      </c>
      <c r="AP55" s="80" t="b">
        <v>0</v>
      </c>
      <c r="AQ55" s="88" t="s">
        <v>663</v>
      </c>
      <c r="AR55" s="80" t="s">
        <v>197</v>
      </c>
      <c r="AS55" s="80">
        <v>0</v>
      </c>
      <c r="AT55" s="80">
        <v>0</v>
      </c>
      <c r="AU55" s="80"/>
      <c r="AV55" s="80"/>
      <c r="AW55" s="80"/>
      <c r="AX55" s="80"/>
      <c r="AY55" s="80"/>
      <c r="AZ55" s="80"/>
      <c r="BA55" s="80"/>
      <c r="BB55" s="80"/>
      <c r="BC55">
        <v>1</v>
      </c>
      <c r="BD55" s="79" t="str">
        <f>REPLACE(INDEX(GroupVertices[Group],MATCH(Edges25[[#This Row],[Vertex 1]],GroupVertices[Vertex],0)),1,1,"")</f>
        <v>1</v>
      </c>
      <c r="BE55" s="79" t="str">
        <f>REPLACE(INDEX(GroupVertices[Group],MATCH(Edges25[[#This Row],[Vertex 2]],GroupVertices[Vertex],0)),1,1,"")</f>
        <v>1</v>
      </c>
      <c r="BF55" s="49">
        <v>1</v>
      </c>
      <c r="BG55" s="50">
        <v>3.7037037037037037</v>
      </c>
      <c r="BH55" s="49">
        <v>0</v>
      </c>
      <c r="BI55" s="50">
        <v>0</v>
      </c>
      <c r="BJ55" s="49">
        <v>0</v>
      </c>
      <c r="BK55" s="50">
        <v>0</v>
      </c>
      <c r="BL55" s="49">
        <v>26</v>
      </c>
      <c r="BM55" s="50">
        <v>96.29629629629629</v>
      </c>
      <c r="BN55" s="49">
        <v>27</v>
      </c>
    </row>
    <row r="56" spans="1:66" ht="15">
      <c r="A56" s="65" t="s">
        <v>278</v>
      </c>
      <c r="B56" s="65" t="s">
        <v>244</v>
      </c>
      <c r="C56" s="66"/>
      <c r="D56" s="67"/>
      <c r="E56" s="66"/>
      <c r="F56" s="69"/>
      <c r="G56" s="66"/>
      <c r="H56" s="70"/>
      <c r="I56" s="71"/>
      <c r="J56" s="71"/>
      <c r="K56" s="35" t="s">
        <v>65</v>
      </c>
      <c r="L56" s="72">
        <v>99</v>
      </c>
      <c r="M56" s="72"/>
      <c r="N56" s="73"/>
      <c r="O56" s="80" t="s">
        <v>352</v>
      </c>
      <c r="P56" s="82">
        <v>44217.29697916667</v>
      </c>
      <c r="Q56" s="80" t="s">
        <v>377</v>
      </c>
      <c r="R56" s="84" t="str">
        <f>HYPERLINK("https://www.tiess.online/registration?utm_source=SM&amp;utm_medium=Ferrit&amp;utm_campaign=TIESS&amp;utm_term=034")</f>
        <v>https://www.tiess.online/registration?utm_source=SM&amp;utm_medium=Ferrit&amp;utm_campaign=TIESS&amp;utm_term=034</v>
      </c>
      <c r="S56" s="80" t="s">
        <v>444</v>
      </c>
      <c r="T56" s="80" t="s">
        <v>450</v>
      </c>
      <c r="U56" s="84" t="str">
        <f>HYPERLINK("https://pbs.twimg.com/media/EsO7zFKU0AIi-yu.jpg")</f>
        <v>https://pbs.twimg.com/media/EsO7zFKU0AIi-yu.jpg</v>
      </c>
      <c r="V56" s="84" t="str">
        <f>HYPERLINK("https://pbs.twimg.com/media/EsO7zFKU0AIi-yu.jpg")</f>
        <v>https://pbs.twimg.com/media/EsO7zFKU0AIi-yu.jpg</v>
      </c>
      <c r="W56" s="82">
        <v>44217.29697916667</v>
      </c>
      <c r="X56" s="86">
        <v>44217</v>
      </c>
      <c r="Y56" s="88" t="s">
        <v>513</v>
      </c>
      <c r="Z56" s="84" t="str">
        <f>HYPERLINK("https://twitter.com/lyftaed/status/1352150851188625408")</f>
        <v>https://twitter.com/lyftaed/status/1352150851188625408</v>
      </c>
      <c r="AA56" s="80"/>
      <c r="AB56" s="80"/>
      <c r="AC56" s="88" t="s">
        <v>664</v>
      </c>
      <c r="AD56" s="80"/>
      <c r="AE56" s="80" t="b">
        <v>0</v>
      </c>
      <c r="AF56" s="80">
        <v>0</v>
      </c>
      <c r="AG56" s="88" t="s">
        <v>763</v>
      </c>
      <c r="AH56" s="80" t="b">
        <v>0</v>
      </c>
      <c r="AI56" s="80" t="s">
        <v>764</v>
      </c>
      <c r="AJ56" s="80"/>
      <c r="AK56" s="88" t="s">
        <v>763</v>
      </c>
      <c r="AL56" s="80" t="b">
        <v>0</v>
      </c>
      <c r="AM56" s="80">
        <v>1</v>
      </c>
      <c r="AN56" s="88" t="s">
        <v>665</v>
      </c>
      <c r="AO56" s="80" t="s">
        <v>766</v>
      </c>
      <c r="AP56" s="80" t="b">
        <v>0</v>
      </c>
      <c r="AQ56" s="88" t="s">
        <v>665</v>
      </c>
      <c r="AR56" s="80" t="s">
        <v>197</v>
      </c>
      <c r="AS56" s="80">
        <v>0</v>
      </c>
      <c r="AT56" s="80">
        <v>0</v>
      </c>
      <c r="AU56" s="80"/>
      <c r="AV56" s="80"/>
      <c r="AW56" s="80"/>
      <c r="AX56" s="80"/>
      <c r="AY56" s="80"/>
      <c r="AZ56" s="80"/>
      <c r="BA56" s="80"/>
      <c r="BB56" s="80"/>
      <c r="BC56">
        <v>1</v>
      </c>
      <c r="BD56" s="79" t="str">
        <f>REPLACE(INDEX(GroupVertices[Group],MATCH(Edges25[[#This Row],[Vertex 1]],GroupVertices[Vertex],0)),1,1,"")</f>
        <v>5</v>
      </c>
      <c r="BE56" s="79" t="str">
        <f>REPLACE(INDEX(GroupVertices[Group],MATCH(Edges25[[#This Row],[Vertex 2]],GroupVertices[Vertex],0)),1,1,"")</f>
        <v>5</v>
      </c>
      <c r="BF56" s="49"/>
      <c r="BG56" s="50"/>
      <c r="BH56" s="49"/>
      <c r="BI56" s="50"/>
      <c r="BJ56" s="49"/>
      <c r="BK56" s="50"/>
      <c r="BL56" s="49"/>
      <c r="BM56" s="50"/>
      <c r="BN56" s="49"/>
    </row>
    <row r="57" spans="1:66" ht="15">
      <c r="A57" s="65" t="s">
        <v>271</v>
      </c>
      <c r="B57" s="65" t="s">
        <v>278</v>
      </c>
      <c r="C57" s="66"/>
      <c r="D57" s="67"/>
      <c r="E57" s="66"/>
      <c r="F57" s="69"/>
      <c r="G57" s="66"/>
      <c r="H57" s="70"/>
      <c r="I57" s="71"/>
      <c r="J57" s="71"/>
      <c r="K57" s="35" t="s">
        <v>66</v>
      </c>
      <c r="L57" s="72">
        <v>101</v>
      </c>
      <c r="M57" s="72"/>
      <c r="N57" s="73"/>
      <c r="O57" s="80" t="s">
        <v>353</v>
      </c>
      <c r="P57" s="82">
        <v>44217.24175925926</v>
      </c>
      <c r="Q57" s="80" t="s">
        <v>377</v>
      </c>
      <c r="R57" s="84" t="str">
        <f>HYPERLINK("https://www.tiess.online/registration?utm_source=SM&amp;utm_medium=Ferrit&amp;utm_campaign=TIESS&amp;utm_term=034")</f>
        <v>https://www.tiess.online/registration?utm_source=SM&amp;utm_medium=Ferrit&amp;utm_campaign=TIESS&amp;utm_term=034</v>
      </c>
      <c r="S57" s="80" t="s">
        <v>444</v>
      </c>
      <c r="T57" s="80" t="s">
        <v>450</v>
      </c>
      <c r="U57" s="84" t="str">
        <f>HYPERLINK("https://pbs.twimg.com/media/EsO7zFKU0AIi-yu.jpg")</f>
        <v>https://pbs.twimg.com/media/EsO7zFKU0AIi-yu.jpg</v>
      </c>
      <c r="V57" s="84" t="str">
        <f>HYPERLINK("https://pbs.twimg.com/media/EsO7zFKU0AIi-yu.jpg")</f>
        <v>https://pbs.twimg.com/media/EsO7zFKU0AIi-yu.jpg</v>
      </c>
      <c r="W57" s="82">
        <v>44217.24175925926</v>
      </c>
      <c r="X57" s="86">
        <v>44217</v>
      </c>
      <c r="Y57" s="88" t="s">
        <v>514</v>
      </c>
      <c r="Z57" s="84" t="str">
        <f>HYPERLINK("https://twitter.com/indiadidac/status/1352130841325944834")</f>
        <v>https://twitter.com/indiadidac/status/1352130841325944834</v>
      </c>
      <c r="AA57" s="80"/>
      <c r="AB57" s="80"/>
      <c r="AC57" s="88" t="s">
        <v>665</v>
      </c>
      <c r="AD57" s="80"/>
      <c r="AE57" s="80" t="b">
        <v>0</v>
      </c>
      <c r="AF57" s="80">
        <v>4</v>
      </c>
      <c r="AG57" s="88" t="s">
        <v>763</v>
      </c>
      <c r="AH57" s="80" t="b">
        <v>0</v>
      </c>
      <c r="AI57" s="80" t="s">
        <v>764</v>
      </c>
      <c r="AJ57" s="80"/>
      <c r="AK57" s="88" t="s">
        <v>763</v>
      </c>
      <c r="AL57" s="80" t="b">
        <v>0</v>
      </c>
      <c r="AM57" s="80">
        <v>1</v>
      </c>
      <c r="AN57" s="88" t="s">
        <v>763</v>
      </c>
      <c r="AO57" s="80" t="s">
        <v>765</v>
      </c>
      <c r="AP57" s="80" t="b">
        <v>0</v>
      </c>
      <c r="AQ57" s="88" t="s">
        <v>665</v>
      </c>
      <c r="AR57" s="80" t="s">
        <v>197</v>
      </c>
      <c r="AS57" s="80">
        <v>0</v>
      </c>
      <c r="AT57" s="80">
        <v>0</v>
      </c>
      <c r="AU57" s="80"/>
      <c r="AV57" s="80"/>
      <c r="AW57" s="80"/>
      <c r="AX57" s="80"/>
      <c r="AY57" s="80"/>
      <c r="AZ57" s="80"/>
      <c r="BA57" s="80"/>
      <c r="BB57" s="80"/>
      <c r="BC57">
        <v>1</v>
      </c>
      <c r="BD57" s="79" t="str">
        <f>REPLACE(INDEX(GroupVertices[Group],MATCH(Edges25[[#This Row],[Vertex 1]],GroupVertices[Vertex],0)),1,1,"")</f>
        <v>1</v>
      </c>
      <c r="BE57" s="79" t="str">
        <f>REPLACE(INDEX(GroupVertices[Group],MATCH(Edges25[[#This Row],[Vertex 2]],GroupVertices[Vertex],0)),1,1,"")</f>
        <v>5</v>
      </c>
      <c r="BF57" s="49">
        <v>1</v>
      </c>
      <c r="BG57" s="50">
        <v>2.7777777777777777</v>
      </c>
      <c r="BH57" s="49">
        <v>0</v>
      </c>
      <c r="BI57" s="50">
        <v>0</v>
      </c>
      <c r="BJ57" s="49">
        <v>0</v>
      </c>
      <c r="BK57" s="50">
        <v>0</v>
      </c>
      <c r="BL57" s="49">
        <v>35</v>
      </c>
      <c r="BM57" s="50">
        <v>97.22222222222223</v>
      </c>
      <c r="BN57" s="49">
        <v>36</v>
      </c>
    </row>
    <row r="58" spans="1:66" ht="15">
      <c r="A58" s="65" t="s">
        <v>279</v>
      </c>
      <c r="B58" s="65" t="s">
        <v>271</v>
      </c>
      <c r="C58" s="66"/>
      <c r="D58" s="67"/>
      <c r="E58" s="66"/>
      <c r="F58" s="69"/>
      <c r="G58" s="66"/>
      <c r="H58" s="70"/>
      <c r="I58" s="71"/>
      <c r="J58" s="71"/>
      <c r="K58" s="35" t="s">
        <v>66</v>
      </c>
      <c r="L58" s="72">
        <v>103</v>
      </c>
      <c r="M58" s="72"/>
      <c r="N58" s="73"/>
      <c r="O58" s="80" t="s">
        <v>351</v>
      </c>
      <c r="P58" s="82">
        <v>44217.38318287037</v>
      </c>
      <c r="Q58" s="80" t="s">
        <v>357</v>
      </c>
      <c r="R58" s="84" t="str">
        <f>HYPERLINK("https://www.tiess.online/registration?utm_source=SM&amp;utm_medium=Swaroop&amp;utm_campaign=TIESS&amp;utm_term=015")</f>
        <v>https://www.tiess.online/registration?utm_source=SM&amp;utm_medium=Swaroop&amp;utm_campaign=TIESS&amp;utm_term=015</v>
      </c>
      <c r="S58" s="80" t="s">
        <v>444</v>
      </c>
      <c r="T58" s="80" t="s">
        <v>450</v>
      </c>
      <c r="U58" s="84" t="str">
        <f>HYPERLINK("https://pbs.twimg.com/media/EsPS8swVEAEm_LK.jpg")</f>
        <v>https://pbs.twimg.com/media/EsPS8swVEAEm_LK.jpg</v>
      </c>
      <c r="V58" s="84" t="str">
        <f>HYPERLINK("https://pbs.twimg.com/media/EsPS8swVEAEm_LK.jpg")</f>
        <v>https://pbs.twimg.com/media/EsPS8swVEAEm_LK.jpg</v>
      </c>
      <c r="W58" s="82">
        <v>44217.38318287037</v>
      </c>
      <c r="X58" s="86">
        <v>44217</v>
      </c>
      <c r="Y58" s="88" t="s">
        <v>515</v>
      </c>
      <c r="Z58" s="84" t="str">
        <f>HYPERLINK("https://twitter.com/yoswaroop/status/1352182089622249474")</f>
        <v>https://twitter.com/yoswaroop/status/1352182089622249474</v>
      </c>
      <c r="AA58" s="80"/>
      <c r="AB58" s="80"/>
      <c r="AC58" s="88" t="s">
        <v>666</v>
      </c>
      <c r="AD58" s="80"/>
      <c r="AE58" s="80" t="b">
        <v>0</v>
      </c>
      <c r="AF58" s="80">
        <v>0</v>
      </c>
      <c r="AG58" s="88" t="s">
        <v>763</v>
      </c>
      <c r="AH58" s="80" t="b">
        <v>0</v>
      </c>
      <c r="AI58" s="80" t="s">
        <v>764</v>
      </c>
      <c r="AJ58" s="80"/>
      <c r="AK58" s="88" t="s">
        <v>763</v>
      </c>
      <c r="AL58" s="80" t="b">
        <v>0</v>
      </c>
      <c r="AM58" s="80">
        <v>5</v>
      </c>
      <c r="AN58" s="88" t="s">
        <v>667</v>
      </c>
      <c r="AO58" s="80" t="s">
        <v>767</v>
      </c>
      <c r="AP58" s="80" t="b">
        <v>0</v>
      </c>
      <c r="AQ58" s="88" t="s">
        <v>667</v>
      </c>
      <c r="AR58" s="80" t="s">
        <v>197</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9">
        <v>1</v>
      </c>
      <c r="BG58" s="50">
        <v>3.0303030303030303</v>
      </c>
      <c r="BH58" s="49">
        <v>0</v>
      </c>
      <c r="BI58" s="50">
        <v>0</v>
      </c>
      <c r="BJ58" s="49">
        <v>0</v>
      </c>
      <c r="BK58" s="50">
        <v>0</v>
      </c>
      <c r="BL58" s="49">
        <v>32</v>
      </c>
      <c r="BM58" s="50">
        <v>96.96969696969697</v>
      </c>
      <c r="BN58" s="49">
        <v>33</v>
      </c>
    </row>
    <row r="59" spans="1:66" ht="15">
      <c r="A59" s="65" t="s">
        <v>271</v>
      </c>
      <c r="B59" s="65" t="s">
        <v>279</v>
      </c>
      <c r="C59" s="66"/>
      <c r="D59" s="67"/>
      <c r="E59" s="66"/>
      <c r="F59" s="69"/>
      <c r="G59" s="66"/>
      <c r="H59" s="70"/>
      <c r="I59" s="71"/>
      <c r="J59" s="71"/>
      <c r="K59" s="35" t="s">
        <v>66</v>
      </c>
      <c r="L59" s="72">
        <v>104</v>
      </c>
      <c r="M59" s="72"/>
      <c r="N59" s="73"/>
      <c r="O59" s="80" t="s">
        <v>353</v>
      </c>
      <c r="P59" s="82">
        <v>44217.31199074074</v>
      </c>
      <c r="Q59" s="80" t="s">
        <v>357</v>
      </c>
      <c r="R59" s="84" t="str">
        <f>HYPERLINK("https://www.tiess.online/registration?utm_source=SM&amp;utm_medium=Swaroop&amp;utm_campaign=TIESS&amp;utm_term=015")</f>
        <v>https://www.tiess.online/registration?utm_source=SM&amp;utm_medium=Swaroop&amp;utm_campaign=TIESS&amp;utm_term=015</v>
      </c>
      <c r="S59" s="80" t="s">
        <v>444</v>
      </c>
      <c r="T59" s="80" t="s">
        <v>450</v>
      </c>
      <c r="U59" s="84" t="str">
        <f>HYPERLINK("https://pbs.twimg.com/media/EsPS8swVEAEm_LK.jpg")</f>
        <v>https://pbs.twimg.com/media/EsPS8swVEAEm_LK.jpg</v>
      </c>
      <c r="V59" s="84" t="str">
        <f>HYPERLINK("https://pbs.twimg.com/media/EsPS8swVEAEm_LK.jpg")</f>
        <v>https://pbs.twimg.com/media/EsPS8swVEAEm_LK.jpg</v>
      </c>
      <c r="W59" s="82">
        <v>44217.31199074074</v>
      </c>
      <c r="X59" s="86">
        <v>44217</v>
      </c>
      <c r="Y59" s="88" t="s">
        <v>516</v>
      </c>
      <c r="Z59" s="84" t="str">
        <f>HYPERLINK("https://twitter.com/indiadidac/status/1352156293260222465")</f>
        <v>https://twitter.com/indiadidac/status/1352156293260222465</v>
      </c>
      <c r="AA59" s="80"/>
      <c r="AB59" s="80"/>
      <c r="AC59" s="88" t="s">
        <v>667</v>
      </c>
      <c r="AD59" s="80"/>
      <c r="AE59" s="80" t="b">
        <v>0</v>
      </c>
      <c r="AF59" s="80">
        <v>20</v>
      </c>
      <c r="AG59" s="88" t="s">
        <v>763</v>
      </c>
      <c r="AH59" s="80" t="b">
        <v>0</v>
      </c>
      <c r="AI59" s="80" t="s">
        <v>764</v>
      </c>
      <c r="AJ59" s="80"/>
      <c r="AK59" s="88" t="s">
        <v>763</v>
      </c>
      <c r="AL59" s="80" t="b">
        <v>0</v>
      </c>
      <c r="AM59" s="80">
        <v>5</v>
      </c>
      <c r="AN59" s="88" t="s">
        <v>763</v>
      </c>
      <c r="AO59" s="80" t="s">
        <v>765</v>
      </c>
      <c r="AP59" s="80" t="b">
        <v>0</v>
      </c>
      <c r="AQ59" s="88" t="s">
        <v>667</v>
      </c>
      <c r="AR59" s="80" t="s">
        <v>197</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9">
        <v>1</v>
      </c>
      <c r="BG59" s="50">
        <v>3.0303030303030303</v>
      </c>
      <c r="BH59" s="49">
        <v>0</v>
      </c>
      <c r="BI59" s="50">
        <v>0</v>
      </c>
      <c r="BJ59" s="49">
        <v>0</v>
      </c>
      <c r="BK59" s="50">
        <v>0</v>
      </c>
      <c r="BL59" s="49">
        <v>32</v>
      </c>
      <c r="BM59" s="50">
        <v>96.96969696969697</v>
      </c>
      <c r="BN59" s="49">
        <v>33</v>
      </c>
    </row>
    <row r="60" spans="1:66" ht="15">
      <c r="A60" s="65" t="s">
        <v>280</v>
      </c>
      <c r="B60" s="65" t="s">
        <v>271</v>
      </c>
      <c r="C60" s="66"/>
      <c r="D60" s="67"/>
      <c r="E60" s="66"/>
      <c r="F60" s="69"/>
      <c r="G60" s="66"/>
      <c r="H60" s="70"/>
      <c r="I60" s="71"/>
      <c r="J60" s="71"/>
      <c r="K60" s="35" t="s">
        <v>66</v>
      </c>
      <c r="L60" s="72">
        <v>105</v>
      </c>
      <c r="M60" s="72"/>
      <c r="N60" s="73"/>
      <c r="O60" s="80" t="s">
        <v>351</v>
      </c>
      <c r="P60" s="82">
        <v>44217.59454861111</v>
      </c>
      <c r="Q60" s="80" t="s">
        <v>378</v>
      </c>
      <c r="R60" s="84" t="str">
        <f>HYPERLINK("https://www.tiess.online/registration?utm_source=SM&amp;utm_medium=Joysy&amp;utm_campaign=TIESS&amp;utm_term=036")</f>
        <v>https://www.tiess.online/registration?utm_source=SM&amp;utm_medium=Joysy&amp;utm_campaign=TIESS&amp;utm_term=036</v>
      </c>
      <c r="S60" s="80" t="s">
        <v>444</v>
      </c>
      <c r="T60" s="80" t="s">
        <v>455</v>
      </c>
      <c r="U60" s="84" t="str">
        <f>HYPERLINK("https://pbs.twimg.com/media/EsPtbHwUYEQ3rkA.jpg")</f>
        <v>https://pbs.twimg.com/media/EsPtbHwUYEQ3rkA.jpg</v>
      </c>
      <c r="V60" s="84" t="str">
        <f>HYPERLINK("https://pbs.twimg.com/media/EsPtbHwUYEQ3rkA.jpg")</f>
        <v>https://pbs.twimg.com/media/EsPtbHwUYEQ3rkA.jpg</v>
      </c>
      <c r="W60" s="82">
        <v>44217.59454861111</v>
      </c>
      <c r="X60" s="86">
        <v>44217</v>
      </c>
      <c r="Y60" s="88" t="s">
        <v>517</v>
      </c>
      <c r="Z60" s="84" t="str">
        <f>HYPERLINK("https://twitter.com/joysyj/status/1352258686211776517")</f>
        <v>https://twitter.com/joysyj/status/1352258686211776517</v>
      </c>
      <c r="AA60" s="80"/>
      <c r="AB60" s="80"/>
      <c r="AC60" s="88" t="s">
        <v>668</v>
      </c>
      <c r="AD60" s="80"/>
      <c r="AE60" s="80" t="b">
        <v>0</v>
      </c>
      <c r="AF60" s="80">
        <v>0</v>
      </c>
      <c r="AG60" s="88" t="s">
        <v>763</v>
      </c>
      <c r="AH60" s="80" t="b">
        <v>0</v>
      </c>
      <c r="AI60" s="80" t="s">
        <v>764</v>
      </c>
      <c r="AJ60" s="80"/>
      <c r="AK60" s="88" t="s">
        <v>763</v>
      </c>
      <c r="AL60" s="80" t="b">
        <v>0</v>
      </c>
      <c r="AM60" s="80">
        <v>1</v>
      </c>
      <c r="AN60" s="88" t="s">
        <v>669</v>
      </c>
      <c r="AO60" s="80" t="s">
        <v>767</v>
      </c>
      <c r="AP60" s="80" t="b">
        <v>0</v>
      </c>
      <c r="AQ60" s="88" t="s">
        <v>669</v>
      </c>
      <c r="AR60" s="80" t="s">
        <v>197</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9">
        <v>2</v>
      </c>
      <c r="BG60" s="50">
        <v>6.25</v>
      </c>
      <c r="BH60" s="49">
        <v>0</v>
      </c>
      <c r="BI60" s="50">
        <v>0</v>
      </c>
      <c r="BJ60" s="49">
        <v>0</v>
      </c>
      <c r="BK60" s="50">
        <v>0</v>
      </c>
      <c r="BL60" s="49">
        <v>30</v>
      </c>
      <c r="BM60" s="50">
        <v>93.75</v>
      </c>
      <c r="BN60" s="49">
        <v>32</v>
      </c>
    </row>
    <row r="61" spans="1:66" ht="15">
      <c r="A61" s="65" t="s">
        <v>271</v>
      </c>
      <c r="B61" s="65" t="s">
        <v>280</v>
      </c>
      <c r="C61" s="66"/>
      <c r="D61" s="67"/>
      <c r="E61" s="66"/>
      <c r="F61" s="69"/>
      <c r="G61" s="66"/>
      <c r="H61" s="70"/>
      <c r="I61" s="71"/>
      <c r="J61" s="71"/>
      <c r="K61" s="35" t="s">
        <v>66</v>
      </c>
      <c r="L61" s="72">
        <v>106</v>
      </c>
      <c r="M61" s="72"/>
      <c r="N61" s="73"/>
      <c r="O61" s="80" t="s">
        <v>353</v>
      </c>
      <c r="P61" s="82">
        <v>44217.39231481482</v>
      </c>
      <c r="Q61" s="80" t="s">
        <v>378</v>
      </c>
      <c r="R61" s="84" t="str">
        <f>HYPERLINK("https://www.tiess.online/registration?utm_source=SM&amp;utm_medium=Joysy&amp;utm_campaign=TIESS&amp;utm_term=036")</f>
        <v>https://www.tiess.online/registration?utm_source=SM&amp;utm_medium=Joysy&amp;utm_campaign=TIESS&amp;utm_term=036</v>
      </c>
      <c r="S61" s="80" t="s">
        <v>444</v>
      </c>
      <c r="T61" s="80" t="s">
        <v>455</v>
      </c>
      <c r="U61" s="84" t="str">
        <f>HYPERLINK("https://pbs.twimg.com/media/EsPtbHwUYEQ3rkA.jpg")</f>
        <v>https://pbs.twimg.com/media/EsPtbHwUYEQ3rkA.jpg</v>
      </c>
      <c r="V61" s="84" t="str">
        <f>HYPERLINK("https://pbs.twimg.com/media/EsPtbHwUYEQ3rkA.jpg")</f>
        <v>https://pbs.twimg.com/media/EsPtbHwUYEQ3rkA.jpg</v>
      </c>
      <c r="W61" s="82">
        <v>44217.39231481482</v>
      </c>
      <c r="X61" s="86">
        <v>44217</v>
      </c>
      <c r="Y61" s="88" t="s">
        <v>518</v>
      </c>
      <c r="Z61" s="84" t="str">
        <f>HYPERLINK("https://twitter.com/indiadidac/status/1352185400450715649")</f>
        <v>https://twitter.com/indiadidac/status/1352185400450715649</v>
      </c>
      <c r="AA61" s="80"/>
      <c r="AB61" s="80"/>
      <c r="AC61" s="88" t="s">
        <v>669</v>
      </c>
      <c r="AD61" s="80"/>
      <c r="AE61" s="80" t="b">
        <v>0</v>
      </c>
      <c r="AF61" s="80">
        <v>1</v>
      </c>
      <c r="AG61" s="88" t="s">
        <v>763</v>
      </c>
      <c r="AH61" s="80" t="b">
        <v>0</v>
      </c>
      <c r="AI61" s="80" t="s">
        <v>764</v>
      </c>
      <c r="AJ61" s="80"/>
      <c r="AK61" s="88" t="s">
        <v>763</v>
      </c>
      <c r="AL61" s="80" t="b">
        <v>0</v>
      </c>
      <c r="AM61" s="80">
        <v>1</v>
      </c>
      <c r="AN61" s="88" t="s">
        <v>763</v>
      </c>
      <c r="AO61" s="80" t="s">
        <v>765</v>
      </c>
      <c r="AP61" s="80" t="b">
        <v>0</v>
      </c>
      <c r="AQ61" s="88" t="s">
        <v>669</v>
      </c>
      <c r="AR61" s="80" t="s">
        <v>197</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9">
        <v>2</v>
      </c>
      <c r="BG61" s="50">
        <v>6.25</v>
      </c>
      <c r="BH61" s="49">
        <v>0</v>
      </c>
      <c r="BI61" s="50">
        <v>0</v>
      </c>
      <c r="BJ61" s="49">
        <v>0</v>
      </c>
      <c r="BK61" s="50">
        <v>0</v>
      </c>
      <c r="BL61" s="49">
        <v>30</v>
      </c>
      <c r="BM61" s="50">
        <v>93.75</v>
      </c>
      <c r="BN61" s="49">
        <v>32</v>
      </c>
    </row>
    <row r="62" spans="1:66" ht="15">
      <c r="A62" s="65" t="s">
        <v>281</v>
      </c>
      <c r="B62" s="65" t="s">
        <v>281</v>
      </c>
      <c r="C62" s="66"/>
      <c r="D62" s="67"/>
      <c r="E62" s="66"/>
      <c r="F62" s="69"/>
      <c r="G62" s="66"/>
      <c r="H62" s="70"/>
      <c r="I62" s="71"/>
      <c r="J62" s="71"/>
      <c r="K62" s="35" t="s">
        <v>65</v>
      </c>
      <c r="L62" s="72">
        <v>107</v>
      </c>
      <c r="M62" s="72"/>
      <c r="N62" s="73"/>
      <c r="O62" s="80" t="s">
        <v>197</v>
      </c>
      <c r="P62" s="82">
        <v>44217.64332175926</v>
      </c>
      <c r="Q62" s="80" t="s">
        <v>379</v>
      </c>
      <c r="R62" s="84" t="str">
        <f>HYPERLINK("https://twitter.com/Indiadidac/status/1352210574285836289")</f>
        <v>https://twitter.com/Indiadidac/status/1352210574285836289</v>
      </c>
      <c r="S62" s="80" t="s">
        <v>445</v>
      </c>
      <c r="T62" s="80" t="s">
        <v>451</v>
      </c>
      <c r="U62" s="80"/>
      <c r="V62" s="84" t="str">
        <f>HYPERLINK("https://pbs.twimg.com/profile_images/378800000505780506/380279f4542aa3128451061b83b28637_normal.jpeg")</f>
        <v>https://pbs.twimg.com/profile_images/378800000505780506/380279f4542aa3128451061b83b28637_normal.jpeg</v>
      </c>
      <c r="W62" s="82">
        <v>44217.64332175926</v>
      </c>
      <c r="X62" s="86">
        <v>44217</v>
      </c>
      <c r="Y62" s="88" t="s">
        <v>519</v>
      </c>
      <c r="Z62" s="84" t="str">
        <f>HYPERLINK("https://twitter.com/kw_research/status/1352276361109528577")</f>
        <v>https://twitter.com/kw_research/status/1352276361109528577</v>
      </c>
      <c r="AA62" s="80"/>
      <c r="AB62" s="80"/>
      <c r="AC62" s="88" t="s">
        <v>670</v>
      </c>
      <c r="AD62" s="80"/>
      <c r="AE62" s="80" t="b">
        <v>0</v>
      </c>
      <c r="AF62" s="80">
        <v>2</v>
      </c>
      <c r="AG62" s="88" t="s">
        <v>763</v>
      </c>
      <c r="AH62" s="80" t="b">
        <v>1</v>
      </c>
      <c r="AI62" s="80" t="s">
        <v>764</v>
      </c>
      <c r="AJ62" s="80"/>
      <c r="AK62" s="88" t="s">
        <v>671</v>
      </c>
      <c r="AL62" s="80" t="b">
        <v>0</v>
      </c>
      <c r="AM62" s="80">
        <v>0</v>
      </c>
      <c r="AN62" s="88" t="s">
        <v>763</v>
      </c>
      <c r="AO62" s="80" t="s">
        <v>767</v>
      </c>
      <c r="AP62" s="80" t="b">
        <v>0</v>
      </c>
      <c r="AQ62" s="88" t="s">
        <v>670</v>
      </c>
      <c r="AR62" s="80" t="s">
        <v>197</v>
      </c>
      <c r="AS62" s="80">
        <v>0</v>
      </c>
      <c r="AT62" s="80">
        <v>0</v>
      </c>
      <c r="AU62" s="80"/>
      <c r="AV62" s="80"/>
      <c r="AW62" s="80"/>
      <c r="AX62" s="80"/>
      <c r="AY62" s="80"/>
      <c r="AZ62" s="80"/>
      <c r="BA62" s="80"/>
      <c r="BB62" s="80"/>
      <c r="BC62">
        <v>1</v>
      </c>
      <c r="BD62" s="79" t="str">
        <f>REPLACE(INDEX(GroupVertices[Group],MATCH(Edges25[[#This Row],[Vertex 1]],GroupVertices[Vertex],0)),1,1,"")</f>
        <v>1</v>
      </c>
      <c r="BE62" s="79" t="str">
        <f>REPLACE(INDEX(GroupVertices[Group],MATCH(Edges25[[#This Row],[Vertex 2]],GroupVertices[Vertex],0)),1,1,"")</f>
        <v>1</v>
      </c>
      <c r="BF62" s="49">
        <v>1</v>
      </c>
      <c r="BG62" s="50">
        <v>4.166666666666667</v>
      </c>
      <c r="BH62" s="49">
        <v>0</v>
      </c>
      <c r="BI62" s="50">
        <v>0</v>
      </c>
      <c r="BJ62" s="49">
        <v>0</v>
      </c>
      <c r="BK62" s="50">
        <v>0</v>
      </c>
      <c r="BL62" s="49">
        <v>23</v>
      </c>
      <c r="BM62" s="50">
        <v>95.83333333333333</v>
      </c>
      <c r="BN62" s="49">
        <v>24</v>
      </c>
    </row>
    <row r="63" spans="1:66" ht="15">
      <c r="A63" s="65" t="s">
        <v>271</v>
      </c>
      <c r="B63" s="65" t="s">
        <v>281</v>
      </c>
      <c r="C63" s="66"/>
      <c r="D63" s="67"/>
      <c r="E63" s="66"/>
      <c r="F63" s="69"/>
      <c r="G63" s="66"/>
      <c r="H63" s="70"/>
      <c r="I63" s="71"/>
      <c r="J63" s="71"/>
      <c r="K63" s="35" t="s">
        <v>65</v>
      </c>
      <c r="L63" s="72">
        <v>108</v>
      </c>
      <c r="M63" s="72"/>
      <c r="N63" s="73"/>
      <c r="O63" s="80" t="s">
        <v>353</v>
      </c>
      <c r="P63" s="82">
        <v>44217.46178240741</v>
      </c>
      <c r="Q63" s="80" t="s">
        <v>380</v>
      </c>
      <c r="R63" s="84" t="str">
        <f>HYPERLINK("https://www.tiess.online/registration?utm_source=SM&amp;utm_medium=Kristen&amp;utm_campaign=TIESS&amp;utm_term=037")</f>
        <v>https://www.tiess.online/registration?utm_source=SM&amp;utm_medium=Kristen&amp;utm_campaign=TIESS&amp;utm_term=037</v>
      </c>
      <c r="S63" s="80" t="s">
        <v>444</v>
      </c>
      <c r="T63" s="80" t="s">
        <v>450</v>
      </c>
      <c r="U63" s="84" t="str">
        <f>HYPERLINK("https://pbs.twimg.com/media/EsQER2BU0AAwhTe.jpg")</f>
        <v>https://pbs.twimg.com/media/EsQER2BU0AAwhTe.jpg</v>
      </c>
      <c r="V63" s="84" t="str">
        <f>HYPERLINK("https://pbs.twimg.com/media/EsQER2BU0AAwhTe.jpg")</f>
        <v>https://pbs.twimg.com/media/EsQER2BU0AAwhTe.jpg</v>
      </c>
      <c r="W63" s="82">
        <v>44217.46178240741</v>
      </c>
      <c r="X63" s="86">
        <v>44217</v>
      </c>
      <c r="Y63" s="88" t="s">
        <v>520</v>
      </c>
      <c r="Z63" s="84" t="str">
        <f>HYPERLINK("https://twitter.com/indiadidac/status/1352210574285836289")</f>
        <v>https://twitter.com/indiadidac/status/1352210574285836289</v>
      </c>
      <c r="AA63" s="80"/>
      <c r="AB63" s="80"/>
      <c r="AC63" s="88" t="s">
        <v>671</v>
      </c>
      <c r="AD63" s="80"/>
      <c r="AE63" s="80" t="b">
        <v>0</v>
      </c>
      <c r="AF63" s="80">
        <v>1</v>
      </c>
      <c r="AG63" s="88" t="s">
        <v>763</v>
      </c>
      <c r="AH63" s="80" t="b">
        <v>0</v>
      </c>
      <c r="AI63" s="80" t="s">
        <v>764</v>
      </c>
      <c r="AJ63" s="80"/>
      <c r="AK63" s="88" t="s">
        <v>763</v>
      </c>
      <c r="AL63" s="80" t="b">
        <v>0</v>
      </c>
      <c r="AM63" s="80">
        <v>0</v>
      </c>
      <c r="AN63" s="88" t="s">
        <v>763</v>
      </c>
      <c r="AO63" s="80" t="s">
        <v>765</v>
      </c>
      <c r="AP63" s="80" t="b">
        <v>0</v>
      </c>
      <c r="AQ63" s="88" t="s">
        <v>671</v>
      </c>
      <c r="AR63" s="80" t="s">
        <v>197</v>
      </c>
      <c r="AS63" s="80">
        <v>0</v>
      </c>
      <c r="AT63" s="80">
        <v>0</v>
      </c>
      <c r="AU63" s="80"/>
      <c r="AV63" s="80"/>
      <c r="AW63" s="80"/>
      <c r="AX63" s="80"/>
      <c r="AY63" s="80"/>
      <c r="AZ63" s="80"/>
      <c r="BA63" s="80"/>
      <c r="BB63" s="80"/>
      <c r="BC63">
        <v>1</v>
      </c>
      <c r="BD63" s="79" t="str">
        <f>REPLACE(INDEX(GroupVertices[Group],MATCH(Edges25[[#This Row],[Vertex 1]],GroupVertices[Vertex],0)),1,1,"")</f>
        <v>1</v>
      </c>
      <c r="BE63" s="79" t="str">
        <f>REPLACE(INDEX(GroupVertices[Group],MATCH(Edges25[[#This Row],[Vertex 2]],GroupVertices[Vertex],0)),1,1,"")</f>
        <v>1</v>
      </c>
      <c r="BF63" s="49">
        <v>1</v>
      </c>
      <c r="BG63" s="50">
        <v>3.8461538461538463</v>
      </c>
      <c r="BH63" s="49">
        <v>0</v>
      </c>
      <c r="BI63" s="50">
        <v>0</v>
      </c>
      <c r="BJ63" s="49">
        <v>0</v>
      </c>
      <c r="BK63" s="50">
        <v>0</v>
      </c>
      <c r="BL63" s="49">
        <v>25</v>
      </c>
      <c r="BM63" s="50">
        <v>96.15384615384616</v>
      </c>
      <c r="BN63" s="49">
        <v>26</v>
      </c>
    </row>
    <row r="64" spans="1:66" ht="15">
      <c r="A64" s="65" t="s">
        <v>271</v>
      </c>
      <c r="B64" s="65" t="s">
        <v>317</v>
      </c>
      <c r="C64" s="66"/>
      <c r="D64" s="67"/>
      <c r="E64" s="66"/>
      <c r="F64" s="69"/>
      <c r="G64" s="66"/>
      <c r="H64" s="70"/>
      <c r="I64" s="71"/>
      <c r="J64" s="71"/>
      <c r="K64" s="35" t="s">
        <v>65</v>
      </c>
      <c r="L64" s="72">
        <v>109</v>
      </c>
      <c r="M64" s="72"/>
      <c r="N64" s="73"/>
      <c r="O64" s="80" t="s">
        <v>353</v>
      </c>
      <c r="P64" s="82">
        <v>44218.28359953704</v>
      </c>
      <c r="Q64" s="80" t="s">
        <v>381</v>
      </c>
      <c r="R64" s="84" t="str">
        <f>HYPERLINK("https://www.tiess.online/registration?utm_source=Brechner&amp;utm_medium=Email&amp;utm_campaign=TIESS&amp;utm_term=012")</f>
        <v>https://www.tiess.online/registration?utm_source=Brechner&amp;utm_medium=Email&amp;utm_campaign=TIESS&amp;utm_term=012</v>
      </c>
      <c r="S64" s="80" t="s">
        <v>444</v>
      </c>
      <c r="T64" s="80" t="s">
        <v>451</v>
      </c>
      <c r="U64" s="84" t="str">
        <f>HYPERLINK("https://pbs.twimg.com/media/EsUTNSRVcAAMLTd.jpg")</f>
        <v>https://pbs.twimg.com/media/EsUTNSRVcAAMLTd.jpg</v>
      </c>
      <c r="V64" s="84" t="str">
        <f>HYPERLINK("https://pbs.twimg.com/media/EsUTNSRVcAAMLTd.jpg")</f>
        <v>https://pbs.twimg.com/media/EsUTNSRVcAAMLTd.jpg</v>
      </c>
      <c r="W64" s="82">
        <v>44218.28359953704</v>
      </c>
      <c r="X64" s="86">
        <v>44218</v>
      </c>
      <c r="Y64" s="88" t="s">
        <v>521</v>
      </c>
      <c r="Z64" s="84" t="str">
        <f>HYPERLINK("https://twitter.com/indiadidac/status/1352508393248813056")</f>
        <v>https://twitter.com/indiadidac/status/1352508393248813056</v>
      </c>
      <c r="AA64" s="80"/>
      <c r="AB64" s="80"/>
      <c r="AC64" s="88" t="s">
        <v>672</v>
      </c>
      <c r="AD64" s="80"/>
      <c r="AE64" s="80" t="b">
        <v>0</v>
      </c>
      <c r="AF64" s="80">
        <v>2</v>
      </c>
      <c r="AG64" s="88" t="s">
        <v>763</v>
      </c>
      <c r="AH64" s="80" t="b">
        <v>0</v>
      </c>
      <c r="AI64" s="80" t="s">
        <v>764</v>
      </c>
      <c r="AJ64" s="80"/>
      <c r="AK64" s="88" t="s">
        <v>763</v>
      </c>
      <c r="AL64" s="80" t="b">
        <v>0</v>
      </c>
      <c r="AM64" s="80">
        <v>0</v>
      </c>
      <c r="AN64" s="88" t="s">
        <v>763</v>
      </c>
      <c r="AO64" s="80" t="s">
        <v>765</v>
      </c>
      <c r="AP64" s="80" t="b">
        <v>0</v>
      </c>
      <c r="AQ64" s="88" t="s">
        <v>672</v>
      </c>
      <c r="AR64" s="80" t="s">
        <v>197</v>
      </c>
      <c r="AS64" s="80">
        <v>0</v>
      </c>
      <c r="AT64" s="80">
        <v>0</v>
      </c>
      <c r="AU64" s="80"/>
      <c r="AV64" s="80"/>
      <c r="AW64" s="80"/>
      <c r="AX64" s="80"/>
      <c r="AY64" s="80"/>
      <c r="AZ64" s="80"/>
      <c r="BA64" s="80"/>
      <c r="BB64" s="80"/>
      <c r="BC64">
        <v>1</v>
      </c>
      <c r="BD64" s="79" t="str">
        <f>REPLACE(INDEX(GroupVertices[Group],MATCH(Edges25[[#This Row],[Vertex 1]],GroupVertices[Vertex],0)),1,1,"")</f>
        <v>1</v>
      </c>
      <c r="BE64" s="79" t="str">
        <f>REPLACE(INDEX(GroupVertices[Group],MATCH(Edges25[[#This Row],[Vertex 2]],GroupVertices[Vertex],0)),1,1,"")</f>
        <v>1</v>
      </c>
      <c r="BF64" s="49">
        <v>1</v>
      </c>
      <c r="BG64" s="50">
        <v>3.5714285714285716</v>
      </c>
      <c r="BH64" s="49">
        <v>0</v>
      </c>
      <c r="BI64" s="50">
        <v>0</v>
      </c>
      <c r="BJ64" s="49">
        <v>0</v>
      </c>
      <c r="BK64" s="50">
        <v>0</v>
      </c>
      <c r="BL64" s="49">
        <v>27</v>
      </c>
      <c r="BM64" s="50">
        <v>96.42857142857143</v>
      </c>
      <c r="BN64" s="49">
        <v>28</v>
      </c>
    </row>
    <row r="65" spans="1:66" ht="15">
      <c r="A65" s="65" t="s">
        <v>271</v>
      </c>
      <c r="B65" s="65" t="s">
        <v>318</v>
      </c>
      <c r="C65" s="66"/>
      <c r="D65" s="67"/>
      <c r="E65" s="66"/>
      <c r="F65" s="69"/>
      <c r="G65" s="66"/>
      <c r="H65" s="70"/>
      <c r="I65" s="71"/>
      <c r="J65" s="71"/>
      <c r="K65" s="35" t="s">
        <v>65</v>
      </c>
      <c r="L65" s="72">
        <v>110</v>
      </c>
      <c r="M65" s="72"/>
      <c r="N65" s="73"/>
      <c r="O65" s="80" t="s">
        <v>353</v>
      </c>
      <c r="P65" s="82">
        <v>44218.31104166667</v>
      </c>
      <c r="Q65" s="80" t="s">
        <v>382</v>
      </c>
      <c r="R65" s="84" t="str">
        <f>HYPERLINK("https://www.tiess.online/registration?utm_source=Saku&amp;utm_medium=Email&amp;utm_campaign=TIESS&amp;utm_term=014")</f>
        <v>https://www.tiess.online/registration?utm_source=Saku&amp;utm_medium=Email&amp;utm_campaign=TIESS&amp;utm_term=014</v>
      </c>
      <c r="S65" s="80" t="s">
        <v>444</v>
      </c>
      <c r="T65" s="80" t="s">
        <v>450</v>
      </c>
      <c r="U65" s="84" t="str">
        <f>HYPERLINK("https://pbs.twimg.com/media/EsUb-CSUYAAL7kp.jpg")</f>
        <v>https://pbs.twimg.com/media/EsUb-CSUYAAL7kp.jpg</v>
      </c>
      <c r="V65" s="84" t="str">
        <f>HYPERLINK("https://pbs.twimg.com/media/EsUb-CSUYAAL7kp.jpg")</f>
        <v>https://pbs.twimg.com/media/EsUb-CSUYAAL7kp.jpg</v>
      </c>
      <c r="W65" s="82">
        <v>44218.31104166667</v>
      </c>
      <c r="X65" s="86">
        <v>44218</v>
      </c>
      <c r="Y65" s="88" t="s">
        <v>522</v>
      </c>
      <c r="Z65" s="84" t="str">
        <f>HYPERLINK("https://twitter.com/indiadidac/status/1352518334571401217")</f>
        <v>https://twitter.com/indiadidac/status/1352518334571401217</v>
      </c>
      <c r="AA65" s="80"/>
      <c r="AB65" s="80"/>
      <c r="AC65" s="88" t="s">
        <v>673</v>
      </c>
      <c r="AD65" s="80"/>
      <c r="AE65" s="80" t="b">
        <v>0</v>
      </c>
      <c r="AF65" s="80">
        <v>3</v>
      </c>
      <c r="AG65" s="88" t="s">
        <v>763</v>
      </c>
      <c r="AH65" s="80" t="b">
        <v>0</v>
      </c>
      <c r="AI65" s="80" t="s">
        <v>764</v>
      </c>
      <c r="AJ65" s="80"/>
      <c r="AK65" s="88" t="s">
        <v>763</v>
      </c>
      <c r="AL65" s="80" t="b">
        <v>0</v>
      </c>
      <c r="AM65" s="80">
        <v>0</v>
      </c>
      <c r="AN65" s="88" t="s">
        <v>763</v>
      </c>
      <c r="AO65" s="80" t="s">
        <v>765</v>
      </c>
      <c r="AP65" s="80" t="b">
        <v>0</v>
      </c>
      <c r="AQ65" s="88" t="s">
        <v>673</v>
      </c>
      <c r="AR65" s="80" t="s">
        <v>197</v>
      </c>
      <c r="AS65" s="80">
        <v>0</v>
      </c>
      <c r="AT65" s="80">
        <v>0</v>
      </c>
      <c r="AU65" s="80"/>
      <c r="AV65" s="80"/>
      <c r="AW65" s="80"/>
      <c r="AX65" s="80"/>
      <c r="AY65" s="80"/>
      <c r="AZ65" s="80"/>
      <c r="BA65" s="80"/>
      <c r="BB65" s="80"/>
      <c r="BC65">
        <v>1</v>
      </c>
      <c r="BD65" s="79" t="str">
        <f>REPLACE(INDEX(GroupVertices[Group],MATCH(Edges25[[#This Row],[Vertex 1]],GroupVertices[Vertex],0)),1,1,"")</f>
        <v>1</v>
      </c>
      <c r="BE65" s="79" t="str">
        <f>REPLACE(INDEX(GroupVertices[Group],MATCH(Edges25[[#This Row],[Vertex 2]],GroupVertices[Vertex],0)),1,1,"")</f>
        <v>1</v>
      </c>
      <c r="BF65" s="49">
        <v>1</v>
      </c>
      <c r="BG65" s="50">
        <v>4</v>
      </c>
      <c r="BH65" s="49">
        <v>0</v>
      </c>
      <c r="BI65" s="50">
        <v>0</v>
      </c>
      <c r="BJ65" s="49">
        <v>0</v>
      </c>
      <c r="BK65" s="50">
        <v>0</v>
      </c>
      <c r="BL65" s="49">
        <v>24</v>
      </c>
      <c r="BM65" s="50">
        <v>96</v>
      </c>
      <c r="BN65" s="49">
        <v>25</v>
      </c>
    </row>
    <row r="66" spans="1:66" ht="15">
      <c r="A66" s="65" t="s">
        <v>271</v>
      </c>
      <c r="B66" s="65" t="s">
        <v>319</v>
      </c>
      <c r="C66" s="66"/>
      <c r="D66" s="67"/>
      <c r="E66" s="66"/>
      <c r="F66" s="69"/>
      <c r="G66" s="66"/>
      <c r="H66" s="70"/>
      <c r="I66" s="71"/>
      <c r="J66" s="71"/>
      <c r="K66" s="35" t="s">
        <v>65</v>
      </c>
      <c r="L66" s="72">
        <v>111</v>
      </c>
      <c r="M66" s="72"/>
      <c r="N66" s="73"/>
      <c r="O66" s="80" t="s">
        <v>353</v>
      </c>
      <c r="P66" s="82">
        <v>44218.329050925924</v>
      </c>
      <c r="Q66" s="80" t="s">
        <v>383</v>
      </c>
      <c r="R66" s="84" t="str">
        <f>HYPERLINK("https://www.tiess.online/registration?utm_source=Blom&amp;utm_medium=Email&amp;utm_campaign=TIESS&amp;utm_term=017")</f>
        <v>https://www.tiess.online/registration?utm_source=Blom&amp;utm_medium=Email&amp;utm_campaign=TIESS&amp;utm_term=017</v>
      </c>
      <c r="S66" s="80" t="s">
        <v>444</v>
      </c>
      <c r="T66" s="80" t="s">
        <v>449</v>
      </c>
      <c r="U66" s="84" t="str">
        <f>HYPERLINK("https://pbs.twimg.com/media/EsUiKnhUYAAOFL3.jpg")</f>
        <v>https://pbs.twimg.com/media/EsUiKnhUYAAOFL3.jpg</v>
      </c>
      <c r="V66" s="84" t="str">
        <f>HYPERLINK("https://pbs.twimg.com/media/EsUiKnhUYAAOFL3.jpg")</f>
        <v>https://pbs.twimg.com/media/EsUiKnhUYAAOFL3.jpg</v>
      </c>
      <c r="W66" s="82">
        <v>44218.329050925924</v>
      </c>
      <c r="X66" s="86">
        <v>44218</v>
      </c>
      <c r="Y66" s="88" t="s">
        <v>523</v>
      </c>
      <c r="Z66" s="84" t="str">
        <f>HYPERLINK("https://twitter.com/indiadidac/status/1352524861923422217")</f>
        <v>https://twitter.com/indiadidac/status/1352524861923422217</v>
      </c>
      <c r="AA66" s="80"/>
      <c r="AB66" s="80"/>
      <c r="AC66" s="88" t="s">
        <v>674</v>
      </c>
      <c r="AD66" s="80"/>
      <c r="AE66" s="80" t="b">
        <v>0</v>
      </c>
      <c r="AF66" s="80">
        <v>2</v>
      </c>
      <c r="AG66" s="88" t="s">
        <v>763</v>
      </c>
      <c r="AH66" s="80" t="b">
        <v>0</v>
      </c>
      <c r="AI66" s="80" t="s">
        <v>764</v>
      </c>
      <c r="AJ66" s="80"/>
      <c r="AK66" s="88" t="s">
        <v>763</v>
      </c>
      <c r="AL66" s="80" t="b">
        <v>0</v>
      </c>
      <c r="AM66" s="80">
        <v>0</v>
      </c>
      <c r="AN66" s="88" t="s">
        <v>763</v>
      </c>
      <c r="AO66" s="80" t="s">
        <v>765</v>
      </c>
      <c r="AP66" s="80" t="b">
        <v>0</v>
      </c>
      <c r="AQ66" s="88" t="s">
        <v>674</v>
      </c>
      <c r="AR66" s="80" t="s">
        <v>197</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9">
        <v>0</v>
      </c>
      <c r="BG66" s="50">
        <v>0</v>
      </c>
      <c r="BH66" s="49">
        <v>0</v>
      </c>
      <c r="BI66" s="50">
        <v>0</v>
      </c>
      <c r="BJ66" s="49">
        <v>0</v>
      </c>
      <c r="BK66" s="50">
        <v>0</v>
      </c>
      <c r="BL66" s="49">
        <v>33</v>
      </c>
      <c r="BM66" s="50">
        <v>100</v>
      </c>
      <c r="BN66" s="49">
        <v>33</v>
      </c>
    </row>
    <row r="67" spans="1:66" ht="15">
      <c r="A67" s="65" t="s">
        <v>271</v>
      </c>
      <c r="B67" s="65" t="s">
        <v>320</v>
      </c>
      <c r="C67" s="66"/>
      <c r="D67" s="67"/>
      <c r="E67" s="66"/>
      <c r="F67" s="69"/>
      <c r="G67" s="66"/>
      <c r="H67" s="70"/>
      <c r="I67" s="71"/>
      <c r="J67" s="71"/>
      <c r="K67" s="35" t="s">
        <v>65</v>
      </c>
      <c r="L67" s="72">
        <v>112</v>
      </c>
      <c r="M67" s="72"/>
      <c r="N67" s="73"/>
      <c r="O67" s="80" t="s">
        <v>353</v>
      </c>
      <c r="P67" s="82">
        <v>44218.356087962966</v>
      </c>
      <c r="Q67" s="80" t="s">
        <v>384</v>
      </c>
      <c r="R67" s="84" t="str">
        <f>HYPERLINK("https://www.tiess.online/registration?utm_source=Musa&amp;utm_medium=Email&amp;utm_campaign=TIESS&amp;utm_term=019")</f>
        <v>https://www.tiess.online/registration?utm_source=Musa&amp;utm_medium=Email&amp;utm_campaign=TIESS&amp;utm_term=019</v>
      </c>
      <c r="S67" s="80" t="s">
        <v>444</v>
      </c>
      <c r="T67" s="80" t="s">
        <v>451</v>
      </c>
      <c r="U67" s="84" t="str">
        <f>HYPERLINK("https://pbs.twimg.com/media/EsUrDRYUYAQ_08Z.jpg")</f>
        <v>https://pbs.twimg.com/media/EsUrDRYUYAQ_08Z.jpg</v>
      </c>
      <c r="V67" s="84" t="str">
        <f>HYPERLINK("https://pbs.twimg.com/media/EsUrDRYUYAQ_08Z.jpg")</f>
        <v>https://pbs.twimg.com/media/EsUrDRYUYAQ_08Z.jpg</v>
      </c>
      <c r="W67" s="82">
        <v>44218.356087962966</v>
      </c>
      <c r="X67" s="86">
        <v>44218</v>
      </c>
      <c r="Y67" s="88" t="s">
        <v>524</v>
      </c>
      <c r="Z67" s="84" t="str">
        <f>HYPERLINK("https://twitter.com/indiadidac/status/1352534660060876801")</f>
        <v>https://twitter.com/indiadidac/status/1352534660060876801</v>
      </c>
      <c r="AA67" s="80"/>
      <c r="AB67" s="80"/>
      <c r="AC67" s="88" t="s">
        <v>675</v>
      </c>
      <c r="AD67" s="80"/>
      <c r="AE67" s="80" t="b">
        <v>0</v>
      </c>
      <c r="AF67" s="80">
        <v>3</v>
      </c>
      <c r="AG67" s="88" t="s">
        <v>763</v>
      </c>
      <c r="AH67" s="80" t="b">
        <v>0</v>
      </c>
      <c r="AI67" s="80" t="s">
        <v>764</v>
      </c>
      <c r="AJ67" s="80"/>
      <c r="AK67" s="88" t="s">
        <v>763</v>
      </c>
      <c r="AL67" s="80" t="b">
        <v>0</v>
      </c>
      <c r="AM67" s="80">
        <v>0</v>
      </c>
      <c r="AN67" s="88" t="s">
        <v>763</v>
      </c>
      <c r="AO67" s="80" t="s">
        <v>765</v>
      </c>
      <c r="AP67" s="80" t="b">
        <v>0</v>
      </c>
      <c r="AQ67" s="88" t="s">
        <v>675</v>
      </c>
      <c r="AR67" s="80" t="s">
        <v>197</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9">
        <v>1</v>
      </c>
      <c r="BG67" s="50">
        <v>4</v>
      </c>
      <c r="BH67" s="49">
        <v>0</v>
      </c>
      <c r="BI67" s="50">
        <v>0</v>
      </c>
      <c r="BJ67" s="49">
        <v>0</v>
      </c>
      <c r="BK67" s="50">
        <v>0</v>
      </c>
      <c r="BL67" s="49">
        <v>24</v>
      </c>
      <c r="BM67" s="50">
        <v>96</v>
      </c>
      <c r="BN67" s="49">
        <v>25</v>
      </c>
    </row>
    <row r="68" spans="1:66" ht="15">
      <c r="A68" s="65" t="s">
        <v>271</v>
      </c>
      <c r="B68" s="65" t="s">
        <v>321</v>
      </c>
      <c r="C68" s="66"/>
      <c r="D68" s="67"/>
      <c r="E68" s="66"/>
      <c r="F68" s="69"/>
      <c r="G68" s="66"/>
      <c r="H68" s="70"/>
      <c r="I68" s="71"/>
      <c r="J68" s="71"/>
      <c r="K68" s="35" t="s">
        <v>65</v>
      </c>
      <c r="L68" s="72">
        <v>113</v>
      </c>
      <c r="M68" s="72"/>
      <c r="N68" s="73"/>
      <c r="O68" s="80" t="s">
        <v>353</v>
      </c>
      <c r="P68" s="82">
        <v>44218.368622685186</v>
      </c>
      <c r="Q68" s="80" t="s">
        <v>385</v>
      </c>
      <c r="R68" s="84" t="str">
        <f>HYPERLINK("https://www.tiess.online/registration?utm_source=SM&amp;utm_medium=Hammadi&amp;utm_campaign=TIESS&amp;utm_term=002")</f>
        <v>https://www.tiess.online/registration?utm_source=SM&amp;utm_medium=Hammadi&amp;utm_campaign=TIESS&amp;utm_term=002</v>
      </c>
      <c r="S68" s="80" t="s">
        <v>444</v>
      </c>
      <c r="T68" s="80" t="s">
        <v>451</v>
      </c>
      <c r="U68" s="84" t="str">
        <f>HYPERLINK("https://pbs.twimg.com/media/EsUvGU9U0AI0Zem.jpg")</f>
        <v>https://pbs.twimg.com/media/EsUvGU9U0AI0Zem.jpg</v>
      </c>
      <c r="V68" s="84" t="str">
        <f>HYPERLINK("https://pbs.twimg.com/media/EsUvGU9U0AI0Zem.jpg")</f>
        <v>https://pbs.twimg.com/media/EsUvGU9U0AI0Zem.jpg</v>
      </c>
      <c r="W68" s="82">
        <v>44218.368622685186</v>
      </c>
      <c r="X68" s="86">
        <v>44218</v>
      </c>
      <c r="Y68" s="88" t="s">
        <v>525</v>
      </c>
      <c r="Z68" s="84" t="str">
        <f>HYPERLINK("https://twitter.com/indiadidac/status/1352539203251314690")</f>
        <v>https://twitter.com/indiadidac/status/1352539203251314690</v>
      </c>
      <c r="AA68" s="80"/>
      <c r="AB68" s="80"/>
      <c r="AC68" s="88" t="s">
        <v>676</v>
      </c>
      <c r="AD68" s="80"/>
      <c r="AE68" s="80" t="b">
        <v>0</v>
      </c>
      <c r="AF68" s="80">
        <v>2</v>
      </c>
      <c r="AG68" s="88" t="s">
        <v>763</v>
      </c>
      <c r="AH68" s="80" t="b">
        <v>0</v>
      </c>
      <c r="AI68" s="80" t="s">
        <v>764</v>
      </c>
      <c r="AJ68" s="80"/>
      <c r="AK68" s="88" t="s">
        <v>763</v>
      </c>
      <c r="AL68" s="80" t="b">
        <v>0</v>
      </c>
      <c r="AM68" s="80">
        <v>0</v>
      </c>
      <c r="AN68" s="88" t="s">
        <v>763</v>
      </c>
      <c r="AO68" s="80" t="s">
        <v>765</v>
      </c>
      <c r="AP68" s="80" t="b">
        <v>0</v>
      </c>
      <c r="AQ68" s="88" t="s">
        <v>676</v>
      </c>
      <c r="AR68" s="80" t="s">
        <v>197</v>
      </c>
      <c r="AS68" s="80">
        <v>0</v>
      </c>
      <c r="AT68" s="80">
        <v>0</v>
      </c>
      <c r="AU68" s="80"/>
      <c r="AV68" s="80"/>
      <c r="AW68" s="80"/>
      <c r="AX68" s="80"/>
      <c r="AY68" s="80"/>
      <c r="AZ68" s="80"/>
      <c r="BA68" s="80"/>
      <c r="BB68" s="80"/>
      <c r="BC68">
        <v>1</v>
      </c>
      <c r="BD68" s="79" t="str">
        <f>REPLACE(INDEX(GroupVertices[Group],MATCH(Edges25[[#This Row],[Vertex 1]],GroupVertices[Vertex],0)),1,1,"")</f>
        <v>1</v>
      </c>
      <c r="BE68" s="79" t="str">
        <f>REPLACE(INDEX(GroupVertices[Group],MATCH(Edges25[[#This Row],[Vertex 2]],GroupVertices[Vertex],0)),1,1,"")</f>
        <v>1</v>
      </c>
      <c r="BF68" s="49">
        <v>0</v>
      </c>
      <c r="BG68" s="50">
        <v>0</v>
      </c>
      <c r="BH68" s="49">
        <v>0</v>
      </c>
      <c r="BI68" s="50">
        <v>0</v>
      </c>
      <c r="BJ68" s="49">
        <v>0</v>
      </c>
      <c r="BK68" s="50">
        <v>0</v>
      </c>
      <c r="BL68" s="49">
        <v>37</v>
      </c>
      <c r="BM68" s="50">
        <v>100</v>
      </c>
      <c r="BN68" s="49">
        <v>37</v>
      </c>
    </row>
    <row r="69" spans="1:66" ht="15">
      <c r="A69" s="65" t="s">
        <v>271</v>
      </c>
      <c r="B69" s="65" t="s">
        <v>307</v>
      </c>
      <c r="C69" s="66"/>
      <c r="D69" s="67"/>
      <c r="E69" s="66"/>
      <c r="F69" s="69"/>
      <c r="G69" s="66"/>
      <c r="H69" s="70"/>
      <c r="I69" s="71"/>
      <c r="J69" s="71"/>
      <c r="K69" s="35" t="s">
        <v>65</v>
      </c>
      <c r="L69" s="72">
        <v>114</v>
      </c>
      <c r="M69" s="72"/>
      <c r="N69" s="73"/>
      <c r="O69" s="80" t="s">
        <v>353</v>
      </c>
      <c r="P69" s="82">
        <v>44218.37856481481</v>
      </c>
      <c r="Q69" s="80" t="s">
        <v>361</v>
      </c>
      <c r="R69" s="84" t="str">
        <f>HYPERLINK("https://www.tiess.online/registration?utm_source=TIESS&amp;utm_medium=Amity&amp;utm_campaign=TIESS&amp;utm_term=010")</f>
        <v>https://www.tiess.online/registration?utm_source=TIESS&amp;utm_medium=Amity&amp;utm_campaign=TIESS&amp;utm_term=010</v>
      </c>
      <c r="S69" s="80" t="s">
        <v>444</v>
      </c>
      <c r="T69" s="80" t="s">
        <v>449</v>
      </c>
      <c r="U69" s="84" t="str">
        <f>HYPERLINK("https://pbs.twimg.com/media/EsUyST3U0AA3Z4O.jpg")</f>
        <v>https://pbs.twimg.com/media/EsUyST3U0AA3Z4O.jpg</v>
      </c>
      <c r="V69" s="84" t="str">
        <f>HYPERLINK("https://pbs.twimg.com/media/EsUyST3U0AA3Z4O.jpg")</f>
        <v>https://pbs.twimg.com/media/EsUyST3U0AA3Z4O.jpg</v>
      </c>
      <c r="W69" s="82">
        <v>44218.37856481481</v>
      </c>
      <c r="X69" s="86">
        <v>44218</v>
      </c>
      <c r="Y69" s="88" t="s">
        <v>526</v>
      </c>
      <c r="Z69" s="84" t="str">
        <f>HYPERLINK("https://twitter.com/indiadidac/status/1352542806426804227")</f>
        <v>https://twitter.com/indiadidac/status/1352542806426804227</v>
      </c>
      <c r="AA69" s="80"/>
      <c r="AB69" s="80"/>
      <c r="AC69" s="88" t="s">
        <v>677</v>
      </c>
      <c r="AD69" s="80"/>
      <c r="AE69" s="80" t="b">
        <v>0</v>
      </c>
      <c r="AF69" s="80">
        <v>28</v>
      </c>
      <c r="AG69" s="88" t="s">
        <v>763</v>
      </c>
      <c r="AH69" s="80" t="b">
        <v>0</v>
      </c>
      <c r="AI69" s="80" t="s">
        <v>764</v>
      </c>
      <c r="AJ69" s="80"/>
      <c r="AK69" s="88" t="s">
        <v>763</v>
      </c>
      <c r="AL69" s="80" t="b">
        <v>0</v>
      </c>
      <c r="AM69" s="80">
        <v>7</v>
      </c>
      <c r="AN69" s="88" t="s">
        <v>763</v>
      </c>
      <c r="AO69" s="80" t="s">
        <v>765</v>
      </c>
      <c r="AP69" s="80" t="b">
        <v>0</v>
      </c>
      <c r="AQ69" s="88" t="s">
        <v>677</v>
      </c>
      <c r="AR69" s="80" t="s">
        <v>197</v>
      </c>
      <c r="AS69" s="80">
        <v>0</v>
      </c>
      <c r="AT69" s="80">
        <v>0</v>
      </c>
      <c r="AU69" s="80"/>
      <c r="AV69" s="80"/>
      <c r="AW69" s="80"/>
      <c r="AX69" s="80"/>
      <c r="AY69" s="80"/>
      <c r="AZ69" s="80"/>
      <c r="BA69" s="80"/>
      <c r="BB69" s="80"/>
      <c r="BC69">
        <v>1</v>
      </c>
      <c r="BD69" s="79" t="str">
        <f>REPLACE(INDEX(GroupVertices[Group],MATCH(Edges25[[#This Row],[Vertex 1]],GroupVertices[Vertex],0)),1,1,"")</f>
        <v>1</v>
      </c>
      <c r="BE69" s="79" t="str">
        <f>REPLACE(INDEX(GroupVertices[Group],MATCH(Edges25[[#This Row],[Vertex 2]],GroupVertices[Vertex],0)),1,1,"")</f>
        <v>4</v>
      </c>
      <c r="BF69" s="49">
        <v>3</v>
      </c>
      <c r="BG69" s="50">
        <v>9.67741935483871</v>
      </c>
      <c r="BH69" s="49">
        <v>0</v>
      </c>
      <c r="BI69" s="50">
        <v>0</v>
      </c>
      <c r="BJ69" s="49">
        <v>0</v>
      </c>
      <c r="BK69" s="50">
        <v>0</v>
      </c>
      <c r="BL69" s="49">
        <v>28</v>
      </c>
      <c r="BM69" s="50">
        <v>90.3225806451613</v>
      </c>
      <c r="BN69" s="49">
        <v>31</v>
      </c>
    </row>
    <row r="70" spans="1:66" ht="15">
      <c r="A70" s="65" t="s">
        <v>271</v>
      </c>
      <c r="B70" s="65" t="s">
        <v>322</v>
      </c>
      <c r="C70" s="66"/>
      <c r="D70" s="67"/>
      <c r="E70" s="66"/>
      <c r="F70" s="69"/>
      <c r="G70" s="66"/>
      <c r="H70" s="70"/>
      <c r="I70" s="71"/>
      <c r="J70" s="71"/>
      <c r="K70" s="35" t="s">
        <v>65</v>
      </c>
      <c r="L70" s="72">
        <v>115</v>
      </c>
      <c r="M70" s="72"/>
      <c r="N70" s="73"/>
      <c r="O70" s="80" t="s">
        <v>353</v>
      </c>
      <c r="P70" s="82">
        <v>44218.407685185186</v>
      </c>
      <c r="Q70" s="80" t="s">
        <v>386</v>
      </c>
      <c r="R70" s="84" t="str">
        <f>HYPERLINK("https://www.tiess.online/registration?utm_source=SM&amp;utm_medium=Abdulla&amp;utm_campaign=TIESS&amp;utm_term=005")</f>
        <v>https://www.tiess.online/registration?utm_source=SM&amp;utm_medium=Abdulla&amp;utm_campaign=TIESS&amp;utm_term=005</v>
      </c>
      <c r="S70" s="80" t="s">
        <v>444</v>
      </c>
      <c r="T70" s="80" t="s">
        <v>450</v>
      </c>
      <c r="U70" s="84" t="str">
        <f>HYPERLINK("https://pbs.twimg.com/media/EsU8GM3UUAE-AFJ.jpg")</f>
        <v>https://pbs.twimg.com/media/EsU8GM3UUAE-AFJ.jpg</v>
      </c>
      <c r="V70" s="84" t="str">
        <f>HYPERLINK("https://pbs.twimg.com/media/EsU8GM3UUAE-AFJ.jpg")</f>
        <v>https://pbs.twimg.com/media/EsU8GM3UUAE-AFJ.jpg</v>
      </c>
      <c r="W70" s="82">
        <v>44218.407685185186</v>
      </c>
      <c r="X70" s="86">
        <v>44218</v>
      </c>
      <c r="Y70" s="88" t="s">
        <v>527</v>
      </c>
      <c r="Z70" s="84" t="str">
        <f>HYPERLINK("https://twitter.com/indiadidac/status/1352553356284153856")</f>
        <v>https://twitter.com/indiadidac/status/1352553356284153856</v>
      </c>
      <c r="AA70" s="80"/>
      <c r="AB70" s="80"/>
      <c r="AC70" s="88" t="s">
        <v>678</v>
      </c>
      <c r="AD70" s="80"/>
      <c r="AE70" s="80" t="b">
        <v>0</v>
      </c>
      <c r="AF70" s="80">
        <v>1</v>
      </c>
      <c r="AG70" s="88" t="s">
        <v>763</v>
      </c>
      <c r="AH70" s="80" t="b">
        <v>0</v>
      </c>
      <c r="AI70" s="80" t="s">
        <v>764</v>
      </c>
      <c r="AJ70" s="80"/>
      <c r="AK70" s="88" t="s">
        <v>763</v>
      </c>
      <c r="AL70" s="80" t="b">
        <v>0</v>
      </c>
      <c r="AM70" s="80">
        <v>0</v>
      </c>
      <c r="AN70" s="88" t="s">
        <v>763</v>
      </c>
      <c r="AO70" s="80" t="s">
        <v>765</v>
      </c>
      <c r="AP70" s="80" t="b">
        <v>0</v>
      </c>
      <c r="AQ70" s="88" t="s">
        <v>678</v>
      </c>
      <c r="AR70" s="80" t="s">
        <v>197</v>
      </c>
      <c r="AS70" s="80">
        <v>0</v>
      </c>
      <c r="AT70" s="80">
        <v>0</v>
      </c>
      <c r="AU70" s="80"/>
      <c r="AV70" s="80"/>
      <c r="AW70" s="80"/>
      <c r="AX70" s="80"/>
      <c r="AY70" s="80"/>
      <c r="AZ70" s="80"/>
      <c r="BA70" s="80"/>
      <c r="BB70" s="80"/>
      <c r="BC70">
        <v>1</v>
      </c>
      <c r="BD70" s="79" t="str">
        <f>REPLACE(INDEX(GroupVertices[Group],MATCH(Edges25[[#This Row],[Vertex 1]],GroupVertices[Vertex],0)),1,1,"")</f>
        <v>1</v>
      </c>
      <c r="BE70" s="79" t="str">
        <f>REPLACE(INDEX(GroupVertices[Group],MATCH(Edges25[[#This Row],[Vertex 2]],GroupVertices[Vertex],0)),1,1,"")</f>
        <v>1</v>
      </c>
      <c r="BF70" s="49"/>
      <c r="BG70" s="50"/>
      <c r="BH70" s="49"/>
      <c r="BI70" s="50"/>
      <c r="BJ70" s="49"/>
      <c r="BK70" s="50"/>
      <c r="BL70" s="49"/>
      <c r="BM70" s="50"/>
      <c r="BN70" s="49"/>
    </row>
    <row r="71" spans="1:66" ht="15">
      <c r="A71" s="65" t="s">
        <v>282</v>
      </c>
      <c r="B71" s="65" t="s">
        <v>283</v>
      </c>
      <c r="C71" s="66"/>
      <c r="D71" s="67"/>
      <c r="E71" s="66"/>
      <c r="F71" s="69"/>
      <c r="G71" s="66"/>
      <c r="H71" s="70"/>
      <c r="I71" s="71"/>
      <c r="J71" s="71"/>
      <c r="K71" s="35" t="s">
        <v>66</v>
      </c>
      <c r="L71" s="72">
        <v>117</v>
      </c>
      <c r="M71" s="72"/>
      <c r="N71" s="73"/>
      <c r="O71" s="80" t="s">
        <v>353</v>
      </c>
      <c r="P71" s="82">
        <v>44220.839733796296</v>
      </c>
      <c r="Q71" s="80" t="s">
        <v>387</v>
      </c>
      <c r="R71" s="84" t="str">
        <f>HYPERLINK("https://virtual.tiess.online")</f>
        <v>https://virtual.tiess.online</v>
      </c>
      <c r="S71" s="80" t="s">
        <v>444</v>
      </c>
      <c r="T71" s="80" t="s">
        <v>456</v>
      </c>
      <c r="U71" s="84" t="str">
        <f>HYPERLINK("https://pbs.twimg.com/media/EshdofwU0AA_AW0.jpg")</f>
        <v>https://pbs.twimg.com/media/EshdofwU0AA_AW0.jpg</v>
      </c>
      <c r="V71" s="84" t="str">
        <f>HYPERLINK("https://pbs.twimg.com/media/EshdofwU0AA_AW0.jpg")</f>
        <v>https://pbs.twimg.com/media/EshdofwU0AA_AW0.jpg</v>
      </c>
      <c r="W71" s="82">
        <v>44220.839733796296</v>
      </c>
      <c r="X71" s="86">
        <v>44220</v>
      </c>
      <c r="Y71" s="88" t="s">
        <v>528</v>
      </c>
      <c r="Z71" s="84" t="str">
        <f>HYPERLINK("https://twitter.com/timunwin/status/1353434704154943489")</f>
        <v>https://twitter.com/timunwin/status/1353434704154943489</v>
      </c>
      <c r="AA71" s="80"/>
      <c r="AB71" s="80"/>
      <c r="AC71" s="88" t="s">
        <v>679</v>
      </c>
      <c r="AD71" s="80"/>
      <c r="AE71" s="80" t="b">
        <v>0</v>
      </c>
      <c r="AF71" s="80">
        <v>7</v>
      </c>
      <c r="AG71" s="88" t="s">
        <v>763</v>
      </c>
      <c r="AH71" s="80" t="b">
        <v>0</v>
      </c>
      <c r="AI71" s="80" t="s">
        <v>764</v>
      </c>
      <c r="AJ71" s="80"/>
      <c r="AK71" s="88" t="s">
        <v>763</v>
      </c>
      <c r="AL71" s="80" t="b">
        <v>0</v>
      </c>
      <c r="AM71" s="80">
        <v>1</v>
      </c>
      <c r="AN71" s="88" t="s">
        <v>763</v>
      </c>
      <c r="AO71" s="80" t="s">
        <v>765</v>
      </c>
      <c r="AP71" s="80" t="b">
        <v>0</v>
      </c>
      <c r="AQ71" s="88" t="s">
        <v>679</v>
      </c>
      <c r="AR71" s="80" t="s">
        <v>197</v>
      </c>
      <c r="AS71" s="80">
        <v>0</v>
      </c>
      <c r="AT71" s="80">
        <v>0</v>
      </c>
      <c r="AU71" s="80"/>
      <c r="AV71" s="80"/>
      <c r="AW71" s="80"/>
      <c r="AX71" s="80"/>
      <c r="AY71" s="80"/>
      <c r="AZ71" s="80"/>
      <c r="BA71" s="80"/>
      <c r="BB71" s="80"/>
      <c r="BC71">
        <v>1</v>
      </c>
      <c r="BD71" s="79" t="str">
        <f>REPLACE(INDEX(GroupVertices[Group],MATCH(Edges25[[#This Row],[Vertex 1]],GroupVertices[Vertex],0)),1,1,"")</f>
        <v>3</v>
      </c>
      <c r="BE71" s="79" t="str">
        <f>REPLACE(INDEX(GroupVertices[Group],MATCH(Edges25[[#This Row],[Vertex 2]],GroupVertices[Vertex],0)),1,1,"")</f>
        <v>3</v>
      </c>
      <c r="BF71" s="49">
        <v>0</v>
      </c>
      <c r="BG71" s="50">
        <v>0</v>
      </c>
      <c r="BH71" s="49">
        <v>0</v>
      </c>
      <c r="BI71" s="50">
        <v>0</v>
      </c>
      <c r="BJ71" s="49">
        <v>0</v>
      </c>
      <c r="BK71" s="50">
        <v>0</v>
      </c>
      <c r="BL71" s="49">
        <v>27</v>
      </c>
      <c r="BM71" s="50">
        <v>100</v>
      </c>
      <c r="BN71" s="49">
        <v>27</v>
      </c>
    </row>
    <row r="72" spans="1:66" ht="15">
      <c r="A72" s="65" t="s">
        <v>274</v>
      </c>
      <c r="B72" s="65" t="s">
        <v>283</v>
      </c>
      <c r="C72" s="66"/>
      <c r="D72" s="67"/>
      <c r="E72" s="66"/>
      <c r="F72" s="69"/>
      <c r="G72" s="66"/>
      <c r="H72" s="70"/>
      <c r="I72" s="71"/>
      <c r="J72" s="71"/>
      <c r="K72" s="35" t="s">
        <v>65</v>
      </c>
      <c r="L72" s="72">
        <v>118</v>
      </c>
      <c r="M72" s="72"/>
      <c r="N72" s="73"/>
      <c r="O72" s="80" t="s">
        <v>352</v>
      </c>
      <c r="P72" s="82">
        <v>44218.48719907407</v>
      </c>
      <c r="Q72" s="80" t="s">
        <v>388</v>
      </c>
      <c r="R72" s="84" t="str">
        <f>HYPERLINK("https://www.tiess.online/registration?utm_source=SM&amp;utm_medium=Tim&amp;utm_campaign=TIESS&amp;utm_term=010")</f>
        <v>https://www.tiess.online/registration?utm_source=SM&amp;utm_medium=Tim&amp;utm_campaign=TIESS&amp;utm_term=010</v>
      </c>
      <c r="S72" s="80" t="s">
        <v>444</v>
      </c>
      <c r="T72" s="80" t="s">
        <v>450</v>
      </c>
      <c r="U72" s="84" t="str">
        <f>HYPERLINK("https://pbs.twimg.com/media/EsVHjnWVcAIPA3y.jpg")</f>
        <v>https://pbs.twimg.com/media/EsVHjnWVcAIPA3y.jpg</v>
      </c>
      <c r="V72" s="84" t="str">
        <f>HYPERLINK("https://pbs.twimg.com/media/EsVHjnWVcAIPA3y.jpg")</f>
        <v>https://pbs.twimg.com/media/EsVHjnWVcAIPA3y.jpg</v>
      </c>
      <c r="W72" s="82">
        <v>44218.48719907407</v>
      </c>
      <c r="X72" s="86">
        <v>44218</v>
      </c>
      <c r="Y72" s="88" t="s">
        <v>529</v>
      </c>
      <c r="Z72" s="84" t="str">
        <f>HYPERLINK("https://twitter.com/gavindk/status/1352582174596358147")</f>
        <v>https://twitter.com/gavindk/status/1352582174596358147</v>
      </c>
      <c r="AA72" s="80"/>
      <c r="AB72" s="80"/>
      <c r="AC72" s="88" t="s">
        <v>680</v>
      </c>
      <c r="AD72" s="80"/>
      <c r="AE72" s="80" t="b">
        <v>0</v>
      </c>
      <c r="AF72" s="80">
        <v>0</v>
      </c>
      <c r="AG72" s="88" t="s">
        <v>763</v>
      </c>
      <c r="AH72" s="80" t="b">
        <v>0</v>
      </c>
      <c r="AI72" s="80" t="s">
        <v>764</v>
      </c>
      <c r="AJ72" s="80"/>
      <c r="AK72" s="88" t="s">
        <v>763</v>
      </c>
      <c r="AL72" s="80" t="b">
        <v>0</v>
      </c>
      <c r="AM72" s="80">
        <v>1</v>
      </c>
      <c r="AN72" s="88" t="s">
        <v>682</v>
      </c>
      <c r="AO72" s="80" t="s">
        <v>765</v>
      </c>
      <c r="AP72" s="80" t="b">
        <v>0</v>
      </c>
      <c r="AQ72" s="88" t="s">
        <v>682</v>
      </c>
      <c r="AR72" s="80" t="s">
        <v>197</v>
      </c>
      <c r="AS72" s="80">
        <v>0</v>
      </c>
      <c r="AT72" s="80">
        <v>0</v>
      </c>
      <c r="AU72" s="80"/>
      <c r="AV72" s="80"/>
      <c r="AW72" s="80"/>
      <c r="AX72" s="80"/>
      <c r="AY72" s="80"/>
      <c r="AZ72" s="80"/>
      <c r="BA72" s="80"/>
      <c r="BB72" s="80"/>
      <c r="BC72">
        <v>1</v>
      </c>
      <c r="BD72" s="79" t="str">
        <f>REPLACE(INDEX(GroupVertices[Group],MATCH(Edges25[[#This Row],[Vertex 1]],GroupVertices[Vertex],0)),1,1,"")</f>
        <v>3</v>
      </c>
      <c r="BE72" s="79" t="str">
        <f>REPLACE(INDEX(GroupVertices[Group],MATCH(Edges25[[#This Row],[Vertex 2]],GroupVertices[Vertex],0)),1,1,"")</f>
        <v>3</v>
      </c>
      <c r="BF72" s="49"/>
      <c r="BG72" s="50"/>
      <c r="BH72" s="49"/>
      <c r="BI72" s="50"/>
      <c r="BJ72" s="49"/>
      <c r="BK72" s="50"/>
      <c r="BL72" s="49"/>
      <c r="BM72" s="50"/>
      <c r="BN72" s="49"/>
    </row>
    <row r="73" spans="1:66" ht="15">
      <c r="A73" s="65" t="s">
        <v>283</v>
      </c>
      <c r="B73" s="65" t="s">
        <v>271</v>
      </c>
      <c r="C73" s="66"/>
      <c r="D73" s="67"/>
      <c r="E73" s="66"/>
      <c r="F73" s="69"/>
      <c r="G73" s="66"/>
      <c r="H73" s="70"/>
      <c r="I73" s="71"/>
      <c r="J73" s="71"/>
      <c r="K73" s="35" t="s">
        <v>66</v>
      </c>
      <c r="L73" s="72">
        <v>119</v>
      </c>
      <c r="M73" s="72"/>
      <c r="N73" s="73"/>
      <c r="O73" s="80" t="s">
        <v>352</v>
      </c>
      <c r="P73" s="82">
        <v>44221.546215277776</v>
      </c>
      <c r="Q73" s="80" t="s">
        <v>387</v>
      </c>
      <c r="R73" s="84" t="str">
        <f>HYPERLINK("https://virtual.tiess.online")</f>
        <v>https://virtual.tiess.online</v>
      </c>
      <c r="S73" s="80" t="s">
        <v>444</v>
      </c>
      <c r="T73" s="80" t="s">
        <v>456</v>
      </c>
      <c r="U73" s="84" t="str">
        <f>HYPERLINK("https://pbs.twimg.com/media/EshdofwU0AA_AW0.jpg")</f>
        <v>https://pbs.twimg.com/media/EshdofwU0AA_AW0.jpg</v>
      </c>
      <c r="V73" s="84" t="str">
        <f>HYPERLINK("https://pbs.twimg.com/media/EshdofwU0AA_AW0.jpg")</f>
        <v>https://pbs.twimg.com/media/EshdofwU0AA_AW0.jpg</v>
      </c>
      <c r="W73" s="82">
        <v>44221.546215277776</v>
      </c>
      <c r="X73" s="86">
        <v>44221</v>
      </c>
      <c r="Y73" s="88" t="s">
        <v>530</v>
      </c>
      <c r="Z73" s="84" t="str">
        <f>HYPERLINK("https://twitter.com/unescoict4d/status/1353690725431599104")</f>
        <v>https://twitter.com/unescoict4d/status/1353690725431599104</v>
      </c>
      <c r="AA73" s="80"/>
      <c r="AB73" s="80"/>
      <c r="AC73" s="88" t="s">
        <v>681</v>
      </c>
      <c r="AD73" s="80"/>
      <c r="AE73" s="80" t="b">
        <v>0</v>
      </c>
      <c r="AF73" s="80">
        <v>0</v>
      </c>
      <c r="AG73" s="88" t="s">
        <v>763</v>
      </c>
      <c r="AH73" s="80" t="b">
        <v>0</v>
      </c>
      <c r="AI73" s="80" t="s">
        <v>764</v>
      </c>
      <c r="AJ73" s="80"/>
      <c r="AK73" s="88" t="s">
        <v>763</v>
      </c>
      <c r="AL73" s="80" t="b">
        <v>0</v>
      </c>
      <c r="AM73" s="80">
        <v>1</v>
      </c>
      <c r="AN73" s="88" t="s">
        <v>679</v>
      </c>
      <c r="AO73" s="80" t="s">
        <v>765</v>
      </c>
      <c r="AP73" s="80" t="b">
        <v>0</v>
      </c>
      <c r="AQ73" s="88" t="s">
        <v>679</v>
      </c>
      <c r="AR73" s="80" t="s">
        <v>197</v>
      </c>
      <c r="AS73" s="80">
        <v>0</v>
      </c>
      <c r="AT73" s="80">
        <v>0</v>
      </c>
      <c r="AU73" s="80"/>
      <c r="AV73" s="80"/>
      <c r="AW73" s="80"/>
      <c r="AX73" s="80"/>
      <c r="AY73" s="80"/>
      <c r="AZ73" s="80"/>
      <c r="BA73" s="80"/>
      <c r="BB73" s="80"/>
      <c r="BC73">
        <v>1</v>
      </c>
      <c r="BD73" s="79" t="str">
        <f>REPLACE(INDEX(GroupVertices[Group],MATCH(Edges25[[#This Row],[Vertex 1]],GroupVertices[Vertex],0)),1,1,"")</f>
        <v>3</v>
      </c>
      <c r="BE73" s="79" t="str">
        <f>REPLACE(INDEX(GroupVertices[Group],MATCH(Edges25[[#This Row],[Vertex 2]],GroupVertices[Vertex],0)),1,1,"")</f>
        <v>1</v>
      </c>
      <c r="BF73" s="49"/>
      <c r="BG73" s="50"/>
      <c r="BH73" s="49"/>
      <c r="BI73" s="50"/>
      <c r="BJ73" s="49"/>
      <c r="BK73" s="50"/>
      <c r="BL73" s="49"/>
      <c r="BM73" s="50"/>
      <c r="BN73" s="49"/>
    </row>
    <row r="74" spans="1:66" ht="15">
      <c r="A74" s="65" t="s">
        <v>271</v>
      </c>
      <c r="B74" s="65" t="s">
        <v>283</v>
      </c>
      <c r="C74" s="66"/>
      <c r="D74" s="67"/>
      <c r="E74" s="66"/>
      <c r="F74" s="69"/>
      <c r="G74" s="66"/>
      <c r="H74" s="70"/>
      <c r="I74" s="71"/>
      <c r="J74" s="71"/>
      <c r="K74" s="35" t="s">
        <v>66</v>
      </c>
      <c r="L74" s="72">
        <v>121</v>
      </c>
      <c r="M74" s="72"/>
      <c r="N74" s="73"/>
      <c r="O74" s="80" t="s">
        <v>353</v>
      </c>
      <c r="P74" s="82">
        <v>44218.44265046297</v>
      </c>
      <c r="Q74" s="80" t="s">
        <v>388</v>
      </c>
      <c r="R74" s="84" t="str">
        <f>HYPERLINK("https://www.tiess.online/registration?utm_source=SM&amp;utm_medium=Tim&amp;utm_campaign=TIESS&amp;utm_term=010")</f>
        <v>https://www.tiess.online/registration?utm_source=SM&amp;utm_medium=Tim&amp;utm_campaign=TIESS&amp;utm_term=010</v>
      </c>
      <c r="S74" s="80" t="s">
        <v>444</v>
      </c>
      <c r="T74" s="80" t="s">
        <v>450</v>
      </c>
      <c r="U74" s="84" t="str">
        <f>HYPERLINK("https://pbs.twimg.com/media/EsVHjnWVcAIPA3y.jpg")</f>
        <v>https://pbs.twimg.com/media/EsVHjnWVcAIPA3y.jpg</v>
      </c>
      <c r="V74" s="84" t="str">
        <f>HYPERLINK("https://pbs.twimg.com/media/EsVHjnWVcAIPA3y.jpg")</f>
        <v>https://pbs.twimg.com/media/EsVHjnWVcAIPA3y.jpg</v>
      </c>
      <c r="W74" s="82">
        <v>44218.44265046297</v>
      </c>
      <c r="X74" s="86">
        <v>44218</v>
      </c>
      <c r="Y74" s="88" t="s">
        <v>531</v>
      </c>
      <c r="Z74" s="84" t="str">
        <f>HYPERLINK("https://twitter.com/indiadidac/status/1352566027909881859")</f>
        <v>https://twitter.com/indiadidac/status/1352566027909881859</v>
      </c>
      <c r="AA74" s="80"/>
      <c r="AB74" s="80"/>
      <c r="AC74" s="88" t="s">
        <v>682</v>
      </c>
      <c r="AD74" s="80"/>
      <c r="AE74" s="80" t="b">
        <v>0</v>
      </c>
      <c r="AF74" s="80">
        <v>3</v>
      </c>
      <c r="AG74" s="88" t="s">
        <v>763</v>
      </c>
      <c r="AH74" s="80" t="b">
        <v>0</v>
      </c>
      <c r="AI74" s="80" t="s">
        <v>764</v>
      </c>
      <c r="AJ74" s="80"/>
      <c r="AK74" s="88" t="s">
        <v>763</v>
      </c>
      <c r="AL74" s="80" t="b">
        <v>0</v>
      </c>
      <c r="AM74" s="80">
        <v>1</v>
      </c>
      <c r="AN74" s="88" t="s">
        <v>763</v>
      </c>
      <c r="AO74" s="80" t="s">
        <v>765</v>
      </c>
      <c r="AP74" s="80" t="b">
        <v>0</v>
      </c>
      <c r="AQ74" s="88" t="s">
        <v>682</v>
      </c>
      <c r="AR74" s="80" t="s">
        <v>197</v>
      </c>
      <c r="AS74" s="80">
        <v>0</v>
      </c>
      <c r="AT74" s="80">
        <v>0</v>
      </c>
      <c r="AU74" s="80"/>
      <c r="AV74" s="80"/>
      <c r="AW74" s="80"/>
      <c r="AX74" s="80"/>
      <c r="AY74" s="80"/>
      <c r="AZ74" s="80"/>
      <c r="BA74" s="80"/>
      <c r="BB74" s="80"/>
      <c r="BC74">
        <v>1</v>
      </c>
      <c r="BD74" s="79" t="str">
        <f>REPLACE(INDEX(GroupVertices[Group],MATCH(Edges25[[#This Row],[Vertex 1]],GroupVertices[Vertex],0)),1,1,"")</f>
        <v>1</v>
      </c>
      <c r="BE74" s="79" t="str">
        <f>REPLACE(INDEX(GroupVertices[Group],MATCH(Edges25[[#This Row],[Vertex 2]],GroupVertices[Vertex],0)),1,1,"")</f>
        <v>3</v>
      </c>
      <c r="BF74" s="49"/>
      <c r="BG74" s="50"/>
      <c r="BH74" s="49"/>
      <c r="BI74" s="50"/>
      <c r="BJ74" s="49"/>
      <c r="BK74" s="50"/>
      <c r="BL74" s="49"/>
      <c r="BM74" s="50"/>
      <c r="BN74" s="49"/>
    </row>
    <row r="75" spans="1:66" ht="15">
      <c r="A75" s="65" t="s">
        <v>282</v>
      </c>
      <c r="B75" s="65" t="s">
        <v>271</v>
      </c>
      <c r="C75" s="66"/>
      <c r="D75" s="67"/>
      <c r="E75" s="66"/>
      <c r="F75" s="69"/>
      <c r="G75" s="66"/>
      <c r="H75" s="70"/>
      <c r="I75" s="71"/>
      <c r="J75" s="71"/>
      <c r="K75" s="35" t="s">
        <v>66</v>
      </c>
      <c r="L75" s="72">
        <v>124</v>
      </c>
      <c r="M75" s="72"/>
      <c r="N75" s="73"/>
      <c r="O75" s="80" t="s">
        <v>351</v>
      </c>
      <c r="P75" s="82">
        <v>44220.837175925924</v>
      </c>
      <c r="Q75" s="80" t="s">
        <v>389</v>
      </c>
      <c r="R75" s="80"/>
      <c r="S75" s="80"/>
      <c r="T75" s="80" t="s">
        <v>450</v>
      </c>
      <c r="U75" s="84" t="str">
        <f>HYPERLINK("https://pbs.twimg.com/media/EsgPDwCUcAYZq66.jpg")</f>
        <v>https://pbs.twimg.com/media/EsgPDwCUcAYZq66.jpg</v>
      </c>
      <c r="V75" s="84" t="str">
        <f>HYPERLINK("https://pbs.twimg.com/media/EsgPDwCUcAYZq66.jpg")</f>
        <v>https://pbs.twimg.com/media/EsgPDwCUcAYZq66.jpg</v>
      </c>
      <c r="W75" s="82">
        <v>44220.837175925924</v>
      </c>
      <c r="X75" s="86">
        <v>44220</v>
      </c>
      <c r="Y75" s="88" t="s">
        <v>532</v>
      </c>
      <c r="Z75" s="84" t="str">
        <f>HYPERLINK("https://twitter.com/timunwin/status/1353433777599557633")</f>
        <v>https://twitter.com/timunwin/status/1353433777599557633</v>
      </c>
      <c r="AA75" s="80"/>
      <c r="AB75" s="80"/>
      <c r="AC75" s="88" t="s">
        <v>683</v>
      </c>
      <c r="AD75" s="80"/>
      <c r="AE75" s="80" t="b">
        <v>0</v>
      </c>
      <c r="AF75" s="80">
        <v>0</v>
      </c>
      <c r="AG75" s="88" t="s">
        <v>763</v>
      </c>
      <c r="AH75" s="80" t="b">
        <v>0</v>
      </c>
      <c r="AI75" s="80" t="s">
        <v>764</v>
      </c>
      <c r="AJ75" s="80"/>
      <c r="AK75" s="88" t="s">
        <v>763</v>
      </c>
      <c r="AL75" s="80" t="b">
        <v>0</v>
      </c>
      <c r="AM75" s="80">
        <v>2</v>
      </c>
      <c r="AN75" s="88" t="s">
        <v>753</v>
      </c>
      <c r="AO75" s="80" t="s">
        <v>765</v>
      </c>
      <c r="AP75" s="80" t="b">
        <v>0</v>
      </c>
      <c r="AQ75" s="88" t="s">
        <v>753</v>
      </c>
      <c r="AR75" s="80" t="s">
        <v>197</v>
      </c>
      <c r="AS75" s="80">
        <v>0</v>
      </c>
      <c r="AT75" s="80">
        <v>0</v>
      </c>
      <c r="AU75" s="80"/>
      <c r="AV75" s="80"/>
      <c r="AW75" s="80"/>
      <c r="AX75" s="80"/>
      <c r="AY75" s="80"/>
      <c r="AZ75" s="80"/>
      <c r="BA75" s="80"/>
      <c r="BB75" s="80"/>
      <c r="BC75">
        <v>1</v>
      </c>
      <c r="BD75" s="79" t="str">
        <f>REPLACE(INDEX(GroupVertices[Group],MATCH(Edges25[[#This Row],[Vertex 1]],GroupVertices[Vertex],0)),1,1,"")</f>
        <v>3</v>
      </c>
      <c r="BE75" s="79" t="str">
        <f>REPLACE(INDEX(GroupVertices[Group],MATCH(Edges25[[#This Row],[Vertex 2]],GroupVertices[Vertex],0)),1,1,"")</f>
        <v>1</v>
      </c>
      <c r="BF75" s="49">
        <v>2</v>
      </c>
      <c r="BG75" s="50">
        <v>5.555555555555555</v>
      </c>
      <c r="BH75" s="49">
        <v>0</v>
      </c>
      <c r="BI75" s="50">
        <v>0</v>
      </c>
      <c r="BJ75" s="49">
        <v>0</v>
      </c>
      <c r="BK75" s="50">
        <v>0</v>
      </c>
      <c r="BL75" s="49">
        <v>34</v>
      </c>
      <c r="BM75" s="50">
        <v>94.44444444444444</v>
      </c>
      <c r="BN75" s="49">
        <v>36</v>
      </c>
    </row>
    <row r="76" spans="1:66" ht="15">
      <c r="A76" s="65" t="s">
        <v>271</v>
      </c>
      <c r="B76" s="65" t="s">
        <v>325</v>
      </c>
      <c r="C76" s="66"/>
      <c r="D76" s="67"/>
      <c r="E76" s="66"/>
      <c r="F76" s="69"/>
      <c r="G76" s="66"/>
      <c r="H76" s="70"/>
      <c r="I76" s="71"/>
      <c r="J76" s="71"/>
      <c r="K76" s="35" t="s">
        <v>65</v>
      </c>
      <c r="L76" s="72">
        <v>128</v>
      </c>
      <c r="M76" s="72"/>
      <c r="N76" s="73"/>
      <c r="O76" s="80" t="s">
        <v>353</v>
      </c>
      <c r="P76" s="82">
        <v>44218.468090277776</v>
      </c>
      <c r="Q76" s="80" t="s">
        <v>390</v>
      </c>
      <c r="R76" s="84" t="str">
        <f>HYPERLINK("https://www.tiess.online/registration?utm_source=RadhaChauhan&amp;utm_medium=Email&amp;utm_campaign=TIESS&amp;utm_term=021")</f>
        <v>https://www.tiess.online/registration?utm_source=RadhaChauhan&amp;utm_medium=Email&amp;utm_campaign=TIESS&amp;utm_term=021</v>
      </c>
      <c r="S76" s="80" t="s">
        <v>444</v>
      </c>
      <c r="T76" s="80" t="s">
        <v>449</v>
      </c>
      <c r="U76" s="84" t="str">
        <f>HYPERLINK("https://pbs.twimg.com/media/EsVP5ghUYAAdQD1.jpg")</f>
        <v>https://pbs.twimg.com/media/EsVP5ghUYAAdQD1.jpg</v>
      </c>
      <c r="V76" s="84" t="str">
        <f>HYPERLINK("https://pbs.twimg.com/media/EsVP5ghUYAAdQD1.jpg")</f>
        <v>https://pbs.twimg.com/media/EsVP5ghUYAAdQD1.jpg</v>
      </c>
      <c r="W76" s="82">
        <v>44218.468090277776</v>
      </c>
      <c r="X76" s="86">
        <v>44218</v>
      </c>
      <c r="Y76" s="88" t="s">
        <v>533</v>
      </c>
      <c r="Z76" s="84" t="str">
        <f>HYPERLINK("https://twitter.com/indiadidac/status/1352575249158529028")</f>
        <v>https://twitter.com/indiadidac/status/1352575249158529028</v>
      </c>
      <c r="AA76" s="80"/>
      <c r="AB76" s="80"/>
      <c r="AC76" s="88" t="s">
        <v>684</v>
      </c>
      <c r="AD76" s="80"/>
      <c r="AE76" s="80" t="b">
        <v>0</v>
      </c>
      <c r="AF76" s="80">
        <v>1</v>
      </c>
      <c r="AG76" s="88" t="s">
        <v>763</v>
      </c>
      <c r="AH76" s="80" t="b">
        <v>0</v>
      </c>
      <c r="AI76" s="80" t="s">
        <v>764</v>
      </c>
      <c r="AJ76" s="80"/>
      <c r="AK76" s="88" t="s">
        <v>763</v>
      </c>
      <c r="AL76" s="80" t="b">
        <v>0</v>
      </c>
      <c r="AM76" s="80">
        <v>0</v>
      </c>
      <c r="AN76" s="88" t="s">
        <v>763</v>
      </c>
      <c r="AO76" s="80" t="s">
        <v>765</v>
      </c>
      <c r="AP76" s="80" t="b">
        <v>0</v>
      </c>
      <c r="AQ76" s="88" t="s">
        <v>684</v>
      </c>
      <c r="AR76" s="80" t="s">
        <v>197</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9">
        <v>1</v>
      </c>
      <c r="BG76" s="50">
        <v>3.225806451612903</v>
      </c>
      <c r="BH76" s="49">
        <v>0</v>
      </c>
      <c r="BI76" s="50">
        <v>0</v>
      </c>
      <c r="BJ76" s="49">
        <v>0</v>
      </c>
      <c r="BK76" s="50">
        <v>0</v>
      </c>
      <c r="BL76" s="49">
        <v>30</v>
      </c>
      <c r="BM76" s="50">
        <v>96.7741935483871</v>
      </c>
      <c r="BN76" s="49">
        <v>31</v>
      </c>
    </row>
    <row r="77" spans="1:66" ht="15">
      <c r="A77" s="65" t="s">
        <v>271</v>
      </c>
      <c r="B77" s="65" t="s">
        <v>326</v>
      </c>
      <c r="C77" s="66"/>
      <c r="D77" s="67"/>
      <c r="E77" s="66"/>
      <c r="F77" s="69"/>
      <c r="G77" s="66"/>
      <c r="H77" s="70"/>
      <c r="I77" s="71"/>
      <c r="J77" s="71"/>
      <c r="K77" s="35" t="s">
        <v>65</v>
      </c>
      <c r="L77" s="72">
        <v>129</v>
      </c>
      <c r="M77" s="72"/>
      <c r="N77" s="73"/>
      <c r="O77" s="80" t="s">
        <v>353</v>
      </c>
      <c r="P77" s="82">
        <v>44218.497881944444</v>
      </c>
      <c r="Q77" s="80" t="s">
        <v>391</v>
      </c>
      <c r="R77" s="84" t="str">
        <f>HYPERLINK("https://www.tiess.online/registration?utm_source=Diana%20El-Azar&amp;utm_medium=Email&amp;utm_campaign=TIESS&amp;utm_term=022")</f>
        <v>https://www.tiess.online/registration?utm_source=Diana%20El-Azar&amp;utm_medium=Email&amp;utm_campaign=TIESS&amp;utm_term=022</v>
      </c>
      <c r="S77" s="80" t="s">
        <v>444</v>
      </c>
      <c r="T77" s="80" t="s">
        <v>450</v>
      </c>
      <c r="U77" s="84" t="str">
        <f>HYPERLINK("https://pbs.twimg.com/media/EsVZygxU4AM-dyR.jpg")</f>
        <v>https://pbs.twimg.com/media/EsVZygxU4AM-dyR.jpg</v>
      </c>
      <c r="V77" s="84" t="str">
        <f>HYPERLINK("https://pbs.twimg.com/media/EsVZygxU4AM-dyR.jpg")</f>
        <v>https://pbs.twimg.com/media/EsVZygxU4AM-dyR.jpg</v>
      </c>
      <c r="W77" s="82">
        <v>44218.497881944444</v>
      </c>
      <c r="X77" s="86">
        <v>44218</v>
      </c>
      <c r="Y77" s="88" t="s">
        <v>534</v>
      </c>
      <c r="Z77" s="84" t="str">
        <f>HYPERLINK("https://twitter.com/indiadidac/status/1352586044688879618")</f>
        <v>https://twitter.com/indiadidac/status/1352586044688879618</v>
      </c>
      <c r="AA77" s="80"/>
      <c r="AB77" s="80"/>
      <c r="AC77" s="88" t="s">
        <v>685</v>
      </c>
      <c r="AD77" s="80"/>
      <c r="AE77" s="80" t="b">
        <v>0</v>
      </c>
      <c r="AF77" s="80">
        <v>1</v>
      </c>
      <c r="AG77" s="88" t="s">
        <v>763</v>
      </c>
      <c r="AH77" s="80" t="b">
        <v>0</v>
      </c>
      <c r="AI77" s="80" t="s">
        <v>764</v>
      </c>
      <c r="AJ77" s="80"/>
      <c r="AK77" s="88" t="s">
        <v>763</v>
      </c>
      <c r="AL77" s="80" t="b">
        <v>0</v>
      </c>
      <c r="AM77" s="80">
        <v>0</v>
      </c>
      <c r="AN77" s="88" t="s">
        <v>763</v>
      </c>
      <c r="AO77" s="80" t="s">
        <v>765</v>
      </c>
      <c r="AP77" s="80" t="b">
        <v>0</v>
      </c>
      <c r="AQ77" s="88" t="s">
        <v>685</v>
      </c>
      <c r="AR77" s="80" t="s">
        <v>197</v>
      </c>
      <c r="AS77" s="80">
        <v>0</v>
      </c>
      <c r="AT77" s="80">
        <v>0</v>
      </c>
      <c r="AU77" s="80"/>
      <c r="AV77" s="80"/>
      <c r="AW77" s="80"/>
      <c r="AX77" s="80"/>
      <c r="AY77" s="80"/>
      <c r="AZ77" s="80"/>
      <c r="BA77" s="80"/>
      <c r="BB77" s="80"/>
      <c r="BC77">
        <v>1</v>
      </c>
      <c r="BD77" s="79" t="str">
        <f>REPLACE(INDEX(GroupVertices[Group],MATCH(Edges25[[#This Row],[Vertex 1]],GroupVertices[Vertex],0)),1,1,"")</f>
        <v>1</v>
      </c>
      <c r="BE77" s="79" t="str">
        <f>REPLACE(INDEX(GroupVertices[Group],MATCH(Edges25[[#This Row],[Vertex 2]],GroupVertices[Vertex],0)),1,1,"")</f>
        <v>1</v>
      </c>
      <c r="BF77" s="49">
        <v>0</v>
      </c>
      <c r="BG77" s="50">
        <v>0</v>
      </c>
      <c r="BH77" s="49">
        <v>0</v>
      </c>
      <c r="BI77" s="50">
        <v>0</v>
      </c>
      <c r="BJ77" s="49">
        <v>0</v>
      </c>
      <c r="BK77" s="50">
        <v>0</v>
      </c>
      <c r="BL77" s="49">
        <v>28</v>
      </c>
      <c r="BM77" s="50">
        <v>100</v>
      </c>
      <c r="BN77" s="49">
        <v>28</v>
      </c>
    </row>
    <row r="78" spans="1:66" ht="15">
      <c r="A78" s="65" t="s">
        <v>271</v>
      </c>
      <c r="B78" s="65" t="s">
        <v>327</v>
      </c>
      <c r="C78" s="66"/>
      <c r="D78" s="67"/>
      <c r="E78" s="66"/>
      <c r="F78" s="69"/>
      <c r="G78" s="66"/>
      <c r="H78" s="70"/>
      <c r="I78" s="71"/>
      <c r="J78" s="71"/>
      <c r="K78" s="35" t="s">
        <v>65</v>
      </c>
      <c r="L78" s="72">
        <v>130</v>
      </c>
      <c r="M78" s="72"/>
      <c r="N78" s="73"/>
      <c r="O78" s="80" t="s">
        <v>353</v>
      </c>
      <c r="P78" s="82">
        <v>44218.51814814815</v>
      </c>
      <c r="Q78" s="80" t="s">
        <v>392</v>
      </c>
      <c r="R78" s="84" t="str">
        <f>HYPERLINK("https://www.tiess.online/registration?utm_source=SM&amp;utm_medium=Chelsea&amp;utm_campaign=TIESS&amp;utm_term=019")</f>
        <v>https://www.tiess.online/registration?utm_source=SM&amp;utm_medium=Chelsea&amp;utm_campaign=TIESS&amp;utm_term=019</v>
      </c>
      <c r="S78" s="80" t="s">
        <v>444</v>
      </c>
      <c r="T78" s="80" t="s">
        <v>449</v>
      </c>
      <c r="U78" s="84" t="str">
        <f>HYPERLINK("https://pbs.twimg.com/media/EsVgdp3UwAMIf6D.jpg")</f>
        <v>https://pbs.twimg.com/media/EsVgdp3UwAMIf6D.jpg</v>
      </c>
      <c r="V78" s="84" t="str">
        <f>HYPERLINK("https://pbs.twimg.com/media/EsVgdp3UwAMIf6D.jpg")</f>
        <v>https://pbs.twimg.com/media/EsVgdp3UwAMIf6D.jpg</v>
      </c>
      <c r="W78" s="82">
        <v>44218.51814814815</v>
      </c>
      <c r="X78" s="86">
        <v>44218</v>
      </c>
      <c r="Y78" s="88" t="s">
        <v>535</v>
      </c>
      <c r="Z78" s="84" t="str">
        <f>HYPERLINK("https://twitter.com/indiadidac/status/1352593389095628806")</f>
        <v>https://twitter.com/indiadidac/status/1352593389095628806</v>
      </c>
      <c r="AA78" s="80"/>
      <c r="AB78" s="80"/>
      <c r="AC78" s="88" t="s">
        <v>686</v>
      </c>
      <c r="AD78" s="80"/>
      <c r="AE78" s="80" t="b">
        <v>0</v>
      </c>
      <c r="AF78" s="80">
        <v>2</v>
      </c>
      <c r="AG78" s="88" t="s">
        <v>763</v>
      </c>
      <c r="AH78" s="80" t="b">
        <v>0</v>
      </c>
      <c r="AI78" s="80" t="s">
        <v>764</v>
      </c>
      <c r="AJ78" s="80"/>
      <c r="AK78" s="88" t="s">
        <v>763</v>
      </c>
      <c r="AL78" s="80" t="b">
        <v>0</v>
      </c>
      <c r="AM78" s="80">
        <v>0</v>
      </c>
      <c r="AN78" s="88" t="s">
        <v>763</v>
      </c>
      <c r="AO78" s="80" t="s">
        <v>765</v>
      </c>
      <c r="AP78" s="80" t="b">
        <v>0</v>
      </c>
      <c r="AQ78" s="88" t="s">
        <v>686</v>
      </c>
      <c r="AR78" s="80" t="s">
        <v>197</v>
      </c>
      <c r="AS78" s="80">
        <v>0</v>
      </c>
      <c r="AT78" s="80">
        <v>0</v>
      </c>
      <c r="AU78" s="80"/>
      <c r="AV78" s="80"/>
      <c r="AW78" s="80"/>
      <c r="AX78" s="80"/>
      <c r="AY78" s="80"/>
      <c r="AZ78" s="80"/>
      <c r="BA78" s="80"/>
      <c r="BB78" s="80"/>
      <c r="BC78">
        <v>1</v>
      </c>
      <c r="BD78" s="79" t="str">
        <f>REPLACE(INDEX(GroupVertices[Group],MATCH(Edges25[[#This Row],[Vertex 1]],GroupVertices[Vertex],0)),1,1,"")</f>
        <v>1</v>
      </c>
      <c r="BE78" s="79" t="str">
        <f>REPLACE(INDEX(GroupVertices[Group],MATCH(Edges25[[#This Row],[Vertex 2]],GroupVertices[Vertex],0)),1,1,"")</f>
        <v>1</v>
      </c>
      <c r="BF78" s="49"/>
      <c r="BG78" s="50"/>
      <c r="BH78" s="49"/>
      <c r="BI78" s="50"/>
      <c r="BJ78" s="49"/>
      <c r="BK78" s="50"/>
      <c r="BL78" s="49"/>
      <c r="BM78" s="50"/>
      <c r="BN78" s="49"/>
    </row>
    <row r="79" spans="1:66" ht="15">
      <c r="A79" s="65" t="s">
        <v>271</v>
      </c>
      <c r="B79" s="65" t="s">
        <v>329</v>
      </c>
      <c r="C79" s="66"/>
      <c r="D79" s="67"/>
      <c r="E79" s="66"/>
      <c r="F79" s="69"/>
      <c r="G79" s="66"/>
      <c r="H79" s="70"/>
      <c r="I79" s="71"/>
      <c r="J79" s="71"/>
      <c r="K79" s="35" t="s">
        <v>65</v>
      </c>
      <c r="L79" s="72">
        <v>132</v>
      </c>
      <c r="M79" s="72"/>
      <c r="N79" s="73"/>
      <c r="O79" s="80" t="s">
        <v>353</v>
      </c>
      <c r="P79" s="82">
        <v>44218.54950231482</v>
      </c>
      <c r="Q79" s="80" t="s">
        <v>393</v>
      </c>
      <c r="R79" s="84" t="str">
        <f>HYPERLINK("https://www.tiess.online/registration?utm_source=SM&amp;utm_medium=Lapinski&amp;utm_campaign=TIESS&amp;utm_term=033")</f>
        <v>https://www.tiess.online/registration?utm_source=SM&amp;utm_medium=Lapinski&amp;utm_campaign=TIESS&amp;utm_term=033</v>
      </c>
      <c r="S79" s="80" t="s">
        <v>444</v>
      </c>
      <c r="T79" s="80" t="s">
        <v>450</v>
      </c>
      <c r="U79" s="84" t="str">
        <f>HYPERLINK("https://pbs.twimg.com/media/EsVmIQUUYAMQHEt.jpg")</f>
        <v>https://pbs.twimg.com/media/EsVmIQUUYAMQHEt.jpg</v>
      </c>
      <c r="V79" s="84" t="str">
        <f>HYPERLINK("https://pbs.twimg.com/media/EsVmIQUUYAMQHEt.jpg")</f>
        <v>https://pbs.twimg.com/media/EsVmIQUUYAMQHEt.jpg</v>
      </c>
      <c r="W79" s="82">
        <v>44218.54950231482</v>
      </c>
      <c r="X79" s="86">
        <v>44218</v>
      </c>
      <c r="Y79" s="88" t="s">
        <v>536</v>
      </c>
      <c r="Z79" s="84" t="str">
        <f>HYPERLINK("https://twitter.com/indiadidac/status/1352604749959368708")</f>
        <v>https://twitter.com/indiadidac/status/1352604749959368708</v>
      </c>
      <c r="AA79" s="80"/>
      <c r="AB79" s="80"/>
      <c r="AC79" s="88" t="s">
        <v>687</v>
      </c>
      <c r="AD79" s="80"/>
      <c r="AE79" s="80" t="b">
        <v>0</v>
      </c>
      <c r="AF79" s="80">
        <v>0</v>
      </c>
      <c r="AG79" s="88" t="s">
        <v>763</v>
      </c>
      <c r="AH79" s="80" t="b">
        <v>0</v>
      </c>
      <c r="AI79" s="80" t="s">
        <v>764</v>
      </c>
      <c r="AJ79" s="80"/>
      <c r="AK79" s="88" t="s">
        <v>763</v>
      </c>
      <c r="AL79" s="80" t="b">
        <v>0</v>
      </c>
      <c r="AM79" s="80">
        <v>0</v>
      </c>
      <c r="AN79" s="88" t="s">
        <v>763</v>
      </c>
      <c r="AO79" s="80" t="s">
        <v>765</v>
      </c>
      <c r="AP79" s="80" t="b">
        <v>0</v>
      </c>
      <c r="AQ79" s="88" t="s">
        <v>687</v>
      </c>
      <c r="AR79" s="80" t="s">
        <v>197</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1</v>
      </c>
      <c r="BF79" s="49">
        <v>1</v>
      </c>
      <c r="BG79" s="50">
        <v>3.4482758620689653</v>
      </c>
      <c r="BH79" s="49">
        <v>0</v>
      </c>
      <c r="BI79" s="50">
        <v>0</v>
      </c>
      <c r="BJ79" s="49">
        <v>0</v>
      </c>
      <c r="BK79" s="50">
        <v>0</v>
      </c>
      <c r="BL79" s="49">
        <v>28</v>
      </c>
      <c r="BM79" s="50">
        <v>96.55172413793103</v>
      </c>
      <c r="BN79" s="49">
        <v>29</v>
      </c>
    </row>
    <row r="80" spans="1:66" ht="15">
      <c r="A80" s="65" t="s">
        <v>271</v>
      </c>
      <c r="B80" s="65" t="s">
        <v>330</v>
      </c>
      <c r="C80" s="66"/>
      <c r="D80" s="67"/>
      <c r="E80" s="66"/>
      <c r="F80" s="69"/>
      <c r="G80" s="66"/>
      <c r="H80" s="70"/>
      <c r="I80" s="71"/>
      <c r="J80" s="71"/>
      <c r="K80" s="35" t="s">
        <v>65</v>
      </c>
      <c r="L80" s="72">
        <v>133</v>
      </c>
      <c r="M80" s="72"/>
      <c r="N80" s="73"/>
      <c r="O80" s="80" t="s">
        <v>353</v>
      </c>
      <c r="P80" s="82">
        <v>44217.22672453704</v>
      </c>
      <c r="Q80" s="80" t="s">
        <v>394</v>
      </c>
      <c r="R80" s="84" t="str">
        <f>HYPERLINK("https://www.tiess.online/registration?utm_source=SM&amp;utm_medium=Schmedlen&amp;utm_campaign=TIESS&amp;utm_term=032")</f>
        <v>https://www.tiess.online/registration?utm_source=SM&amp;utm_medium=Schmedlen&amp;utm_campaign=TIESS&amp;utm_term=032</v>
      </c>
      <c r="S80" s="80" t="s">
        <v>444</v>
      </c>
      <c r="T80" s="80" t="s">
        <v>450</v>
      </c>
      <c r="U80" s="84" t="str">
        <f>HYPERLINK("https://pbs.twimg.com/media/EsO23IoUcAA6owe.jpg")</f>
        <v>https://pbs.twimg.com/media/EsO23IoUcAA6owe.jpg</v>
      </c>
      <c r="V80" s="84" t="str">
        <f>HYPERLINK("https://pbs.twimg.com/media/EsO23IoUcAA6owe.jpg")</f>
        <v>https://pbs.twimg.com/media/EsO23IoUcAA6owe.jpg</v>
      </c>
      <c r="W80" s="82">
        <v>44217.22672453704</v>
      </c>
      <c r="X80" s="86">
        <v>44217</v>
      </c>
      <c r="Y80" s="88" t="s">
        <v>537</v>
      </c>
      <c r="Z80" s="84" t="str">
        <f>HYPERLINK("https://twitter.com/indiadidac/status/1352125390752366594")</f>
        <v>https://twitter.com/indiadidac/status/1352125390752366594</v>
      </c>
      <c r="AA80" s="80"/>
      <c r="AB80" s="80"/>
      <c r="AC80" s="88" t="s">
        <v>688</v>
      </c>
      <c r="AD80" s="80"/>
      <c r="AE80" s="80" t="b">
        <v>0</v>
      </c>
      <c r="AF80" s="80">
        <v>2</v>
      </c>
      <c r="AG80" s="88" t="s">
        <v>763</v>
      </c>
      <c r="AH80" s="80" t="b">
        <v>0</v>
      </c>
      <c r="AI80" s="80" t="s">
        <v>764</v>
      </c>
      <c r="AJ80" s="80"/>
      <c r="AK80" s="88" t="s">
        <v>763</v>
      </c>
      <c r="AL80" s="80" t="b">
        <v>0</v>
      </c>
      <c r="AM80" s="80">
        <v>0</v>
      </c>
      <c r="AN80" s="88" t="s">
        <v>763</v>
      </c>
      <c r="AO80" s="80" t="s">
        <v>765</v>
      </c>
      <c r="AP80" s="80" t="b">
        <v>0</v>
      </c>
      <c r="AQ80" s="88" t="s">
        <v>688</v>
      </c>
      <c r="AR80" s="80" t="s">
        <v>197</v>
      </c>
      <c r="AS80" s="80">
        <v>0</v>
      </c>
      <c r="AT80" s="80">
        <v>0</v>
      </c>
      <c r="AU80" s="80"/>
      <c r="AV80" s="80"/>
      <c r="AW80" s="80"/>
      <c r="AX80" s="80"/>
      <c r="AY80" s="80"/>
      <c r="AZ80" s="80"/>
      <c r="BA80" s="80"/>
      <c r="BB80" s="80"/>
      <c r="BC80">
        <v>2</v>
      </c>
      <c r="BD80" s="79" t="str">
        <f>REPLACE(INDEX(GroupVertices[Group],MATCH(Edges25[[#This Row],[Vertex 1]],GroupVertices[Vertex],0)),1,1,"")</f>
        <v>1</v>
      </c>
      <c r="BE80" s="79" t="str">
        <f>REPLACE(INDEX(GroupVertices[Group],MATCH(Edges25[[#This Row],[Vertex 2]],GroupVertices[Vertex],0)),1,1,"")</f>
        <v>1</v>
      </c>
      <c r="BF80" s="49">
        <v>1</v>
      </c>
      <c r="BG80" s="50">
        <v>3.125</v>
      </c>
      <c r="BH80" s="49">
        <v>0</v>
      </c>
      <c r="BI80" s="50">
        <v>0</v>
      </c>
      <c r="BJ80" s="49">
        <v>0</v>
      </c>
      <c r="BK80" s="50">
        <v>0</v>
      </c>
      <c r="BL80" s="49">
        <v>31</v>
      </c>
      <c r="BM80" s="50">
        <v>96.875</v>
      </c>
      <c r="BN80" s="49">
        <v>32</v>
      </c>
    </row>
    <row r="81" spans="1:66" ht="15">
      <c r="A81" s="65" t="s">
        <v>271</v>
      </c>
      <c r="B81" s="65" t="s">
        <v>330</v>
      </c>
      <c r="C81" s="66"/>
      <c r="D81" s="67"/>
      <c r="E81" s="66"/>
      <c r="F81" s="69"/>
      <c r="G81" s="66"/>
      <c r="H81" s="70"/>
      <c r="I81" s="71"/>
      <c r="J81" s="71"/>
      <c r="K81" s="35" t="s">
        <v>65</v>
      </c>
      <c r="L81" s="72">
        <v>134</v>
      </c>
      <c r="M81" s="72"/>
      <c r="N81" s="73"/>
      <c r="O81" s="80" t="s">
        <v>353</v>
      </c>
      <c r="P81" s="82">
        <v>44218.55034722222</v>
      </c>
      <c r="Q81" s="80" t="s">
        <v>395</v>
      </c>
      <c r="R81" s="84" t="str">
        <f>HYPERLINK("https://www.tiess.online/registration?utm_source=SM&amp;utm_medium=Schmedlen&amp;utm_campaign=TIESS&amp;utm_term=032")</f>
        <v>https://www.tiess.online/registration?utm_source=SM&amp;utm_medium=Schmedlen&amp;utm_campaign=TIESS&amp;utm_term=032</v>
      </c>
      <c r="S81" s="80" t="s">
        <v>444</v>
      </c>
      <c r="T81" s="80" t="s">
        <v>449</v>
      </c>
      <c r="U81" s="84" t="str">
        <f>HYPERLINK("https://pbs.twimg.com/media/EsVq8xtUYAAXOTE.jpg")</f>
        <v>https://pbs.twimg.com/media/EsVq8xtUYAAXOTE.jpg</v>
      </c>
      <c r="V81" s="84" t="str">
        <f>HYPERLINK("https://pbs.twimg.com/media/EsVq8xtUYAAXOTE.jpg")</f>
        <v>https://pbs.twimg.com/media/EsVq8xtUYAAXOTE.jpg</v>
      </c>
      <c r="W81" s="82">
        <v>44218.55034722222</v>
      </c>
      <c r="X81" s="86">
        <v>44218</v>
      </c>
      <c r="Y81" s="88" t="s">
        <v>538</v>
      </c>
      <c r="Z81" s="84" t="str">
        <f>HYPERLINK("https://twitter.com/indiadidac/status/1352605055203983369")</f>
        <v>https://twitter.com/indiadidac/status/1352605055203983369</v>
      </c>
      <c r="AA81" s="80"/>
      <c r="AB81" s="80"/>
      <c r="AC81" s="88" t="s">
        <v>689</v>
      </c>
      <c r="AD81" s="80"/>
      <c r="AE81" s="80" t="b">
        <v>0</v>
      </c>
      <c r="AF81" s="80">
        <v>0</v>
      </c>
      <c r="AG81" s="88" t="s">
        <v>763</v>
      </c>
      <c r="AH81" s="80" t="b">
        <v>0</v>
      </c>
      <c r="AI81" s="80" t="s">
        <v>764</v>
      </c>
      <c r="AJ81" s="80"/>
      <c r="AK81" s="88" t="s">
        <v>763</v>
      </c>
      <c r="AL81" s="80" t="b">
        <v>0</v>
      </c>
      <c r="AM81" s="80">
        <v>0</v>
      </c>
      <c r="AN81" s="88" t="s">
        <v>763</v>
      </c>
      <c r="AO81" s="80" t="s">
        <v>765</v>
      </c>
      <c r="AP81" s="80" t="b">
        <v>0</v>
      </c>
      <c r="AQ81" s="88" t="s">
        <v>689</v>
      </c>
      <c r="AR81" s="80" t="s">
        <v>197</v>
      </c>
      <c r="AS81" s="80">
        <v>0</v>
      </c>
      <c r="AT81" s="80">
        <v>0</v>
      </c>
      <c r="AU81" s="80"/>
      <c r="AV81" s="80"/>
      <c r="AW81" s="80"/>
      <c r="AX81" s="80"/>
      <c r="AY81" s="80"/>
      <c r="AZ81" s="80"/>
      <c r="BA81" s="80"/>
      <c r="BB81" s="80"/>
      <c r="BC81">
        <v>2</v>
      </c>
      <c r="BD81" s="79" t="str">
        <f>REPLACE(INDEX(GroupVertices[Group],MATCH(Edges25[[#This Row],[Vertex 1]],GroupVertices[Vertex],0)),1,1,"")</f>
        <v>1</v>
      </c>
      <c r="BE81" s="79" t="str">
        <f>REPLACE(INDEX(GroupVertices[Group],MATCH(Edges25[[#This Row],[Vertex 2]],GroupVertices[Vertex],0)),1,1,"")</f>
        <v>1</v>
      </c>
      <c r="BF81" s="49">
        <v>1</v>
      </c>
      <c r="BG81" s="50">
        <v>2.9411764705882355</v>
      </c>
      <c r="BH81" s="49">
        <v>0</v>
      </c>
      <c r="BI81" s="50">
        <v>0</v>
      </c>
      <c r="BJ81" s="49">
        <v>0</v>
      </c>
      <c r="BK81" s="50">
        <v>0</v>
      </c>
      <c r="BL81" s="49">
        <v>33</v>
      </c>
      <c r="BM81" s="50">
        <v>97.05882352941177</v>
      </c>
      <c r="BN81" s="49">
        <v>34</v>
      </c>
    </row>
    <row r="82" spans="1:66" ht="15">
      <c r="A82" s="65" t="s">
        <v>271</v>
      </c>
      <c r="B82" s="65" t="s">
        <v>331</v>
      </c>
      <c r="C82" s="66"/>
      <c r="D82" s="67"/>
      <c r="E82" s="66"/>
      <c r="F82" s="69"/>
      <c r="G82" s="66"/>
      <c r="H82" s="70"/>
      <c r="I82" s="71"/>
      <c r="J82" s="71"/>
      <c r="K82" s="35" t="s">
        <v>65</v>
      </c>
      <c r="L82" s="72">
        <v>135</v>
      </c>
      <c r="M82" s="72"/>
      <c r="N82" s="73"/>
      <c r="O82" s="80" t="s">
        <v>353</v>
      </c>
      <c r="P82" s="82">
        <v>44218.56261574074</v>
      </c>
      <c r="Q82" s="80" t="s">
        <v>396</v>
      </c>
      <c r="R82" s="84" t="str">
        <f>HYPERLINK("https://www.tiess.online/registration?utm_source=SM&amp;utm_medium=Michelle&amp;utm_campaign=TIESS&amp;utm_term=006")</f>
        <v>https://www.tiess.online/registration?utm_source=SM&amp;utm_medium=Michelle&amp;utm_campaign=TIESS&amp;utm_term=006</v>
      </c>
      <c r="S82" s="80" t="s">
        <v>444</v>
      </c>
      <c r="T82" s="80" t="s">
        <v>450</v>
      </c>
      <c r="U82" s="84" t="str">
        <f>HYPERLINK("https://pbs.twimg.com/media/EsVvHmMUUAA9uWA.jpg")</f>
        <v>https://pbs.twimg.com/media/EsVvHmMUUAA9uWA.jpg</v>
      </c>
      <c r="V82" s="84" t="str">
        <f>HYPERLINK("https://pbs.twimg.com/media/EsVvHmMUUAA9uWA.jpg")</f>
        <v>https://pbs.twimg.com/media/EsVvHmMUUAA9uWA.jpg</v>
      </c>
      <c r="W82" s="82">
        <v>44218.56261574074</v>
      </c>
      <c r="X82" s="86">
        <v>44218</v>
      </c>
      <c r="Y82" s="88" t="s">
        <v>539</v>
      </c>
      <c r="Z82" s="84" t="str">
        <f>HYPERLINK("https://twitter.com/indiadidac/status/1352609502156087298")</f>
        <v>https://twitter.com/indiadidac/status/1352609502156087298</v>
      </c>
      <c r="AA82" s="80"/>
      <c r="AB82" s="80"/>
      <c r="AC82" s="88" t="s">
        <v>690</v>
      </c>
      <c r="AD82" s="80"/>
      <c r="AE82" s="80" t="b">
        <v>0</v>
      </c>
      <c r="AF82" s="80">
        <v>0</v>
      </c>
      <c r="AG82" s="88" t="s">
        <v>763</v>
      </c>
      <c r="AH82" s="80" t="b">
        <v>0</v>
      </c>
      <c r="AI82" s="80" t="s">
        <v>764</v>
      </c>
      <c r="AJ82" s="80"/>
      <c r="AK82" s="88" t="s">
        <v>763</v>
      </c>
      <c r="AL82" s="80" t="b">
        <v>0</v>
      </c>
      <c r="AM82" s="80">
        <v>0</v>
      </c>
      <c r="AN82" s="88" t="s">
        <v>763</v>
      </c>
      <c r="AO82" s="80" t="s">
        <v>765</v>
      </c>
      <c r="AP82" s="80" t="b">
        <v>0</v>
      </c>
      <c r="AQ82" s="88" t="s">
        <v>690</v>
      </c>
      <c r="AR82" s="80" t="s">
        <v>197</v>
      </c>
      <c r="AS82" s="80">
        <v>0</v>
      </c>
      <c r="AT82" s="80">
        <v>0</v>
      </c>
      <c r="AU82" s="80"/>
      <c r="AV82" s="80"/>
      <c r="AW82" s="80"/>
      <c r="AX82" s="80"/>
      <c r="AY82" s="80"/>
      <c r="AZ82" s="80"/>
      <c r="BA82" s="80"/>
      <c r="BB82" s="80"/>
      <c r="BC82">
        <v>1</v>
      </c>
      <c r="BD82" s="79" t="str">
        <f>REPLACE(INDEX(GroupVertices[Group],MATCH(Edges25[[#This Row],[Vertex 1]],GroupVertices[Vertex],0)),1,1,"")</f>
        <v>1</v>
      </c>
      <c r="BE82" s="79" t="str">
        <f>REPLACE(INDEX(GroupVertices[Group],MATCH(Edges25[[#This Row],[Vertex 2]],GroupVertices[Vertex],0)),1,1,"")</f>
        <v>1</v>
      </c>
      <c r="BF82" s="49">
        <v>0</v>
      </c>
      <c r="BG82" s="50">
        <v>0</v>
      </c>
      <c r="BH82" s="49">
        <v>0</v>
      </c>
      <c r="BI82" s="50">
        <v>0</v>
      </c>
      <c r="BJ82" s="49">
        <v>0</v>
      </c>
      <c r="BK82" s="50">
        <v>0</v>
      </c>
      <c r="BL82" s="49">
        <v>28</v>
      </c>
      <c r="BM82" s="50">
        <v>100</v>
      </c>
      <c r="BN82" s="49">
        <v>28</v>
      </c>
    </row>
    <row r="83" spans="1:66" ht="15">
      <c r="A83" s="65" t="s">
        <v>271</v>
      </c>
      <c r="B83" s="65" t="s">
        <v>332</v>
      </c>
      <c r="C83" s="66"/>
      <c r="D83" s="67"/>
      <c r="E83" s="66"/>
      <c r="F83" s="69"/>
      <c r="G83" s="66"/>
      <c r="H83" s="70"/>
      <c r="I83" s="71"/>
      <c r="J83" s="71"/>
      <c r="K83" s="35" t="s">
        <v>65</v>
      </c>
      <c r="L83" s="72">
        <v>136</v>
      </c>
      <c r="M83" s="72"/>
      <c r="N83" s="73"/>
      <c r="O83" s="80" t="s">
        <v>353</v>
      </c>
      <c r="P83" s="82">
        <v>44218.587534722225</v>
      </c>
      <c r="Q83" s="80" t="s">
        <v>397</v>
      </c>
      <c r="R83" s="84" t="str">
        <f>HYPERLINK("https://www.tiess.online/registration?utm_source=SM&amp;utm_medium=Musson&amp;utm_campaign=TIESS&amp;utm_term=027")</f>
        <v>https://www.tiess.online/registration?utm_source=SM&amp;utm_medium=Musson&amp;utm_campaign=TIESS&amp;utm_term=027</v>
      </c>
      <c r="S83" s="80" t="s">
        <v>444</v>
      </c>
      <c r="T83" s="80" t="s">
        <v>449</v>
      </c>
      <c r="U83" s="84" t="str">
        <f>HYPERLINK("https://pbs.twimg.com/media/EsV3U7XVcAIRdp7.jpg")</f>
        <v>https://pbs.twimg.com/media/EsV3U7XVcAIRdp7.jpg</v>
      </c>
      <c r="V83" s="84" t="str">
        <f>HYPERLINK("https://pbs.twimg.com/media/EsV3U7XVcAIRdp7.jpg")</f>
        <v>https://pbs.twimg.com/media/EsV3U7XVcAIRdp7.jpg</v>
      </c>
      <c r="W83" s="82">
        <v>44218.587534722225</v>
      </c>
      <c r="X83" s="86">
        <v>44218</v>
      </c>
      <c r="Y83" s="88" t="s">
        <v>540</v>
      </c>
      <c r="Z83" s="84" t="str">
        <f>HYPERLINK("https://twitter.com/indiadidac/status/1352618533872525312")</f>
        <v>https://twitter.com/indiadidac/status/1352618533872525312</v>
      </c>
      <c r="AA83" s="80"/>
      <c r="AB83" s="80"/>
      <c r="AC83" s="88" t="s">
        <v>691</v>
      </c>
      <c r="AD83" s="80"/>
      <c r="AE83" s="80" t="b">
        <v>0</v>
      </c>
      <c r="AF83" s="80">
        <v>1</v>
      </c>
      <c r="AG83" s="88" t="s">
        <v>763</v>
      </c>
      <c r="AH83" s="80" t="b">
        <v>0</v>
      </c>
      <c r="AI83" s="80" t="s">
        <v>764</v>
      </c>
      <c r="AJ83" s="80"/>
      <c r="AK83" s="88" t="s">
        <v>763</v>
      </c>
      <c r="AL83" s="80" t="b">
        <v>0</v>
      </c>
      <c r="AM83" s="80">
        <v>0</v>
      </c>
      <c r="AN83" s="88" t="s">
        <v>763</v>
      </c>
      <c r="AO83" s="80" t="s">
        <v>765</v>
      </c>
      <c r="AP83" s="80" t="b">
        <v>0</v>
      </c>
      <c r="AQ83" s="88" t="s">
        <v>691</v>
      </c>
      <c r="AR83" s="80" t="s">
        <v>197</v>
      </c>
      <c r="AS83" s="80">
        <v>0</v>
      </c>
      <c r="AT83" s="80">
        <v>0</v>
      </c>
      <c r="AU83" s="80"/>
      <c r="AV83" s="80"/>
      <c r="AW83" s="80"/>
      <c r="AX83" s="80"/>
      <c r="AY83" s="80"/>
      <c r="AZ83" s="80"/>
      <c r="BA83" s="80"/>
      <c r="BB83" s="80"/>
      <c r="BC83">
        <v>1</v>
      </c>
      <c r="BD83" s="79" t="str">
        <f>REPLACE(INDEX(GroupVertices[Group],MATCH(Edges25[[#This Row],[Vertex 1]],GroupVertices[Vertex],0)),1,1,"")</f>
        <v>1</v>
      </c>
      <c r="BE83" s="79" t="str">
        <f>REPLACE(INDEX(GroupVertices[Group],MATCH(Edges25[[#This Row],[Vertex 2]],GroupVertices[Vertex],0)),1,1,"")</f>
        <v>1</v>
      </c>
      <c r="BF83" s="49">
        <v>0</v>
      </c>
      <c r="BG83" s="50">
        <v>0</v>
      </c>
      <c r="BH83" s="49">
        <v>0</v>
      </c>
      <c r="BI83" s="50">
        <v>0</v>
      </c>
      <c r="BJ83" s="49">
        <v>0</v>
      </c>
      <c r="BK83" s="50">
        <v>0</v>
      </c>
      <c r="BL83" s="49">
        <v>31</v>
      </c>
      <c r="BM83" s="50">
        <v>100</v>
      </c>
      <c r="BN83" s="49">
        <v>31</v>
      </c>
    </row>
    <row r="84" spans="1:66" ht="15">
      <c r="A84" s="65" t="s">
        <v>271</v>
      </c>
      <c r="B84" s="65" t="s">
        <v>333</v>
      </c>
      <c r="C84" s="66"/>
      <c r="D84" s="67"/>
      <c r="E84" s="66"/>
      <c r="F84" s="69"/>
      <c r="G84" s="66"/>
      <c r="H84" s="70"/>
      <c r="I84" s="71"/>
      <c r="J84" s="71"/>
      <c r="K84" s="35" t="s">
        <v>65</v>
      </c>
      <c r="L84" s="72">
        <v>137</v>
      </c>
      <c r="M84" s="72"/>
      <c r="N84" s="73"/>
      <c r="O84" s="80" t="s">
        <v>353</v>
      </c>
      <c r="P84" s="82">
        <v>44218.60072916667</v>
      </c>
      <c r="Q84" s="80" t="s">
        <v>398</v>
      </c>
      <c r="R84" s="84" t="str">
        <f>HYPERLINK("https://www.tiess.online/registration?utm_source=Russell&amp;utm_medium=Email&amp;utm_campaign=TIESS&amp;utm_term=026")</f>
        <v>https://www.tiess.online/registration?utm_source=Russell&amp;utm_medium=Email&amp;utm_campaign=TIESS&amp;utm_term=026</v>
      </c>
      <c r="S84" s="80" t="s">
        <v>444</v>
      </c>
      <c r="T84" s="80" t="s">
        <v>450</v>
      </c>
      <c r="U84" s="84" t="str">
        <f>HYPERLINK("https://pbs.twimg.com/media/EsV7qWRVcAIpJFS.jpg")</f>
        <v>https://pbs.twimg.com/media/EsV7qWRVcAIpJFS.jpg</v>
      </c>
      <c r="V84" s="84" t="str">
        <f>HYPERLINK("https://pbs.twimg.com/media/EsV7qWRVcAIpJFS.jpg")</f>
        <v>https://pbs.twimg.com/media/EsV7qWRVcAIpJFS.jpg</v>
      </c>
      <c r="W84" s="82">
        <v>44218.60072916667</v>
      </c>
      <c r="X84" s="86">
        <v>44218</v>
      </c>
      <c r="Y84" s="88" t="s">
        <v>541</v>
      </c>
      <c r="Z84" s="84" t="str">
        <f>HYPERLINK("https://twitter.com/indiadidac/status/1352623314431143940")</f>
        <v>https://twitter.com/indiadidac/status/1352623314431143940</v>
      </c>
      <c r="AA84" s="80"/>
      <c r="AB84" s="80"/>
      <c r="AC84" s="88" t="s">
        <v>692</v>
      </c>
      <c r="AD84" s="80"/>
      <c r="AE84" s="80" t="b">
        <v>0</v>
      </c>
      <c r="AF84" s="80">
        <v>0</v>
      </c>
      <c r="AG84" s="88" t="s">
        <v>763</v>
      </c>
      <c r="AH84" s="80" t="b">
        <v>0</v>
      </c>
      <c r="AI84" s="80" t="s">
        <v>764</v>
      </c>
      <c r="AJ84" s="80"/>
      <c r="AK84" s="88" t="s">
        <v>763</v>
      </c>
      <c r="AL84" s="80" t="b">
        <v>0</v>
      </c>
      <c r="AM84" s="80">
        <v>0</v>
      </c>
      <c r="AN84" s="88" t="s">
        <v>763</v>
      </c>
      <c r="AO84" s="80" t="s">
        <v>765</v>
      </c>
      <c r="AP84" s="80" t="b">
        <v>0</v>
      </c>
      <c r="AQ84" s="88" t="s">
        <v>692</v>
      </c>
      <c r="AR84" s="80" t="s">
        <v>197</v>
      </c>
      <c r="AS84" s="80">
        <v>0</v>
      </c>
      <c r="AT84" s="80">
        <v>0</v>
      </c>
      <c r="AU84" s="80"/>
      <c r="AV84" s="80"/>
      <c r="AW84" s="80"/>
      <c r="AX84" s="80"/>
      <c r="AY84" s="80"/>
      <c r="AZ84" s="80"/>
      <c r="BA84" s="80"/>
      <c r="BB84" s="80"/>
      <c r="BC84">
        <v>1</v>
      </c>
      <c r="BD84" s="79" t="str">
        <f>REPLACE(INDEX(GroupVertices[Group],MATCH(Edges25[[#This Row],[Vertex 1]],GroupVertices[Vertex],0)),1,1,"")</f>
        <v>1</v>
      </c>
      <c r="BE84" s="79" t="str">
        <f>REPLACE(INDEX(GroupVertices[Group],MATCH(Edges25[[#This Row],[Vertex 2]],GroupVertices[Vertex],0)),1,1,"")</f>
        <v>1</v>
      </c>
      <c r="BF84" s="49">
        <v>1</v>
      </c>
      <c r="BG84" s="50">
        <v>3.225806451612903</v>
      </c>
      <c r="BH84" s="49">
        <v>0</v>
      </c>
      <c r="BI84" s="50">
        <v>0</v>
      </c>
      <c r="BJ84" s="49">
        <v>0</v>
      </c>
      <c r="BK84" s="50">
        <v>0</v>
      </c>
      <c r="BL84" s="49">
        <v>30</v>
      </c>
      <c r="BM84" s="50">
        <v>96.7741935483871</v>
      </c>
      <c r="BN84" s="49">
        <v>31</v>
      </c>
    </row>
    <row r="85" spans="1:66" ht="15">
      <c r="A85" s="65" t="s">
        <v>284</v>
      </c>
      <c r="B85" s="65" t="s">
        <v>271</v>
      </c>
      <c r="C85" s="66"/>
      <c r="D85" s="67"/>
      <c r="E85" s="66"/>
      <c r="F85" s="69"/>
      <c r="G85" s="66"/>
      <c r="H85" s="70"/>
      <c r="I85" s="71"/>
      <c r="J85" s="71"/>
      <c r="K85" s="35" t="s">
        <v>66</v>
      </c>
      <c r="L85" s="72">
        <v>138</v>
      </c>
      <c r="M85" s="72"/>
      <c r="N85" s="73"/>
      <c r="O85" s="80" t="s">
        <v>351</v>
      </c>
      <c r="P85" s="82">
        <v>44219.42162037037</v>
      </c>
      <c r="Q85" s="80" t="s">
        <v>364</v>
      </c>
      <c r="R85" s="84" t="str">
        <f>HYPERLINK("https://www.tiess.online/registration?utm_source=SM&amp;utm_medium=Raghavan&amp;utm_campaign=TIESS&amp;utm_term=023")</f>
        <v>https://www.tiess.online/registration?utm_source=SM&amp;utm_medium=Raghavan&amp;utm_campaign=TIESS&amp;utm_term=023</v>
      </c>
      <c r="S85" s="80" t="s">
        <v>444</v>
      </c>
      <c r="T85" s="80" t="s">
        <v>449</v>
      </c>
      <c r="U85" s="84" t="str">
        <f>HYPERLINK("https://pbs.twimg.com/media/EsWDr3BU4AAvApB.jpg")</f>
        <v>https://pbs.twimg.com/media/EsWDr3BU4AAvApB.jpg</v>
      </c>
      <c r="V85" s="84" t="str">
        <f>HYPERLINK("https://pbs.twimg.com/media/EsWDr3BU4AAvApB.jpg")</f>
        <v>https://pbs.twimg.com/media/EsWDr3BU4AAvApB.jpg</v>
      </c>
      <c r="W85" s="82">
        <v>44219.42162037037</v>
      </c>
      <c r="X85" s="86">
        <v>44219</v>
      </c>
      <c r="Y85" s="88" t="s">
        <v>542</v>
      </c>
      <c r="Z85" s="84" t="str">
        <f>HYPERLINK("https://twitter.com/agastyasparks/status/1352920797350793217")</f>
        <v>https://twitter.com/agastyasparks/status/1352920797350793217</v>
      </c>
      <c r="AA85" s="80"/>
      <c r="AB85" s="80"/>
      <c r="AC85" s="88" t="s">
        <v>693</v>
      </c>
      <c r="AD85" s="80"/>
      <c r="AE85" s="80" t="b">
        <v>0</v>
      </c>
      <c r="AF85" s="80">
        <v>0</v>
      </c>
      <c r="AG85" s="88" t="s">
        <v>763</v>
      </c>
      <c r="AH85" s="80" t="b">
        <v>0</v>
      </c>
      <c r="AI85" s="80" t="s">
        <v>764</v>
      </c>
      <c r="AJ85" s="80"/>
      <c r="AK85" s="88" t="s">
        <v>763</v>
      </c>
      <c r="AL85" s="80" t="b">
        <v>0</v>
      </c>
      <c r="AM85" s="80">
        <v>4</v>
      </c>
      <c r="AN85" s="88" t="s">
        <v>694</v>
      </c>
      <c r="AO85" s="80" t="s">
        <v>765</v>
      </c>
      <c r="AP85" s="80" t="b">
        <v>0</v>
      </c>
      <c r="AQ85" s="88" t="s">
        <v>694</v>
      </c>
      <c r="AR85" s="80" t="s">
        <v>197</v>
      </c>
      <c r="AS85" s="80">
        <v>0</v>
      </c>
      <c r="AT85" s="80">
        <v>0</v>
      </c>
      <c r="AU85" s="80"/>
      <c r="AV85" s="80"/>
      <c r="AW85" s="80"/>
      <c r="AX85" s="80"/>
      <c r="AY85" s="80"/>
      <c r="AZ85" s="80"/>
      <c r="BA85" s="80"/>
      <c r="BB85" s="80"/>
      <c r="BC85">
        <v>1</v>
      </c>
      <c r="BD85" s="79" t="str">
        <f>REPLACE(INDEX(GroupVertices[Group],MATCH(Edges25[[#This Row],[Vertex 1]],GroupVertices[Vertex],0)),1,1,"")</f>
        <v>1</v>
      </c>
      <c r="BE85" s="79" t="str">
        <f>REPLACE(INDEX(GroupVertices[Group],MATCH(Edges25[[#This Row],[Vertex 2]],GroupVertices[Vertex],0)),1,1,"")</f>
        <v>1</v>
      </c>
      <c r="BF85" s="49">
        <v>0</v>
      </c>
      <c r="BG85" s="50">
        <v>0</v>
      </c>
      <c r="BH85" s="49">
        <v>0</v>
      </c>
      <c r="BI85" s="50">
        <v>0</v>
      </c>
      <c r="BJ85" s="49">
        <v>0</v>
      </c>
      <c r="BK85" s="50">
        <v>0</v>
      </c>
      <c r="BL85" s="49">
        <v>32</v>
      </c>
      <c r="BM85" s="50">
        <v>100</v>
      </c>
      <c r="BN85" s="49">
        <v>32</v>
      </c>
    </row>
    <row r="86" spans="1:66" ht="15">
      <c r="A86" s="65" t="s">
        <v>271</v>
      </c>
      <c r="B86" s="65" t="s">
        <v>284</v>
      </c>
      <c r="C86" s="66"/>
      <c r="D86" s="67"/>
      <c r="E86" s="66"/>
      <c r="F86" s="69"/>
      <c r="G86" s="66"/>
      <c r="H86" s="70"/>
      <c r="I86" s="71"/>
      <c r="J86" s="71"/>
      <c r="K86" s="35" t="s">
        <v>66</v>
      </c>
      <c r="L86" s="72">
        <v>139</v>
      </c>
      <c r="M86" s="72"/>
      <c r="N86" s="73"/>
      <c r="O86" s="80" t="s">
        <v>353</v>
      </c>
      <c r="P86" s="82">
        <v>44218.624872685185</v>
      </c>
      <c r="Q86" s="80" t="s">
        <v>364</v>
      </c>
      <c r="R86" s="84" t="str">
        <f>HYPERLINK("https://www.tiess.online/registration?utm_source=SM&amp;utm_medium=Raghavan&amp;utm_campaign=TIESS&amp;utm_term=023")</f>
        <v>https://www.tiess.online/registration?utm_source=SM&amp;utm_medium=Raghavan&amp;utm_campaign=TIESS&amp;utm_term=023</v>
      </c>
      <c r="S86" s="80" t="s">
        <v>444</v>
      </c>
      <c r="T86" s="80" t="s">
        <v>449</v>
      </c>
      <c r="U86" s="84" t="str">
        <f>HYPERLINK("https://pbs.twimg.com/media/EsWDr3BU4AAvApB.jpg")</f>
        <v>https://pbs.twimg.com/media/EsWDr3BU4AAvApB.jpg</v>
      </c>
      <c r="V86" s="84" t="str">
        <f>HYPERLINK("https://pbs.twimg.com/media/EsWDr3BU4AAvApB.jpg")</f>
        <v>https://pbs.twimg.com/media/EsWDr3BU4AAvApB.jpg</v>
      </c>
      <c r="W86" s="82">
        <v>44218.624872685185</v>
      </c>
      <c r="X86" s="86">
        <v>44218</v>
      </c>
      <c r="Y86" s="88" t="s">
        <v>543</v>
      </c>
      <c r="Z86" s="84" t="str">
        <f>HYPERLINK("https://twitter.com/indiadidac/status/1352632063707336706")</f>
        <v>https://twitter.com/indiadidac/status/1352632063707336706</v>
      </c>
      <c r="AA86" s="80"/>
      <c r="AB86" s="80"/>
      <c r="AC86" s="88" t="s">
        <v>694</v>
      </c>
      <c r="AD86" s="80"/>
      <c r="AE86" s="80" t="b">
        <v>0</v>
      </c>
      <c r="AF86" s="80">
        <v>6</v>
      </c>
      <c r="AG86" s="88" t="s">
        <v>763</v>
      </c>
      <c r="AH86" s="80" t="b">
        <v>0</v>
      </c>
      <c r="AI86" s="80" t="s">
        <v>764</v>
      </c>
      <c r="AJ86" s="80"/>
      <c r="AK86" s="88" t="s">
        <v>763</v>
      </c>
      <c r="AL86" s="80" t="b">
        <v>0</v>
      </c>
      <c r="AM86" s="80">
        <v>4</v>
      </c>
      <c r="AN86" s="88" t="s">
        <v>763</v>
      </c>
      <c r="AO86" s="80" t="s">
        <v>765</v>
      </c>
      <c r="AP86" s="80" t="b">
        <v>0</v>
      </c>
      <c r="AQ86" s="88" t="s">
        <v>694</v>
      </c>
      <c r="AR86" s="80" t="s">
        <v>197</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9">
        <v>0</v>
      </c>
      <c r="BG86" s="50">
        <v>0</v>
      </c>
      <c r="BH86" s="49">
        <v>0</v>
      </c>
      <c r="BI86" s="50">
        <v>0</v>
      </c>
      <c r="BJ86" s="49">
        <v>0</v>
      </c>
      <c r="BK86" s="50">
        <v>0</v>
      </c>
      <c r="BL86" s="49">
        <v>32</v>
      </c>
      <c r="BM86" s="50">
        <v>100</v>
      </c>
      <c r="BN86" s="49">
        <v>32</v>
      </c>
    </row>
    <row r="87" spans="1:66" ht="15">
      <c r="A87" s="65" t="s">
        <v>271</v>
      </c>
      <c r="B87" s="65" t="s">
        <v>308</v>
      </c>
      <c r="C87" s="66"/>
      <c r="D87" s="67"/>
      <c r="E87" s="66"/>
      <c r="F87" s="69"/>
      <c r="G87" s="66"/>
      <c r="H87" s="70"/>
      <c r="I87" s="71"/>
      <c r="J87" s="71"/>
      <c r="K87" s="35" t="s">
        <v>65</v>
      </c>
      <c r="L87" s="72">
        <v>140</v>
      </c>
      <c r="M87" s="72"/>
      <c r="N87" s="73"/>
      <c r="O87" s="80" t="s">
        <v>353</v>
      </c>
      <c r="P87" s="82">
        <v>44218.635300925926</v>
      </c>
      <c r="Q87" s="80" t="s">
        <v>362</v>
      </c>
      <c r="R87" s="84" t="str">
        <f>HYPERLINK("https://www.tiess.online/registration?utm_source=SM&amp;utm_medium=Ramanan&amp;utm_campaign=TIESS&amp;utm_term=011")</f>
        <v>https://www.tiess.online/registration?utm_source=SM&amp;utm_medium=Ramanan&amp;utm_campaign=TIESS&amp;utm_term=011</v>
      </c>
      <c r="S87" s="80" t="s">
        <v>444</v>
      </c>
      <c r="T87" s="80" t="s">
        <v>451</v>
      </c>
      <c r="U87" s="84" t="str">
        <f>HYPERLINK("https://pbs.twimg.com/media/EsWHGdcVcAE-c4p.jpg")</f>
        <v>https://pbs.twimg.com/media/EsWHGdcVcAE-c4p.jpg</v>
      </c>
      <c r="V87" s="84" t="str">
        <f>HYPERLINK("https://pbs.twimg.com/media/EsWHGdcVcAE-c4p.jpg")</f>
        <v>https://pbs.twimg.com/media/EsWHGdcVcAE-c4p.jpg</v>
      </c>
      <c r="W87" s="82">
        <v>44218.635300925926</v>
      </c>
      <c r="X87" s="86">
        <v>44218</v>
      </c>
      <c r="Y87" s="88" t="s">
        <v>544</v>
      </c>
      <c r="Z87" s="84" t="str">
        <f>HYPERLINK("https://twitter.com/indiadidac/status/1352635841407971330")</f>
        <v>https://twitter.com/indiadidac/status/1352635841407971330</v>
      </c>
      <c r="AA87" s="80"/>
      <c r="AB87" s="80"/>
      <c r="AC87" s="88" t="s">
        <v>695</v>
      </c>
      <c r="AD87" s="80"/>
      <c r="AE87" s="80" t="b">
        <v>0</v>
      </c>
      <c r="AF87" s="80">
        <v>13</v>
      </c>
      <c r="AG87" s="88" t="s">
        <v>763</v>
      </c>
      <c r="AH87" s="80" t="b">
        <v>0</v>
      </c>
      <c r="AI87" s="80" t="s">
        <v>764</v>
      </c>
      <c r="AJ87" s="80"/>
      <c r="AK87" s="88" t="s">
        <v>763</v>
      </c>
      <c r="AL87" s="80" t="b">
        <v>0</v>
      </c>
      <c r="AM87" s="80">
        <v>3</v>
      </c>
      <c r="AN87" s="88" t="s">
        <v>763</v>
      </c>
      <c r="AO87" s="80" t="s">
        <v>765</v>
      </c>
      <c r="AP87" s="80" t="b">
        <v>0</v>
      </c>
      <c r="AQ87" s="88" t="s">
        <v>695</v>
      </c>
      <c r="AR87" s="80" t="s">
        <v>197</v>
      </c>
      <c r="AS87" s="80">
        <v>0</v>
      </c>
      <c r="AT87" s="80">
        <v>0</v>
      </c>
      <c r="AU87" s="80"/>
      <c r="AV87" s="80"/>
      <c r="AW87" s="80"/>
      <c r="AX87" s="80"/>
      <c r="AY87" s="80"/>
      <c r="AZ87" s="80"/>
      <c r="BA87" s="80"/>
      <c r="BB87" s="80"/>
      <c r="BC87">
        <v>1</v>
      </c>
      <c r="BD87" s="79" t="str">
        <f>REPLACE(INDEX(GroupVertices[Group],MATCH(Edges25[[#This Row],[Vertex 1]],GroupVertices[Vertex],0)),1,1,"")</f>
        <v>1</v>
      </c>
      <c r="BE87" s="79" t="str">
        <f>REPLACE(INDEX(GroupVertices[Group],MATCH(Edges25[[#This Row],[Vertex 2]],GroupVertices[Vertex],0)),1,1,"")</f>
        <v>6</v>
      </c>
      <c r="BF87" s="49"/>
      <c r="BG87" s="50"/>
      <c r="BH87" s="49"/>
      <c r="BI87" s="50"/>
      <c r="BJ87" s="49"/>
      <c r="BK87" s="50"/>
      <c r="BL87" s="49"/>
      <c r="BM87" s="50"/>
      <c r="BN87" s="49"/>
    </row>
    <row r="88" spans="1:66" ht="15">
      <c r="A88" s="65" t="s">
        <v>285</v>
      </c>
      <c r="B88" s="65" t="s">
        <v>294</v>
      </c>
      <c r="C88" s="66"/>
      <c r="D88" s="67"/>
      <c r="E88" s="66"/>
      <c r="F88" s="69"/>
      <c r="G88" s="66"/>
      <c r="H88" s="70"/>
      <c r="I88" s="71"/>
      <c r="J88" s="71"/>
      <c r="K88" s="35" t="s">
        <v>65</v>
      </c>
      <c r="L88" s="72">
        <v>142</v>
      </c>
      <c r="M88" s="72"/>
      <c r="N88" s="73"/>
      <c r="O88" s="80" t="s">
        <v>352</v>
      </c>
      <c r="P88" s="82">
        <v>44216.24728009259</v>
      </c>
      <c r="Q88" s="80" t="s">
        <v>399</v>
      </c>
      <c r="R88" s="84" t="str">
        <f>HYPERLINK("https://www.tiess.online/registration?utm_source=SM&amp;utm_medium=Rashef&amp;utm_campaign=TIESS&amp;utm_term=020")</f>
        <v>https://www.tiess.online/registration?utm_source=SM&amp;utm_medium=Rashef&amp;utm_campaign=TIESS&amp;utm_term=020</v>
      </c>
      <c r="S88" s="80" t="s">
        <v>444</v>
      </c>
      <c r="T88" s="80" t="s">
        <v>450</v>
      </c>
      <c r="U88" s="84" t="str">
        <f>HYPERLINK("https://pbs.twimg.com/media/EsF6A6rU0AAESdA.jpg")</f>
        <v>https://pbs.twimg.com/media/EsF6A6rU0AAESdA.jpg</v>
      </c>
      <c r="V88" s="84" t="str">
        <f>HYPERLINK("https://pbs.twimg.com/media/EsF6A6rU0AAESdA.jpg")</f>
        <v>https://pbs.twimg.com/media/EsF6A6rU0AAESdA.jpg</v>
      </c>
      <c r="W88" s="82">
        <v>44216.24728009259</v>
      </c>
      <c r="X88" s="86">
        <v>44216</v>
      </c>
      <c r="Y88" s="88" t="s">
        <v>545</v>
      </c>
      <c r="Z88" s="84" t="str">
        <f>HYPERLINK("https://twitter.com/connect_aditya/status/1351770452776030208")</f>
        <v>https://twitter.com/connect_aditya/status/1351770452776030208</v>
      </c>
      <c r="AA88" s="80"/>
      <c r="AB88" s="80"/>
      <c r="AC88" s="88" t="s">
        <v>696</v>
      </c>
      <c r="AD88" s="80"/>
      <c r="AE88" s="80" t="b">
        <v>0</v>
      </c>
      <c r="AF88" s="80">
        <v>0</v>
      </c>
      <c r="AG88" s="88" t="s">
        <v>763</v>
      </c>
      <c r="AH88" s="80" t="b">
        <v>0</v>
      </c>
      <c r="AI88" s="80" t="s">
        <v>764</v>
      </c>
      <c r="AJ88" s="80"/>
      <c r="AK88" s="88" t="s">
        <v>763</v>
      </c>
      <c r="AL88" s="80" t="b">
        <v>0</v>
      </c>
      <c r="AM88" s="80">
        <v>2</v>
      </c>
      <c r="AN88" s="88" t="s">
        <v>728</v>
      </c>
      <c r="AO88" s="80" t="s">
        <v>765</v>
      </c>
      <c r="AP88" s="80" t="b">
        <v>0</v>
      </c>
      <c r="AQ88" s="88" t="s">
        <v>728</v>
      </c>
      <c r="AR88" s="80" t="s">
        <v>197</v>
      </c>
      <c r="AS88" s="80">
        <v>0</v>
      </c>
      <c r="AT88" s="80">
        <v>0</v>
      </c>
      <c r="AU88" s="80"/>
      <c r="AV88" s="80"/>
      <c r="AW88" s="80"/>
      <c r="AX88" s="80"/>
      <c r="AY88" s="80"/>
      <c r="AZ88" s="80"/>
      <c r="BA88" s="80"/>
      <c r="BB88" s="80"/>
      <c r="BC88">
        <v>1</v>
      </c>
      <c r="BD88" s="79" t="str">
        <f>REPLACE(INDEX(GroupVertices[Group],MATCH(Edges25[[#This Row],[Vertex 1]],GroupVertices[Vertex],0)),1,1,"")</f>
        <v>2</v>
      </c>
      <c r="BE88" s="79" t="str">
        <f>REPLACE(INDEX(GroupVertices[Group],MATCH(Edges25[[#This Row],[Vertex 2]],GroupVertices[Vertex],0)),1,1,"")</f>
        <v>2</v>
      </c>
      <c r="BF88" s="49"/>
      <c r="BG88" s="50"/>
      <c r="BH88" s="49"/>
      <c r="BI88" s="50"/>
      <c r="BJ88" s="49"/>
      <c r="BK88" s="50"/>
      <c r="BL88" s="49"/>
      <c r="BM88" s="50"/>
      <c r="BN88" s="49"/>
    </row>
    <row r="89" spans="1:66" ht="15">
      <c r="A89" s="65" t="s">
        <v>285</v>
      </c>
      <c r="B89" s="65" t="s">
        <v>271</v>
      </c>
      <c r="C89" s="66"/>
      <c r="D89" s="67"/>
      <c r="E89" s="66"/>
      <c r="F89" s="69"/>
      <c r="G89" s="66"/>
      <c r="H89" s="70"/>
      <c r="I89" s="71"/>
      <c r="J89" s="71"/>
      <c r="K89" s="35" t="s">
        <v>66</v>
      </c>
      <c r="L89" s="72">
        <v>145</v>
      </c>
      <c r="M89" s="72"/>
      <c r="N89" s="73"/>
      <c r="O89" s="80" t="s">
        <v>351</v>
      </c>
      <c r="P89" s="82">
        <v>44216.24855324074</v>
      </c>
      <c r="Q89" s="80" t="s">
        <v>400</v>
      </c>
      <c r="R89" s="84" t="str">
        <f>HYPERLINK("https://www.tiess.online/registration?utm_source=Twitter&amp;utm_medium=IDA&amp;utm_campaign=TIESS&amp;utm_term=006")</f>
        <v>https://www.tiess.online/registration?utm_source=Twitter&amp;utm_medium=IDA&amp;utm_campaign=TIESS&amp;utm_term=006</v>
      </c>
      <c r="S89" s="80" t="s">
        <v>444</v>
      </c>
      <c r="T89" s="80" t="s">
        <v>449</v>
      </c>
      <c r="U89" s="84" t="str">
        <f>HYPERLINK("https://pbs.twimg.com/ext_tw_video_thumb/1351455582709051392/pu/img/HHqo-Y-cvh93oOF6.jpg")</f>
        <v>https://pbs.twimg.com/ext_tw_video_thumb/1351455582709051392/pu/img/HHqo-Y-cvh93oOF6.jpg</v>
      </c>
      <c r="V89" s="84" t="str">
        <f>HYPERLINK("https://pbs.twimg.com/ext_tw_video_thumb/1351455582709051392/pu/img/HHqo-Y-cvh93oOF6.jpg")</f>
        <v>https://pbs.twimg.com/ext_tw_video_thumb/1351455582709051392/pu/img/HHqo-Y-cvh93oOF6.jpg</v>
      </c>
      <c r="W89" s="82">
        <v>44216.24855324074</v>
      </c>
      <c r="X89" s="86">
        <v>44216</v>
      </c>
      <c r="Y89" s="88" t="s">
        <v>546</v>
      </c>
      <c r="Z89" s="84" t="str">
        <f>HYPERLINK("https://twitter.com/connect_aditya/status/1351770916988940291")</f>
        <v>https://twitter.com/connect_aditya/status/1351770916988940291</v>
      </c>
      <c r="AA89" s="80"/>
      <c r="AB89" s="80"/>
      <c r="AC89" s="88" t="s">
        <v>697</v>
      </c>
      <c r="AD89" s="80"/>
      <c r="AE89" s="80" t="b">
        <v>0</v>
      </c>
      <c r="AF89" s="80">
        <v>0</v>
      </c>
      <c r="AG89" s="88" t="s">
        <v>763</v>
      </c>
      <c r="AH89" s="80" t="b">
        <v>0</v>
      </c>
      <c r="AI89" s="80" t="s">
        <v>764</v>
      </c>
      <c r="AJ89" s="80"/>
      <c r="AK89" s="88" t="s">
        <v>763</v>
      </c>
      <c r="AL89" s="80" t="b">
        <v>0</v>
      </c>
      <c r="AM89" s="80">
        <v>1</v>
      </c>
      <c r="AN89" s="88" t="s">
        <v>736</v>
      </c>
      <c r="AO89" s="80" t="s">
        <v>765</v>
      </c>
      <c r="AP89" s="80" t="b">
        <v>0</v>
      </c>
      <c r="AQ89" s="88" t="s">
        <v>736</v>
      </c>
      <c r="AR89" s="80" t="s">
        <v>197</v>
      </c>
      <c r="AS89" s="80">
        <v>0</v>
      </c>
      <c r="AT89" s="80">
        <v>0</v>
      </c>
      <c r="AU89" s="80"/>
      <c r="AV89" s="80"/>
      <c r="AW89" s="80"/>
      <c r="AX89" s="80"/>
      <c r="AY89" s="80"/>
      <c r="AZ89" s="80"/>
      <c r="BA89" s="80"/>
      <c r="BB89" s="80"/>
      <c r="BC89">
        <v>2</v>
      </c>
      <c r="BD89" s="79" t="str">
        <f>REPLACE(INDEX(GroupVertices[Group],MATCH(Edges25[[#This Row],[Vertex 1]],GroupVertices[Vertex],0)),1,1,"")</f>
        <v>2</v>
      </c>
      <c r="BE89" s="79" t="str">
        <f>REPLACE(INDEX(GroupVertices[Group],MATCH(Edges25[[#This Row],[Vertex 2]],GroupVertices[Vertex],0)),1,1,"")</f>
        <v>1</v>
      </c>
      <c r="BF89" s="49">
        <v>1</v>
      </c>
      <c r="BG89" s="50">
        <v>2.857142857142857</v>
      </c>
      <c r="BH89" s="49">
        <v>0</v>
      </c>
      <c r="BI89" s="50">
        <v>0</v>
      </c>
      <c r="BJ89" s="49">
        <v>0</v>
      </c>
      <c r="BK89" s="50">
        <v>0</v>
      </c>
      <c r="BL89" s="49">
        <v>34</v>
      </c>
      <c r="BM89" s="50">
        <v>97.14285714285714</v>
      </c>
      <c r="BN89" s="49">
        <v>35</v>
      </c>
    </row>
    <row r="90" spans="1:66" ht="15">
      <c r="A90" s="65" t="s">
        <v>271</v>
      </c>
      <c r="B90" s="65" t="s">
        <v>285</v>
      </c>
      <c r="C90" s="66"/>
      <c r="D90" s="67"/>
      <c r="E90" s="66"/>
      <c r="F90" s="69"/>
      <c r="G90" s="66"/>
      <c r="H90" s="70"/>
      <c r="I90" s="71"/>
      <c r="J90" s="71"/>
      <c r="K90" s="35" t="s">
        <v>66</v>
      </c>
      <c r="L90" s="72">
        <v>146</v>
      </c>
      <c r="M90" s="72"/>
      <c r="N90" s="73"/>
      <c r="O90" s="80" t="s">
        <v>353</v>
      </c>
      <c r="P90" s="82">
        <v>44219.31579861111</v>
      </c>
      <c r="Q90" s="80" t="s">
        <v>401</v>
      </c>
      <c r="R90" s="84" t="str">
        <f>HYPERLINK("https://www.tiess.online/registration?utm_source=Damian&amp;utm_medium=SM&amp;utm_campaign=TIESS&amp;utm_term=027")</f>
        <v>https://www.tiess.online/registration?utm_source=Damian&amp;utm_medium=SM&amp;utm_campaign=TIESS&amp;utm_term=027</v>
      </c>
      <c r="S90" s="80" t="s">
        <v>444</v>
      </c>
      <c r="T90" s="80" t="s">
        <v>451</v>
      </c>
      <c r="U90" s="84" t="str">
        <f>HYPERLINK("https://pbs.twimg.com/media/EsZnGkYU0AEbfOs.jpg")</f>
        <v>https://pbs.twimg.com/media/EsZnGkYU0AEbfOs.jpg</v>
      </c>
      <c r="V90" s="84" t="str">
        <f>HYPERLINK("https://pbs.twimg.com/media/EsZnGkYU0AEbfOs.jpg")</f>
        <v>https://pbs.twimg.com/media/EsZnGkYU0AEbfOs.jpg</v>
      </c>
      <c r="W90" s="82">
        <v>44219.31579861111</v>
      </c>
      <c r="X90" s="86">
        <v>44219</v>
      </c>
      <c r="Y90" s="88" t="s">
        <v>547</v>
      </c>
      <c r="Z90" s="84" t="str">
        <f>HYPERLINK("https://twitter.com/indiadidac/status/1352882449177481216")</f>
        <v>https://twitter.com/indiadidac/status/1352882449177481216</v>
      </c>
      <c r="AA90" s="80"/>
      <c r="AB90" s="80"/>
      <c r="AC90" s="88" t="s">
        <v>698</v>
      </c>
      <c r="AD90" s="80"/>
      <c r="AE90" s="80" t="b">
        <v>0</v>
      </c>
      <c r="AF90" s="80">
        <v>0</v>
      </c>
      <c r="AG90" s="88" t="s">
        <v>763</v>
      </c>
      <c r="AH90" s="80" t="b">
        <v>0</v>
      </c>
      <c r="AI90" s="80" t="s">
        <v>764</v>
      </c>
      <c r="AJ90" s="80"/>
      <c r="AK90" s="88" t="s">
        <v>763</v>
      </c>
      <c r="AL90" s="80" t="b">
        <v>0</v>
      </c>
      <c r="AM90" s="80">
        <v>0</v>
      </c>
      <c r="AN90" s="88" t="s">
        <v>763</v>
      </c>
      <c r="AO90" s="80" t="s">
        <v>765</v>
      </c>
      <c r="AP90" s="80" t="b">
        <v>0</v>
      </c>
      <c r="AQ90" s="88" t="s">
        <v>698</v>
      </c>
      <c r="AR90" s="80" t="s">
        <v>197</v>
      </c>
      <c r="AS90" s="80">
        <v>0</v>
      </c>
      <c r="AT90" s="80">
        <v>0</v>
      </c>
      <c r="AU90" s="80"/>
      <c r="AV90" s="80"/>
      <c r="AW90" s="80"/>
      <c r="AX90" s="80"/>
      <c r="AY90" s="80"/>
      <c r="AZ90" s="80"/>
      <c r="BA90" s="80"/>
      <c r="BB90" s="80"/>
      <c r="BC90">
        <v>1</v>
      </c>
      <c r="BD90" s="79" t="str">
        <f>REPLACE(INDEX(GroupVertices[Group],MATCH(Edges25[[#This Row],[Vertex 1]],GroupVertices[Vertex],0)),1,1,"")</f>
        <v>1</v>
      </c>
      <c r="BE90" s="79" t="str">
        <f>REPLACE(INDEX(GroupVertices[Group],MATCH(Edges25[[#This Row],[Vertex 2]],GroupVertices[Vertex],0)),1,1,"")</f>
        <v>2</v>
      </c>
      <c r="BF90" s="49"/>
      <c r="BG90" s="50"/>
      <c r="BH90" s="49"/>
      <c r="BI90" s="50"/>
      <c r="BJ90" s="49"/>
      <c r="BK90" s="50"/>
      <c r="BL90" s="49"/>
      <c r="BM90" s="50"/>
      <c r="BN90" s="49"/>
    </row>
    <row r="91" spans="1:66" ht="15">
      <c r="A91" s="65" t="s">
        <v>271</v>
      </c>
      <c r="B91" s="65" t="s">
        <v>334</v>
      </c>
      <c r="C91" s="66"/>
      <c r="D91" s="67"/>
      <c r="E91" s="66"/>
      <c r="F91" s="69"/>
      <c r="G91" s="66"/>
      <c r="H91" s="70"/>
      <c r="I91" s="71"/>
      <c r="J91" s="71"/>
      <c r="K91" s="35" t="s">
        <v>65</v>
      </c>
      <c r="L91" s="72">
        <v>147</v>
      </c>
      <c r="M91" s="72"/>
      <c r="N91" s="73"/>
      <c r="O91" s="80" t="s">
        <v>353</v>
      </c>
      <c r="P91" s="82">
        <v>44218.5718287037</v>
      </c>
      <c r="Q91" s="80" t="s">
        <v>402</v>
      </c>
      <c r="R91" s="84" t="str">
        <f>HYPERLINK("https://www.tiess.online/registration?utm_source=Caroline&amp;utm_medium=Email&amp;utm_campaign=TIESS&amp;utm_term=024")</f>
        <v>https://www.tiess.online/registration?utm_source=Caroline&amp;utm_medium=Email&amp;utm_campaign=TIESS&amp;utm_term=024</v>
      </c>
      <c r="S91" s="80" t="s">
        <v>444</v>
      </c>
      <c r="T91" s="80" t="s">
        <v>450</v>
      </c>
      <c r="U91" s="84" t="str">
        <f>HYPERLINK("https://pbs.twimg.com/media/EsVyKgKUcAARhL-.jpg")</f>
        <v>https://pbs.twimg.com/media/EsVyKgKUcAARhL-.jpg</v>
      </c>
      <c r="V91" s="84" t="str">
        <f>HYPERLINK("https://pbs.twimg.com/media/EsVyKgKUcAARhL-.jpg")</f>
        <v>https://pbs.twimg.com/media/EsVyKgKUcAARhL-.jpg</v>
      </c>
      <c r="W91" s="82">
        <v>44218.5718287037</v>
      </c>
      <c r="X91" s="86">
        <v>44218</v>
      </c>
      <c r="Y91" s="88" t="s">
        <v>548</v>
      </c>
      <c r="Z91" s="84" t="str">
        <f>HYPERLINK("https://twitter.com/indiadidac/status/1352612840104882176")</f>
        <v>https://twitter.com/indiadidac/status/1352612840104882176</v>
      </c>
      <c r="AA91" s="80"/>
      <c r="AB91" s="80"/>
      <c r="AC91" s="88" t="s">
        <v>699</v>
      </c>
      <c r="AD91" s="80"/>
      <c r="AE91" s="80" t="b">
        <v>0</v>
      </c>
      <c r="AF91" s="80">
        <v>1</v>
      </c>
      <c r="AG91" s="88" t="s">
        <v>763</v>
      </c>
      <c r="AH91" s="80" t="b">
        <v>0</v>
      </c>
      <c r="AI91" s="80" t="s">
        <v>764</v>
      </c>
      <c r="AJ91" s="80"/>
      <c r="AK91" s="88" t="s">
        <v>763</v>
      </c>
      <c r="AL91" s="80" t="b">
        <v>0</v>
      </c>
      <c r="AM91" s="80">
        <v>0</v>
      </c>
      <c r="AN91" s="88" t="s">
        <v>763</v>
      </c>
      <c r="AO91" s="80" t="s">
        <v>765</v>
      </c>
      <c r="AP91" s="80" t="b">
        <v>0</v>
      </c>
      <c r="AQ91" s="88" t="s">
        <v>699</v>
      </c>
      <c r="AR91" s="80" t="s">
        <v>197</v>
      </c>
      <c r="AS91" s="80">
        <v>0</v>
      </c>
      <c r="AT91" s="80">
        <v>0</v>
      </c>
      <c r="AU91" s="80"/>
      <c r="AV91" s="80"/>
      <c r="AW91" s="80"/>
      <c r="AX91" s="80"/>
      <c r="AY91" s="80"/>
      <c r="AZ91" s="80"/>
      <c r="BA91" s="80"/>
      <c r="BB91" s="80"/>
      <c r="BC91">
        <v>2</v>
      </c>
      <c r="BD91" s="79" t="str">
        <f>REPLACE(INDEX(GroupVertices[Group],MATCH(Edges25[[#This Row],[Vertex 1]],GroupVertices[Vertex],0)),1,1,"")</f>
        <v>1</v>
      </c>
      <c r="BE91" s="79" t="str">
        <f>REPLACE(INDEX(GroupVertices[Group],MATCH(Edges25[[#This Row],[Vertex 2]],GroupVertices[Vertex],0)),1,1,"")</f>
        <v>1</v>
      </c>
      <c r="BF91" s="49"/>
      <c r="BG91" s="50"/>
      <c r="BH91" s="49"/>
      <c r="BI91" s="50"/>
      <c r="BJ91" s="49"/>
      <c r="BK91" s="50"/>
      <c r="BL91" s="49"/>
      <c r="BM91" s="50"/>
      <c r="BN91" s="49"/>
    </row>
    <row r="92" spans="1:66" ht="15">
      <c r="A92" s="65" t="s">
        <v>271</v>
      </c>
      <c r="B92" s="65" t="s">
        <v>337</v>
      </c>
      <c r="C92" s="66"/>
      <c r="D92" s="67"/>
      <c r="E92" s="66"/>
      <c r="F92" s="69"/>
      <c r="G92" s="66"/>
      <c r="H92" s="70"/>
      <c r="I92" s="71"/>
      <c r="J92" s="71"/>
      <c r="K92" s="35" t="s">
        <v>65</v>
      </c>
      <c r="L92" s="72">
        <v>151</v>
      </c>
      <c r="M92" s="72"/>
      <c r="N92" s="73"/>
      <c r="O92" s="80" t="s">
        <v>353</v>
      </c>
      <c r="P92" s="82">
        <v>44219.32570601852</v>
      </c>
      <c r="Q92" s="80" t="s">
        <v>403</v>
      </c>
      <c r="R92" s="84" t="str">
        <f>HYPERLINK("https://www.tiess.online/registration?utm_source=Sharath&amp;utm_medium=SM&amp;utm_campaign=TIESS&amp;utm_term=028")</f>
        <v>https://www.tiess.online/registration?utm_source=Sharath&amp;utm_medium=SM&amp;utm_campaign=TIESS&amp;utm_term=028</v>
      </c>
      <c r="S92" s="80" t="s">
        <v>444</v>
      </c>
      <c r="T92" s="80" t="s">
        <v>450</v>
      </c>
      <c r="U92" s="84" t="str">
        <f>HYPERLINK("https://pbs.twimg.com/media/EsZqlgFUwAAoXPF.jpg")</f>
        <v>https://pbs.twimg.com/media/EsZqlgFUwAAoXPF.jpg</v>
      </c>
      <c r="V92" s="84" t="str">
        <f>HYPERLINK("https://pbs.twimg.com/media/EsZqlgFUwAAoXPF.jpg")</f>
        <v>https://pbs.twimg.com/media/EsZqlgFUwAAoXPF.jpg</v>
      </c>
      <c r="W92" s="82">
        <v>44219.32570601852</v>
      </c>
      <c r="X92" s="86">
        <v>44219</v>
      </c>
      <c r="Y92" s="88" t="s">
        <v>549</v>
      </c>
      <c r="Z92" s="84" t="str">
        <f>HYPERLINK("https://twitter.com/indiadidac/status/1352886036251037697")</f>
        <v>https://twitter.com/indiadidac/status/1352886036251037697</v>
      </c>
      <c r="AA92" s="80"/>
      <c r="AB92" s="80"/>
      <c r="AC92" s="88" t="s">
        <v>700</v>
      </c>
      <c r="AD92" s="80"/>
      <c r="AE92" s="80" t="b">
        <v>0</v>
      </c>
      <c r="AF92" s="80">
        <v>0</v>
      </c>
      <c r="AG92" s="88" t="s">
        <v>763</v>
      </c>
      <c r="AH92" s="80" t="b">
        <v>0</v>
      </c>
      <c r="AI92" s="80" t="s">
        <v>764</v>
      </c>
      <c r="AJ92" s="80"/>
      <c r="AK92" s="88" t="s">
        <v>763</v>
      </c>
      <c r="AL92" s="80" t="b">
        <v>0</v>
      </c>
      <c r="AM92" s="80">
        <v>0</v>
      </c>
      <c r="AN92" s="88" t="s">
        <v>763</v>
      </c>
      <c r="AO92" s="80" t="s">
        <v>765</v>
      </c>
      <c r="AP92" s="80" t="b">
        <v>0</v>
      </c>
      <c r="AQ92" s="88" t="s">
        <v>700</v>
      </c>
      <c r="AR92" s="80" t="s">
        <v>197</v>
      </c>
      <c r="AS92" s="80">
        <v>0</v>
      </c>
      <c r="AT92" s="80">
        <v>0</v>
      </c>
      <c r="AU92" s="80"/>
      <c r="AV92" s="80"/>
      <c r="AW92" s="80"/>
      <c r="AX92" s="80"/>
      <c r="AY92" s="80"/>
      <c r="AZ92" s="80"/>
      <c r="BA92" s="80"/>
      <c r="BB92" s="80"/>
      <c r="BC92">
        <v>1</v>
      </c>
      <c r="BD92" s="79" t="str">
        <f>REPLACE(INDEX(GroupVertices[Group],MATCH(Edges25[[#This Row],[Vertex 1]],GroupVertices[Vertex],0)),1,1,"")</f>
        <v>1</v>
      </c>
      <c r="BE92" s="79" t="str">
        <f>REPLACE(INDEX(GroupVertices[Group],MATCH(Edges25[[#This Row],[Vertex 2]],GroupVertices[Vertex],0)),1,1,"")</f>
        <v>1</v>
      </c>
      <c r="BF92" s="49">
        <v>0</v>
      </c>
      <c r="BG92" s="50">
        <v>0</v>
      </c>
      <c r="BH92" s="49">
        <v>0</v>
      </c>
      <c r="BI92" s="50">
        <v>0</v>
      </c>
      <c r="BJ92" s="49">
        <v>0</v>
      </c>
      <c r="BK92" s="50">
        <v>0</v>
      </c>
      <c r="BL92" s="49">
        <v>24</v>
      </c>
      <c r="BM92" s="50">
        <v>100</v>
      </c>
      <c r="BN92" s="49">
        <v>24</v>
      </c>
    </row>
    <row r="93" spans="1:66" ht="15">
      <c r="A93" s="65" t="s">
        <v>286</v>
      </c>
      <c r="B93" s="65" t="s">
        <v>271</v>
      </c>
      <c r="C93" s="66"/>
      <c r="D93" s="67"/>
      <c r="E93" s="66"/>
      <c r="F93" s="69"/>
      <c r="G93" s="66"/>
      <c r="H93" s="70"/>
      <c r="I93" s="71"/>
      <c r="J93" s="71"/>
      <c r="K93" s="35" t="s">
        <v>66</v>
      </c>
      <c r="L93" s="72">
        <v>152</v>
      </c>
      <c r="M93" s="72"/>
      <c r="N93" s="73"/>
      <c r="O93" s="80" t="s">
        <v>351</v>
      </c>
      <c r="P93" s="82">
        <v>44219.408159722225</v>
      </c>
      <c r="Q93" s="80" t="s">
        <v>404</v>
      </c>
      <c r="R93" s="84" t="str">
        <f>HYPERLINK("https://www.tiess.online/registration?utm_source=SM&amp;utm_medium=Graus&amp;utm_campaign=TIESS&amp;utm_term=017")</f>
        <v>https://www.tiess.online/registration?utm_source=SM&amp;utm_medium=Graus&amp;utm_campaign=TIESS&amp;utm_term=017</v>
      </c>
      <c r="S93" s="80" t="s">
        <v>444</v>
      </c>
      <c r="T93" s="80" t="s">
        <v>449</v>
      </c>
      <c r="U93" s="84" t="str">
        <f>HYPERLINK("https://pbs.twimg.com/media/EsZsGrhVEAAvnKD.jpg")</f>
        <v>https://pbs.twimg.com/media/EsZsGrhVEAAvnKD.jpg</v>
      </c>
      <c r="V93" s="84" t="str">
        <f>HYPERLINK("https://pbs.twimg.com/media/EsZsGrhVEAAvnKD.jpg")</f>
        <v>https://pbs.twimg.com/media/EsZsGrhVEAAvnKD.jpg</v>
      </c>
      <c r="W93" s="82">
        <v>44219.408159722225</v>
      </c>
      <c r="X93" s="86">
        <v>44219</v>
      </c>
      <c r="Y93" s="88" t="s">
        <v>550</v>
      </c>
      <c r="Z93" s="84" t="str">
        <f>HYPERLINK("https://twitter.com/grausger/status/1352915919509610497")</f>
        <v>https://twitter.com/grausger/status/1352915919509610497</v>
      </c>
      <c r="AA93" s="80"/>
      <c r="AB93" s="80"/>
      <c r="AC93" s="88" t="s">
        <v>701</v>
      </c>
      <c r="AD93" s="80"/>
      <c r="AE93" s="80" t="b">
        <v>0</v>
      </c>
      <c r="AF93" s="80">
        <v>0</v>
      </c>
      <c r="AG93" s="88" t="s">
        <v>763</v>
      </c>
      <c r="AH93" s="80" t="b">
        <v>0</v>
      </c>
      <c r="AI93" s="80" t="s">
        <v>764</v>
      </c>
      <c r="AJ93" s="80"/>
      <c r="AK93" s="88" t="s">
        <v>763</v>
      </c>
      <c r="AL93" s="80" t="b">
        <v>0</v>
      </c>
      <c r="AM93" s="80">
        <v>1</v>
      </c>
      <c r="AN93" s="88" t="s">
        <v>702</v>
      </c>
      <c r="AO93" s="80" t="s">
        <v>767</v>
      </c>
      <c r="AP93" s="80" t="b">
        <v>0</v>
      </c>
      <c r="AQ93" s="88" t="s">
        <v>702</v>
      </c>
      <c r="AR93" s="80" t="s">
        <v>197</v>
      </c>
      <c r="AS93" s="80">
        <v>0</v>
      </c>
      <c r="AT93" s="80">
        <v>0</v>
      </c>
      <c r="AU93" s="80"/>
      <c r="AV93" s="80"/>
      <c r="AW93" s="80"/>
      <c r="AX93" s="80"/>
      <c r="AY93" s="80"/>
      <c r="AZ93" s="80"/>
      <c r="BA93" s="80"/>
      <c r="BB93" s="80"/>
      <c r="BC93">
        <v>1</v>
      </c>
      <c r="BD93" s="79" t="str">
        <f>REPLACE(INDEX(GroupVertices[Group],MATCH(Edges25[[#This Row],[Vertex 1]],GroupVertices[Vertex],0)),1,1,"")</f>
        <v>1</v>
      </c>
      <c r="BE93" s="79" t="str">
        <f>REPLACE(INDEX(GroupVertices[Group],MATCH(Edges25[[#This Row],[Vertex 2]],GroupVertices[Vertex],0)),1,1,"")</f>
        <v>1</v>
      </c>
      <c r="BF93" s="49">
        <v>2</v>
      </c>
      <c r="BG93" s="50">
        <v>5.882352941176471</v>
      </c>
      <c r="BH93" s="49">
        <v>0</v>
      </c>
      <c r="BI93" s="50">
        <v>0</v>
      </c>
      <c r="BJ93" s="49">
        <v>0</v>
      </c>
      <c r="BK93" s="50">
        <v>0</v>
      </c>
      <c r="BL93" s="49">
        <v>32</v>
      </c>
      <c r="BM93" s="50">
        <v>94.11764705882354</v>
      </c>
      <c r="BN93" s="49">
        <v>34</v>
      </c>
    </row>
    <row r="94" spans="1:66" ht="15">
      <c r="A94" s="65" t="s">
        <v>271</v>
      </c>
      <c r="B94" s="65" t="s">
        <v>286</v>
      </c>
      <c r="C94" s="66"/>
      <c r="D94" s="67"/>
      <c r="E94" s="66"/>
      <c r="F94" s="69"/>
      <c r="G94" s="66"/>
      <c r="H94" s="70"/>
      <c r="I94" s="71"/>
      <c r="J94" s="71"/>
      <c r="K94" s="35" t="s">
        <v>66</v>
      </c>
      <c r="L94" s="72">
        <v>153</v>
      </c>
      <c r="M94" s="72"/>
      <c r="N94" s="73"/>
      <c r="O94" s="80" t="s">
        <v>353</v>
      </c>
      <c r="P94" s="82">
        <v>44219.33011574074</v>
      </c>
      <c r="Q94" s="80" t="s">
        <v>404</v>
      </c>
      <c r="R94" s="84" t="str">
        <f>HYPERLINK("https://www.tiess.online/registration?utm_source=SM&amp;utm_medium=Graus&amp;utm_campaign=TIESS&amp;utm_term=017")</f>
        <v>https://www.tiess.online/registration?utm_source=SM&amp;utm_medium=Graus&amp;utm_campaign=TIESS&amp;utm_term=017</v>
      </c>
      <c r="S94" s="80" t="s">
        <v>444</v>
      </c>
      <c r="T94" s="80" t="s">
        <v>449</v>
      </c>
      <c r="U94" s="84" t="str">
        <f>HYPERLINK("https://pbs.twimg.com/media/EsZsGrhVEAAvnKD.jpg")</f>
        <v>https://pbs.twimg.com/media/EsZsGrhVEAAvnKD.jpg</v>
      </c>
      <c r="V94" s="84" t="str">
        <f>HYPERLINK("https://pbs.twimg.com/media/EsZsGrhVEAAvnKD.jpg")</f>
        <v>https://pbs.twimg.com/media/EsZsGrhVEAAvnKD.jpg</v>
      </c>
      <c r="W94" s="82">
        <v>44219.33011574074</v>
      </c>
      <c r="X94" s="86">
        <v>44219</v>
      </c>
      <c r="Y94" s="88" t="s">
        <v>551</v>
      </c>
      <c r="Z94" s="84" t="str">
        <f>HYPERLINK("https://twitter.com/indiadidac/status/1352887633848881153")</f>
        <v>https://twitter.com/indiadidac/status/1352887633848881153</v>
      </c>
      <c r="AA94" s="80"/>
      <c r="AB94" s="80"/>
      <c r="AC94" s="88" t="s">
        <v>702</v>
      </c>
      <c r="AD94" s="80"/>
      <c r="AE94" s="80" t="b">
        <v>0</v>
      </c>
      <c r="AF94" s="80">
        <v>2</v>
      </c>
      <c r="AG94" s="88" t="s">
        <v>763</v>
      </c>
      <c r="AH94" s="80" t="b">
        <v>0</v>
      </c>
      <c r="AI94" s="80" t="s">
        <v>764</v>
      </c>
      <c r="AJ94" s="80"/>
      <c r="AK94" s="88" t="s">
        <v>763</v>
      </c>
      <c r="AL94" s="80" t="b">
        <v>0</v>
      </c>
      <c r="AM94" s="80">
        <v>1</v>
      </c>
      <c r="AN94" s="88" t="s">
        <v>763</v>
      </c>
      <c r="AO94" s="80" t="s">
        <v>765</v>
      </c>
      <c r="AP94" s="80" t="b">
        <v>0</v>
      </c>
      <c r="AQ94" s="88" t="s">
        <v>702</v>
      </c>
      <c r="AR94" s="80" t="s">
        <v>197</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9">
        <v>2</v>
      </c>
      <c r="BG94" s="50">
        <v>5.882352941176471</v>
      </c>
      <c r="BH94" s="49">
        <v>0</v>
      </c>
      <c r="BI94" s="50">
        <v>0</v>
      </c>
      <c r="BJ94" s="49">
        <v>0</v>
      </c>
      <c r="BK94" s="50">
        <v>0</v>
      </c>
      <c r="BL94" s="49">
        <v>32</v>
      </c>
      <c r="BM94" s="50">
        <v>94.11764705882354</v>
      </c>
      <c r="BN94" s="49">
        <v>34</v>
      </c>
    </row>
    <row r="95" spans="1:66" ht="15">
      <c r="A95" s="65" t="s">
        <v>287</v>
      </c>
      <c r="B95" s="65" t="s">
        <v>287</v>
      </c>
      <c r="C95" s="66"/>
      <c r="D95" s="67"/>
      <c r="E95" s="66"/>
      <c r="F95" s="69"/>
      <c r="G95" s="66"/>
      <c r="H95" s="70"/>
      <c r="I95" s="71"/>
      <c r="J95" s="71"/>
      <c r="K95" s="35" t="s">
        <v>65</v>
      </c>
      <c r="L95" s="72">
        <v>154</v>
      </c>
      <c r="M95" s="72"/>
      <c r="N95" s="73"/>
      <c r="O95" s="80" t="s">
        <v>197</v>
      </c>
      <c r="P95" s="82">
        <v>44219.374131944445</v>
      </c>
      <c r="Q95" s="80" t="s">
        <v>363</v>
      </c>
      <c r="R95" s="80" t="s">
        <v>442</v>
      </c>
      <c r="S95" s="80" t="s">
        <v>446</v>
      </c>
      <c r="T95" s="80" t="s">
        <v>450</v>
      </c>
      <c r="U95" s="84" t="str">
        <f>HYPERLINK("https://pbs.twimg.com/media/EsZvwrMVEAAm51K.jpg")</f>
        <v>https://pbs.twimg.com/media/EsZvwrMVEAAm51K.jpg</v>
      </c>
      <c r="V95" s="84" t="str">
        <f>HYPERLINK("https://pbs.twimg.com/media/EsZvwrMVEAAm51K.jpg")</f>
        <v>https://pbs.twimg.com/media/EsZvwrMVEAAm51K.jpg</v>
      </c>
      <c r="W95" s="82">
        <v>44219.374131944445</v>
      </c>
      <c r="X95" s="86">
        <v>44219</v>
      </c>
      <c r="Y95" s="88" t="s">
        <v>552</v>
      </c>
      <c r="Z95" s="84" t="str">
        <f>HYPERLINK("https://twitter.com/olliebray/status/1352903588729794560")</f>
        <v>https://twitter.com/olliebray/status/1352903588729794560</v>
      </c>
      <c r="AA95" s="80"/>
      <c r="AB95" s="80"/>
      <c r="AC95" s="88" t="s">
        <v>703</v>
      </c>
      <c r="AD95" s="80"/>
      <c r="AE95" s="80" t="b">
        <v>0</v>
      </c>
      <c r="AF95" s="80">
        <v>9</v>
      </c>
      <c r="AG95" s="88" t="s">
        <v>763</v>
      </c>
      <c r="AH95" s="80" t="b">
        <v>1</v>
      </c>
      <c r="AI95" s="80" t="s">
        <v>764</v>
      </c>
      <c r="AJ95" s="80"/>
      <c r="AK95" s="88" t="s">
        <v>704</v>
      </c>
      <c r="AL95" s="80" t="b">
        <v>0</v>
      </c>
      <c r="AM95" s="80">
        <v>1</v>
      </c>
      <c r="AN95" s="88" t="s">
        <v>763</v>
      </c>
      <c r="AO95" s="80" t="s">
        <v>766</v>
      </c>
      <c r="AP95" s="80" t="b">
        <v>0</v>
      </c>
      <c r="AQ95" s="88" t="s">
        <v>703</v>
      </c>
      <c r="AR95" s="80" t="s">
        <v>197</v>
      </c>
      <c r="AS95" s="80">
        <v>0</v>
      </c>
      <c r="AT95" s="80">
        <v>0</v>
      </c>
      <c r="AU95" s="80" t="s">
        <v>770</v>
      </c>
      <c r="AV95" s="80" t="s">
        <v>771</v>
      </c>
      <c r="AW95" s="80" t="s">
        <v>772</v>
      </c>
      <c r="AX95" s="80" t="s">
        <v>773</v>
      </c>
      <c r="AY95" s="80" t="s">
        <v>774</v>
      </c>
      <c r="AZ95" s="80" t="s">
        <v>775</v>
      </c>
      <c r="BA95" s="80" t="s">
        <v>776</v>
      </c>
      <c r="BB95" s="84" t="str">
        <f>HYPERLINK("https://api.twitter.com/1.1/geo/id/0af014accd6f6e99.json")</f>
        <v>https://api.twitter.com/1.1/geo/id/0af014accd6f6e99.json</v>
      </c>
      <c r="BC95">
        <v>1</v>
      </c>
      <c r="BD95" s="79" t="str">
        <f>REPLACE(INDEX(GroupVertices[Group],MATCH(Edges25[[#This Row],[Vertex 1]],GroupVertices[Vertex],0)),1,1,"")</f>
        <v>13</v>
      </c>
      <c r="BE95" s="79" t="str">
        <f>REPLACE(INDEX(GroupVertices[Group],MATCH(Edges25[[#This Row],[Vertex 2]],GroupVertices[Vertex],0)),1,1,"")</f>
        <v>13</v>
      </c>
      <c r="BF95" s="49">
        <v>0</v>
      </c>
      <c r="BG95" s="50">
        <v>0</v>
      </c>
      <c r="BH95" s="49">
        <v>0</v>
      </c>
      <c r="BI95" s="50">
        <v>0</v>
      </c>
      <c r="BJ95" s="49">
        <v>0</v>
      </c>
      <c r="BK95" s="50">
        <v>0</v>
      </c>
      <c r="BL95" s="49">
        <v>12</v>
      </c>
      <c r="BM95" s="50">
        <v>100</v>
      </c>
      <c r="BN95" s="49">
        <v>12</v>
      </c>
    </row>
    <row r="96" spans="1:66" ht="15">
      <c r="A96" s="65" t="s">
        <v>271</v>
      </c>
      <c r="B96" s="65" t="s">
        <v>287</v>
      </c>
      <c r="C96" s="66"/>
      <c r="D96" s="67"/>
      <c r="E96" s="66"/>
      <c r="F96" s="69"/>
      <c r="G96" s="66"/>
      <c r="H96" s="70"/>
      <c r="I96" s="71"/>
      <c r="J96" s="71"/>
      <c r="K96" s="35" t="s">
        <v>65</v>
      </c>
      <c r="L96" s="72">
        <v>155</v>
      </c>
      <c r="M96" s="72"/>
      <c r="N96" s="73"/>
      <c r="O96" s="80" t="s">
        <v>353</v>
      </c>
      <c r="P96" s="82">
        <v>44219.34133101852</v>
      </c>
      <c r="Q96" s="80" t="s">
        <v>405</v>
      </c>
      <c r="R96" s="84" t="str">
        <f>HYPERLINK("https://www.tiess.online/registration?utm_source=Ollie&amp;utm_medium=SM&amp;utm_campaign=TIESS&amp;utm_term=029")</f>
        <v>https://www.tiess.online/registration?utm_source=Ollie&amp;utm_medium=SM&amp;utm_campaign=TIESS&amp;utm_term=029</v>
      </c>
      <c r="S96" s="80" t="s">
        <v>444</v>
      </c>
      <c r="T96" s="80" t="s">
        <v>457</v>
      </c>
      <c r="U96" s="84" t="str">
        <f>HYPERLINK("https://pbs.twimg.com/media/EsZvwrMVEAAm51K.jpg")</f>
        <v>https://pbs.twimg.com/media/EsZvwrMVEAAm51K.jpg</v>
      </c>
      <c r="V96" s="84" t="str">
        <f>HYPERLINK("https://pbs.twimg.com/media/EsZvwrMVEAAm51K.jpg")</f>
        <v>https://pbs.twimg.com/media/EsZvwrMVEAAm51K.jpg</v>
      </c>
      <c r="W96" s="82">
        <v>44219.34133101852</v>
      </c>
      <c r="X96" s="86">
        <v>44219</v>
      </c>
      <c r="Y96" s="88" t="s">
        <v>553</v>
      </c>
      <c r="Z96" s="84" t="str">
        <f>HYPERLINK("https://twitter.com/indiadidac/status/1352891698599223296")</f>
        <v>https://twitter.com/indiadidac/status/1352891698599223296</v>
      </c>
      <c r="AA96" s="80"/>
      <c r="AB96" s="80"/>
      <c r="AC96" s="88" t="s">
        <v>704</v>
      </c>
      <c r="AD96" s="80"/>
      <c r="AE96" s="80" t="b">
        <v>0</v>
      </c>
      <c r="AF96" s="80">
        <v>2</v>
      </c>
      <c r="AG96" s="88" t="s">
        <v>763</v>
      </c>
      <c r="AH96" s="80" t="b">
        <v>0</v>
      </c>
      <c r="AI96" s="80" t="s">
        <v>764</v>
      </c>
      <c r="AJ96" s="80"/>
      <c r="AK96" s="88" t="s">
        <v>763</v>
      </c>
      <c r="AL96" s="80" t="b">
        <v>0</v>
      </c>
      <c r="AM96" s="80">
        <v>0</v>
      </c>
      <c r="AN96" s="88" t="s">
        <v>763</v>
      </c>
      <c r="AO96" s="80" t="s">
        <v>765</v>
      </c>
      <c r="AP96" s="80" t="b">
        <v>0</v>
      </c>
      <c r="AQ96" s="88" t="s">
        <v>704</v>
      </c>
      <c r="AR96" s="80" t="s">
        <v>197</v>
      </c>
      <c r="AS96" s="80">
        <v>0</v>
      </c>
      <c r="AT96" s="80">
        <v>0</v>
      </c>
      <c r="AU96" s="80"/>
      <c r="AV96" s="80"/>
      <c r="AW96" s="80"/>
      <c r="AX96" s="80"/>
      <c r="AY96" s="80"/>
      <c r="AZ96" s="80"/>
      <c r="BA96" s="80"/>
      <c r="BB96" s="80"/>
      <c r="BC96">
        <v>1</v>
      </c>
      <c r="BD96" s="79" t="str">
        <f>REPLACE(INDEX(GroupVertices[Group],MATCH(Edges25[[#This Row],[Vertex 1]],GroupVertices[Vertex],0)),1,1,"")</f>
        <v>1</v>
      </c>
      <c r="BE96" s="79" t="str">
        <f>REPLACE(INDEX(GroupVertices[Group],MATCH(Edges25[[#This Row],[Vertex 2]],GroupVertices[Vertex],0)),1,1,"")</f>
        <v>13</v>
      </c>
      <c r="BF96" s="49">
        <v>1</v>
      </c>
      <c r="BG96" s="50">
        <v>3.3333333333333335</v>
      </c>
      <c r="BH96" s="49">
        <v>0</v>
      </c>
      <c r="BI96" s="50">
        <v>0</v>
      </c>
      <c r="BJ96" s="49">
        <v>0</v>
      </c>
      <c r="BK96" s="50">
        <v>0</v>
      </c>
      <c r="BL96" s="49">
        <v>29</v>
      </c>
      <c r="BM96" s="50">
        <v>96.66666666666667</v>
      </c>
      <c r="BN96" s="49">
        <v>30</v>
      </c>
    </row>
    <row r="97" spans="1:66" ht="15">
      <c r="A97" s="65" t="s">
        <v>271</v>
      </c>
      <c r="B97" s="65" t="s">
        <v>338</v>
      </c>
      <c r="C97" s="66"/>
      <c r="D97" s="67"/>
      <c r="E97" s="66"/>
      <c r="F97" s="69"/>
      <c r="G97" s="66"/>
      <c r="H97" s="70"/>
      <c r="I97" s="71"/>
      <c r="J97" s="71"/>
      <c r="K97" s="35" t="s">
        <v>65</v>
      </c>
      <c r="L97" s="72">
        <v>156</v>
      </c>
      <c r="M97" s="72"/>
      <c r="N97" s="73"/>
      <c r="O97" s="80" t="s">
        <v>353</v>
      </c>
      <c r="P97" s="82">
        <v>44219.34950231481</v>
      </c>
      <c r="Q97" s="80" t="s">
        <v>406</v>
      </c>
      <c r="R97" s="84" t="str">
        <f>HYPERLINK("https://www.tiess.online/registration?utm_source=Michael&amp;utm_medium=SM&amp;utm_campaign=TIESS&amp;utm_term=030")</f>
        <v>https://www.tiess.online/registration?utm_source=Michael&amp;utm_medium=SM&amp;utm_campaign=TIESS&amp;utm_term=030</v>
      </c>
      <c r="S97" s="80" t="s">
        <v>444</v>
      </c>
      <c r="T97" s="80" t="s">
        <v>450</v>
      </c>
      <c r="U97" s="84" t="str">
        <f>HYPERLINK("https://pbs.twimg.com/media/EsZycyyUwAEOe-g.jpg")</f>
        <v>https://pbs.twimg.com/media/EsZycyyUwAEOe-g.jpg</v>
      </c>
      <c r="V97" s="84" t="str">
        <f>HYPERLINK("https://pbs.twimg.com/media/EsZycyyUwAEOe-g.jpg")</f>
        <v>https://pbs.twimg.com/media/EsZycyyUwAEOe-g.jpg</v>
      </c>
      <c r="W97" s="82">
        <v>44219.34950231481</v>
      </c>
      <c r="X97" s="86">
        <v>44219</v>
      </c>
      <c r="Y97" s="88" t="s">
        <v>554</v>
      </c>
      <c r="Z97" s="84" t="str">
        <f>HYPERLINK("https://twitter.com/indiadidac/status/1352894659857530880")</f>
        <v>https://twitter.com/indiadidac/status/1352894659857530880</v>
      </c>
      <c r="AA97" s="80"/>
      <c r="AB97" s="80"/>
      <c r="AC97" s="88" t="s">
        <v>705</v>
      </c>
      <c r="AD97" s="80"/>
      <c r="AE97" s="80" t="b">
        <v>0</v>
      </c>
      <c r="AF97" s="80">
        <v>1</v>
      </c>
      <c r="AG97" s="88" t="s">
        <v>763</v>
      </c>
      <c r="AH97" s="80" t="b">
        <v>0</v>
      </c>
      <c r="AI97" s="80" t="s">
        <v>764</v>
      </c>
      <c r="AJ97" s="80"/>
      <c r="AK97" s="88" t="s">
        <v>763</v>
      </c>
      <c r="AL97" s="80" t="b">
        <v>0</v>
      </c>
      <c r="AM97" s="80">
        <v>0</v>
      </c>
      <c r="AN97" s="88" t="s">
        <v>763</v>
      </c>
      <c r="AO97" s="80" t="s">
        <v>765</v>
      </c>
      <c r="AP97" s="80" t="b">
        <v>0</v>
      </c>
      <c r="AQ97" s="88" t="s">
        <v>705</v>
      </c>
      <c r="AR97" s="80" t="s">
        <v>197</v>
      </c>
      <c r="AS97" s="80">
        <v>0</v>
      </c>
      <c r="AT97" s="80">
        <v>0</v>
      </c>
      <c r="AU97" s="80"/>
      <c r="AV97" s="80"/>
      <c r="AW97" s="80"/>
      <c r="AX97" s="80"/>
      <c r="AY97" s="80"/>
      <c r="AZ97" s="80"/>
      <c r="BA97" s="80"/>
      <c r="BB97" s="80"/>
      <c r="BC97">
        <v>1</v>
      </c>
      <c r="BD97" s="79" t="str">
        <f>REPLACE(INDEX(GroupVertices[Group],MATCH(Edges25[[#This Row],[Vertex 1]],GroupVertices[Vertex],0)),1,1,"")</f>
        <v>1</v>
      </c>
      <c r="BE97" s="79" t="str">
        <f>REPLACE(INDEX(GroupVertices[Group],MATCH(Edges25[[#This Row],[Vertex 2]],GroupVertices[Vertex],0)),1,1,"")</f>
        <v>1</v>
      </c>
      <c r="BF97" s="49">
        <v>1</v>
      </c>
      <c r="BG97" s="50">
        <v>3.0303030303030303</v>
      </c>
      <c r="BH97" s="49">
        <v>0</v>
      </c>
      <c r="BI97" s="50">
        <v>0</v>
      </c>
      <c r="BJ97" s="49">
        <v>0</v>
      </c>
      <c r="BK97" s="50">
        <v>0</v>
      </c>
      <c r="BL97" s="49">
        <v>32</v>
      </c>
      <c r="BM97" s="50">
        <v>96.96969696969697</v>
      </c>
      <c r="BN97" s="49">
        <v>33</v>
      </c>
    </row>
    <row r="98" spans="1:66" ht="15">
      <c r="A98" s="65" t="s">
        <v>288</v>
      </c>
      <c r="B98" s="65" t="s">
        <v>271</v>
      </c>
      <c r="C98" s="66"/>
      <c r="D98" s="67"/>
      <c r="E98" s="66"/>
      <c r="F98" s="69"/>
      <c r="G98" s="66"/>
      <c r="H98" s="70"/>
      <c r="I98" s="71"/>
      <c r="J98" s="71"/>
      <c r="K98" s="35" t="s">
        <v>66</v>
      </c>
      <c r="L98" s="72">
        <v>157</v>
      </c>
      <c r="M98" s="72"/>
      <c r="N98" s="73"/>
      <c r="O98" s="80" t="s">
        <v>351</v>
      </c>
      <c r="P98" s="82">
        <v>44219.65068287037</v>
      </c>
      <c r="Q98" s="80" t="s">
        <v>366</v>
      </c>
      <c r="R98" s="84" t="str">
        <f>HYPERLINK("https://www.tiess.online/registration?utm_source=Manjula&amp;utm_medium=SM&amp;utm_campaign=TIESS&amp;utm_term=035")</f>
        <v>https://www.tiess.online/registration?utm_source=Manjula&amp;utm_medium=SM&amp;utm_campaign=TIESS&amp;utm_term=035</v>
      </c>
      <c r="S98" s="80" t="s">
        <v>444</v>
      </c>
      <c r="T98" s="80" t="s">
        <v>450</v>
      </c>
      <c r="U98" s="84" t="str">
        <f>HYPERLINK("https://pbs.twimg.com/media/EsaYJWbUUAEqSrE.jpg")</f>
        <v>https://pbs.twimg.com/media/EsaYJWbUUAEqSrE.jpg</v>
      </c>
      <c r="V98" s="84" t="str">
        <f>HYPERLINK("https://pbs.twimg.com/media/EsaYJWbUUAEqSrE.jpg")</f>
        <v>https://pbs.twimg.com/media/EsaYJWbUUAEqSrE.jpg</v>
      </c>
      <c r="W98" s="82">
        <v>44219.65068287037</v>
      </c>
      <c r="X98" s="86">
        <v>44219</v>
      </c>
      <c r="Y98" s="88" t="s">
        <v>555</v>
      </c>
      <c r="Z98" s="84" t="str">
        <f>HYPERLINK("https://twitter.com/manjula_d/status/1353003804623577088")</f>
        <v>https://twitter.com/manjula_d/status/1353003804623577088</v>
      </c>
      <c r="AA98" s="80"/>
      <c r="AB98" s="80"/>
      <c r="AC98" s="88" t="s">
        <v>706</v>
      </c>
      <c r="AD98" s="80"/>
      <c r="AE98" s="80" t="b">
        <v>0</v>
      </c>
      <c r="AF98" s="80">
        <v>0</v>
      </c>
      <c r="AG98" s="88" t="s">
        <v>763</v>
      </c>
      <c r="AH98" s="80" t="b">
        <v>0</v>
      </c>
      <c r="AI98" s="80" t="s">
        <v>764</v>
      </c>
      <c r="AJ98" s="80"/>
      <c r="AK98" s="88" t="s">
        <v>763</v>
      </c>
      <c r="AL98" s="80" t="b">
        <v>0</v>
      </c>
      <c r="AM98" s="80">
        <v>2</v>
      </c>
      <c r="AN98" s="88" t="s">
        <v>707</v>
      </c>
      <c r="AO98" s="80" t="s">
        <v>767</v>
      </c>
      <c r="AP98" s="80" t="b">
        <v>0</v>
      </c>
      <c r="AQ98" s="88" t="s">
        <v>707</v>
      </c>
      <c r="AR98" s="80" t="s">
        <v>197</v>
      </c>
      <c r="AS98" s="80">
        <v>0</v>
      </c>
      <c r="AT98" s="80">
        <v>0</v>
      </c>
      <c r="AU98" s="80"/>
      <c r="AV98" s="80"/>
      <c r="AW98" s="80"/>
      <c r="AX98" s="80"/>
      <c r="AY98" s="80"/>
      <c r="AZ98" s="80"/>
      <c r="BA98" s="80"/>
      <c r="BB98" s="80"/>
      <c r="BC98">
        <v>1</v>
      </c>
      <c r="BD98" s="79" t="str">
        <f>REPLACE(INDEX(GroupVertices[Group],MATCH(Edges25[[#This Row],[Vertex 1]],GroupVertices[Vertex],0)),1,1,"")</f>
        <v>1</v>
      </c>
      <c r="BE98" s="79" t="str">
        <f>REPLACE(INDEX(GroupVertices[Group],MATCH(Edges25[[#This Row],[Vertex 2]],GroupVertices[Vertex],0)),1,1,"")</f>
        <v>1</v>
      </c>
      <c r="BF98" s="49">
        <v>1</v>
      </c>
      <c r="BG98" s="50">
        <v>3.5714285714285716</v>
      </c>
      <c r="BH98" s="49">
        <v>0</v>
      </c>
      <c r="BI98" s="50">
        <v>0</v>
      </c>
      <c r="BJ98" s="49">
        <v>0</v>
      </c>
      <c r="BK98" s="50">
        <v>0</v>
      </c>
      <c r="BL98" s="49">
        <v>27</v>
      </c>
      <c r="BM98" s="50">
        <v>96.42857142857143</v>
      </c>
      <c r="BN98" s="49">
        <v>28</v>
      </c>
    </row>
    <row r="99" spans="1:66" ht="15">
      <c r="A99" s="65" t="s">
        <v>271</v>
      </c>
      <c r="B99" s="65" t="s">
        <v>288</v>
      </c>
      <c r="C99" s="66"/>
      <c r="D99" s="67"/>
      <c r="E99" s="66"/>
      <c r="F99" s="69"/>
      <c r="G99" s="66"/>
      <c r="H99" s="70"/>
      <c r="I99" s="71"/>
      <c r="J99" s="71"/>
      <c r="K99" s="35" t="s">
        <v>66</v>
      </c>
      <c r="L99" s="72">
        <v>158</v>
      </c>
      <c r="M99" s="72"/>
      <c r="N99" s="73"/>
      <c r="O99" s="80" t="s">
        <v>353</v>
      </c>
      <c r="P99" s="82">
        <v>44219.463854166665</v>
      </c>
      <c r="Q99" s="80" t="s">
        <v>366</v>
      </c>
      <c r="R99" s="84" t="str">
        <f>HYPERLINK("https://www.tiess.online/registration?utm_source=Manjula&amp;utm_medium=SM&amp;utm_campaign=TIESS&amp;utm_term=035")</f>
        <v>https://www.tiess.online/registration?utm_source=Manjula&amp;utm_medium=SM&amp;utm_campaign=TIESS&amp;utm_term=035</v>
      </c>
      <c r="S99" s="80" t="s">
        <v>444</v>
      </c>
      <c r="T99" s="80" t="s">
        <v>450</v>
      </c>
      <c r="U99" s="84" t="str">
        <f>HYPERLINK("https://pbs.twimg.com/media/EsaYJWbUUAEqSrE.jpg")</f>
        <v>https://pbs.twimg.com/media/EsaYJWbUUAEqSrE.jpg</v>
      </c>
      <c r="V99" s="84" t="str">
        <f>HYPERLINK("https://pbs.twimg.com/media/EsaYJWbUUAEqSrE.jpg")</f>
        <v>https://pbs.twimg.com/media/EsaYJWbUUAEqSrE.jpg</v>
      </c>
      <c r="W99" s="82">
        <v>44219.463854166665</v>
      </c>
      <c r="X99" s="86">
        <v>44219</v>
      </c>
      <c r="Y99" s="88" t="s">
        <v>556</v>
      </c>
      <c r="Z99" s="84" t="str">
        <f>HYPERLINK("https://twitter.com/indiadidac/status/1352936102189912064")</f>
        <v>https://twitter.com/indiadidac/status/1352936102189912064</v>
      </c>
      <c r="AA99" s="80"/>
      <c r="AB99" s="80"/>
      <c r="AC99" s="88" t="s">
        <v>707</v>
      </c>
      <c r="AD99" s="80"/>
      <c r="AE99" s="80" t="b">
        <v>0</v>
      </c>
      <c r="AF99" s="80">
        <v>6</v>
      </c>
      <c r="AG99" s="88" t="s">
        <v>763</v>
      </c>
      <c r="AH99" s="80" t="b">
        <v>0</v>
      </c>
      <c r="AI99" s="80" t="s">
        <v>764</v>
      </c>
      <c r="AJ99" s="80"/>
      <c r="AK99" s="88" t="s">
        <v>763</v>
      </c>
      <c r="AL99" s="80" t="b">
        <v>0</v>
      </c>
      <c r="AM99" s="80">
        <v>2</v>
      </c>
      <c r="AN99" s="88" t="s">
        <v>763</v>
      </c>
      <c r="AO99" s="80" t="s">
        <v>765</v>
      </c>
      <c r="AP99" s="80" t="b">
        <v>0</v>
      </c>
      <c r="AQ99" s="88" t="s">
        <v>707</v>
      </c>
      <c r="AR99" s="80" t="s">
        <v>197</v>
      </c>
      <c r="AS99" s="80">
        <v>0</v>
      </c>
      <c r="AT99" s="80">
        <v>0</v>
      </c>
      <c r="AU99" s="80"/>
      <c r="AV99" s="80"/>
      <c r="AW99" s="80"/>
      <c r="AX99" s="80"/>
      <c r="AY99" s="80"/>
      <c r="AZ99" s="80"/>
      <c r="BA99" s="80"/>
      <c r="BB99" s="80"/>
      <c r="BC99">
        <v>1</v>
      </c>
      <c r="BD99" s="79" t="str">
        <f>REPLACE(INDEX(GroupVertices[Group],MATCH(Edges25[[#This Row],[Vertex 1]],GroupVertices[Vertex],0)),1,1,"")</f>
        <v>1</v>
      </c>
      <c r="BE99" s="79" t="str">
        <f>REPLACE(INDEX(GroupVertices[Group],MATCH(Edges25[[#This Row],[Vertex 2]],GroupVertices[Vertex],0)),1,1,"")</f>
        <v>1</v>
      </c>
      <c r="BF99" s="49">
        <v>1</v>
      </c>
      <c r="BG99" s="50">
        <v>3.5714285714285716</v>
      </c>
      <c r="BH99" s="49">
        <v>0</v>
      </c>
      <c r="BI99" s="50">
        <v>0</v>
      </c>
      <c r="BJ99" s="49">
        <v>0</v>
      </c>
      <c r="BK99" s="50">
        <v>0</v>
      </c>
      <c r="BL99" s="49">
        <v>27</v>
      </c>
      <c r="BM99" s="50">
        <v>96.42857142857143</v>
      </c>
      <c r="BN99" s="49">
        <v>28</v>
      </c>
    </row>
    <row r="100" spans="1:66" ht="15">
      <c r="A100" s="65" t="s">
        <v>271</v>
      </c>
      <c r="B100" s="65" t="s">
        <v>339</v>
      </c>
      <c r="C100" s="66"/>
      <c r="D100" s="67"/>
      <c r="E100" s="66"/>
      <c r="F100" s="69"/>
      <c r="G100" s="66"/>
      <c r="H100" s="70"/>
      <c r="I100" s="71"/>
      <c r="J100" s="71"/>
      <c r="K100" s="35" t="s">
        <v>65</v>
      </c>
      <c r="L100" s="72">
        <v>159</v>
      </c>
      <c r="M100" s="72"/>
      <c r="N100" s="73"/>
      <c r="O100" s="80" t="s">
        <v>353</v>
      </c>
      <c r="P100" s="82">
        <v>44221.5724537037</v>
      </c>
      <c r="Q100" s="80" t="s">
        <v>407</v>
      </c>
      <c r="R100" s="84" t="str">
        <f>HYPERLINK("https://www.tiess.online/registration?utm_source=Anju&amp;utm_medium=Sharma&amp;utm_campaign=TIESS&amp;utm_term=044")</f>
        <v>https://www.tiess.online/registration?utm_source=Anju&amp;utm_medium=Sharma&amp;utm_campaign=TIESS&amp;utm_term=044</v>
      </c>
      <c r="S100" s="80" t="s">
        <v>444</v>
      </c>
      <c r="T100" s="80" t="s">
        <v>450</v>
      </c>
      <c r="U100" s="84" t="str">
        <f>HYPERLINK("https://pbs.twimg.com/media/EslO-K0UYAAfRXZ.jpg")</f>
        <v>https://pbs.twimg.com/media/EslO-K0UYAAfRXZ.jpg</v>
      </c>
      <c r="V100" s="84" t="str">
        <f>HYPERLINK("https://pbs.twimg.com/media/EslO-K0UYAAfRXZ.jpg")</f>
        <v>https://pbs.twimg.com/media/EslO-K0UYAAfRXZ.jpg</v>
      </c>
      <c r="W100" s="82">
        <v>44221.5724537037</v>
      </c>
      <c r="X100" s="86">
        <v>44221</v>
      </c>
      <c r="Y100" s="88" t="s">
        <v>557</v>
      </c>
      <c r="Z100" s="84" t="str">
        <f>HYPERLINK("https://twitter.com/indiadidac/status/1353700232026968065")</f>
        <v>https://twitter.com/indiadidac/status/1353700232026968065</v>
      </c>
      <c r="AA100" s="80"/>
      <c r="AB100" s="80"/>
      <c r="AC100" s="88" t="s">
        <v>708</v>
      </c>
      <c r="AD100" s="80"/>
      <c r="AE100" s="80" t="b">
        <v>0</v>
      </c>
      <c r="AF100" s="80">
        <v>4</v>
      </c>
      <c r="AG100" s="88" t="s">
        <v>763</v>
      </c>
      <c r="AH100" s="80" t="b">
        <v>0</v>
      </c>
      <c r="AI100" s="80" t="s">
        <v>764</v>
      </c>
      <c r="AJ100" s="80"/>
      <c r="AK100" s="88" t="s">
        <v>763</v>
      </c>
      <c r="AL100" s="80" t="b">
        <v>0</v>
      </c>
      <c r="AM100" s="80">
        <v>0</v>
      </c>
      <c r="AN100" s="88" t="s">
        <v>763</v>
      </c>
      <c r="AO100" s="80" t="s">
        <v>765</v>
      </c>
      <c r="AP100" s="80" t="b">
        <v>0</v>
      </c>
      <c r="AQ100" s="88" t="s">
        <v>708</v>
      </c>
      <c r="AR100" s="80" t="s">
        <v>197</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1</v>
      </c>
      <c r="BF100" s="49">
        <v>1</v>
      </c>
      <c r="BG100" s="50">
        <v>3.3333333333333335</v>
      </c>
      <c r="BH100" s="49">
        <v>0</v>
      </c>
      <c r="BI100" s="50">
        <v>0</v>
      </c>
      <c r="BJ100" s="49">
        <v>0</v>
      </c>
      <c r="BK100" s="50">
        <v>0</v>
      </c>
      <c r="BL100" s="49">
        <v>29</v>
      </c>
      <c r="BM100" s="50">
        <v>96.66666666666667</v>
      </c>
      <c r="BN100" s="49">
        <v>30</v>
      </c>
    </row>
    <row r="101" spans="1:66" ht="15">
      <c r="A101" s="65" t="s">
        <v>271</v>
      </c>
      <c r="B101" s="65" t="s">
        <v>340</v>
      </c>
      <c r="C101" s="66"/>
      <c r="D101" s="67"/>
      <c r="E101" s="66"/>
      <c r="F101" s="69"/>
      <c r="G101" s="66"/>
      <c r="H101" s="70"/>
      <c r="I101" s="71"/>
      <c r="J101" s="71"/>
      <c r="K101" s="35" t="s">
        <v>65</v>
      </c>
      <c r="L101" s="72">
        <v>160</v>
      </c>
      <c r="M101" s="72"/>
      <c r="N101" s="73"/>
      <c r="O101" s="80" t="s">
        <v>353</v>
      </c>
      <c r="P101" s="82">
        <v>44222.46986111111</v>
      </c>
      <c r="Q101" s="80" t="s">
        <v>408</v>
      </c>
      <c r="R101" s="84" t="str">
        <f>HYPERLINK("https://www.tiess.online/registration?utm_source=sisodia&amp;utm_medium=SM&amp;utm_campaign=TIESS&amp;utm_term=049")</f>
        <v>https://www.tiess.online/registration?utm_source=sisodia&amp;utm_medium=SM&amp;utm_campaign=TIESS&amp;utm_term=049</v>
      </c>
      <c r="S101" s="80" t="s">
        <v>444</v>
      </c>
      <c r="T101" s="80" t="s">
        <v>451</v>
      </c>
      <c r="U101" s="84" t="str">
        <f>HYPERLINK("https://pbs.twimg.com/media/Esp2zmVU4AMJL3y.jpg")</f>
        <v>https://pbs.twimg.com/media/Esp2zmVU4AMJL3y.jpg</v>
      </c>
      <c r="V101" s="84" t="str">
        <f>HYPERLINK("https://pbs.twimg.com/media/Esp2zmVU4AMJL3y.jpg")</f>
        <v>https://pbs.twimg.com/media/Esp2zmVU4AMJL3y.jpg</v>
      </c>
      <c r="W101" s="82">
        <v>44222.46986111111</v>
      </c>
      <c r="X101" s="86">
        <v>44222</v>
      </c>
      <c r="Y101" s="88" t="s">
        <v>558</v>
      </c>
      <c r="Z101" s="84" t="str">
        <f>HYPERLINK("https://twitter.com/indiadidac/status/1354025440386576385")</f>
        <v>https://twitter.com/indiadidac/status/1354025440386576385</v>
      </c>
      <c r="AA101" s="80"/>
      <c r="AB101" s="80"/>
      <c r="AC101" s="88" t="s">
        <v>709</v>
      </c>
      <c r="AD101" s="80"/>
      <c r="AE101" s="80" t="b">
        <v>0</v>
      </c>
      <c r="AF101" s="80">
        <v>3</v>
      </c>
      <c r="AG101" s="88" t="s">
        <v>763</v>
      </c>
      <c r="AH101" s="80" t="b">
        <v>0</v>
      </c>
      <c r="AI101" s="80" t="s">
        <v>764</v>
      </c>
      <c r="AJ101" s="80"/>
      <c r="AK101" s="88" t="s">
        <v>763</v>
      </c>
      <c r="AL101" s="80" t="b">
        <v>0</v>
      </c>
      <c r="AM101" s="80">
        <v>0</v>
      </c>
      <c r="AN101" s="88" t="s">
        <v>763</v>
      </c>
      <c r="AO101" s="80" t="s">
        <v>765</v>
      </c>
      <c r="AP101" s="80" t="b">
        <v>0</v>
      </c>
      <c r="AQ101" s="88" t="s">
        <v>709</v>
      </c>
      <c r="AR101" s="80" t="s">
        <v>197</v>
      </c>
      <c r="AS101" s="80">
        <v>0</v>
      </c>
      <c r="AT101" s="80">
        <v>0</v>
      </c>
      <c r="AU101" s="80"/>
      <c r="AV101" s="80"/>
      <c r="AW101" s="80"/>
      <c r="AX101" s="80"/>
      <c r="AY101" s="80"/>
      <c r="AZ101" s="80"/>
      <c r="BA101" s="80"/>
      <c r="BB101" s="80"/>
      <c r="BC101">
        <v>1</v>
      </c>
      <c r="BD101" s="79" t="str">
        <f>REPLACE(INDEX(GroupVertices[Group],MATCH(Edges25[[#This Row],[Vertex 1]],GroupVertices[Vertex],0)),1,1,"")</f>
        <v>1</v>
      </c>
      <c r="BE101" s="79" t="str">
        <f>REPLACE(INDEX(GroupVertices[Group],MATCH(Edges25[[#This Row],[Vertex 2]],GroupVertices[Vertex],0)),1,1,"")</f>
        <v>1</v>
      </c>
      <c r="BF101" s="49">
        <v>1</v>
      </c>
      <c r="BG101" s="50">
        <v>2.9411764705882355</v>
      </c>
      <c r="BH101" s="49">
        <v>0</v>
      </c>
      <c r="BI101" s="50">
        <v>0</v>
      </c>
      <c r="BJ101" s="49">
        <v>0</v>
      </c>
      <c r="BK101" s="50">
        <v>0</v>
      </c>
      <c r="BL101" s="49">
        <v>33</v>
      </c>
      <c r="BM101" s="50">
        <v>97.05882352941177</v>
      </c>
      <c r="BN101" s="49">
        <v>34</v>
      </c>
    </row>
    <row r="102" spans="1:66" ht="15">
      <c r="A102" s="65" t="s">
        <v>274</v>
      </c>
      <c r="B102" s="65" t="s">
        <v>271</v>
      </c>
      <c r="C102" s="66"/>
      <c r="D102" s="67"/>
      <c r="E102" s="66"/>
      <c r="F102" s="69"/>
      <c r="G102" s="66"/>
      <c r="H102" s="70"/>
      <c r="I102" s="71"/>
      <c r="J102" s="71"/>
      <c r="K102" s="35" t="s">
        <v>66</v>
      </c>
      <c r="L102" s="72">
        <v>163</v>
      </c>
      <c r="M102" s="72"/>
      <c r="N102" s="73"/>
      <c r="O102" s="80" t="s">
        <v>351</v>
      </c>
      <c r="P102" s="82">
        <v>44220.794386574074</v>
      </c>
      <c r="Q102" s="80" t="s">
        <v>389</v>
      </c>
      <c r="R102" s="80"/>
      <c r="S102" s="80"/>
      <c r="T102" s="80" t="s">
        <v>450</v>
      </c>
      <c r="U102" s="84" t="str">
        <f>HYPERLINK("https://pbs.twimg.com/media/EsgPDwCUcAYZq66.jpg")</f>
        <v>https://pbs.twimg.com/media/EsgPDwCUcAYZq66.jpg</v>
      </c>
      <c r="V102" s="84" t="str">
        <f>HYPERLINK("https://pbs.twimg.com/media/EsgPDwCUcAYZq66.jpg")</f>
        <v>https://pbs.twimg.com/media/EsgPDwCUcAYZq66.jpg</v>
      </c>
      <c r="W102" s="82">
        <v>44220.794386574074</v>
      </c>
      <c r="X102" s="86">
        <v>44220</v>
      </c>
      <c r="Y102" s="88" t="s">
        <v>559</v>
      </c>
      <c r="Z102" s="84" t="str">
        <f>HYPERLINK("https://twitter.com/gavindk/status/1353418268443357184")</f>
        <v>https://twitter.com/gavindk/status/1353418268443357184</v>
      </c>
      <c r="AA102" s="80"/>
      <c r="AB102" s="80"/>
      <c r="AC102" s="88" t="s">
        <v>710</v>
      </c>
      <c r="AD102" s="80"/>
      <c r="AE102" s="80" t="b">
        <v>0</v>
      </c>
      <c r="AF102" s="80">
        <v>0</v>
      </c>
      <c r="AG102" s="88" t="s">
        <v>763</v>
      </c>
      <c r="AH102" s="80" t="b">
        <v>0</v>
      </c>
      <c r="AI102" s="80" t="s">
        <v>764</v>
      </c>
      <c r="AJ102" s="80"/>
      <c r="AK102" s="88" t="s">
        <v>763</v>
      </c>
      <c r="AL102" s="80" t="b">
        <v>0</v>
      </c>
      <c r="AM102" s="80">
        <v>2</v>
      </c>
      <c r="AN102" s="88" t="s">
        <v>753</v>
      </c>
      <c r="AO102" s="80" t="s">
        <v>765</v>
      </c>
      <c r="AP102" s="80" t="b">
        <v>0</v>
      </c>
      <c r="AQ102" s="88" t="s">
        <v>753</v>
      </c>
      <c r="AR102" s="80" t="s">
        <v>197</v>
      </c>
      <c r="AS102" s="80">
        <v>0</v>
      </c>
      <c r="AT102" s="80">
        <v>0</v>
      </c>
      <c r="AU102" s="80"/>
      <c r="AV102" s="80"/>
      <c r="AW102" s="80"/>
      <c r="AX102" s="80"/>
      <c r="AY102" s="80"/>
      <c r="AZ102" s="80"/>
      <c r="BA102" s="80"/>
      <c r="BB102" s="80"/>
      <c r="BC102">
        <v>4</v>
      </c>
      <c r="BD102" s="79" t="str">
        <f>REPLACE(INDEX(GroupVertices[Group],MATCH(Edges25[[#This Row],[Vertex 1]],GroupVertices[Vertex],0)),1,1,"")</f>
        <v>3</v>
      </c>
      <c r="BE102" s="79" t="str">
        <f>REPLACE(INDEX(GroupVertices[Group],MATCH(Edges25[[#This Row],[Vertex 2]],GroupVertices[Vertex],0)),1,1,"")</f>
        <v>1</v>
      </c>
      <c r="BF102" s="49">
        <v>2</v>
      </c>
      <c r="BG102" s="50">
        <v>5.555555555555555</v>
      </c>
      <c r="BH102" s="49">
        <v>0</v>
      </c>
      <c r="BI102" s="50">
        <v>0</v>
      </c>
      <c r="BJ102" s="49">
        <v>0</v>
      </c>
      <c r="BK102" s="50">
        <v>0</v>
      </c>
      <c r="BL102" s="49">
        <v>34</v>
      </c>
      <c r="BM102" s="50">
        <v>94.44444444444444</v>
      </c>
      <c r="BN102" s="49">
        <v>36</v>
      </c>
    </row>
    <row r="103" spans="1:66" ht="15">
      <c r="A103" s="65" t="s">
        <v>274</v>
      </c>
      <c r="B103" s="65" t="s">
        <v>271</v>
      </c>
      <c r="C103" s="66"/>
      <c r="D103" s="67"/>
      <c r="E103" s="66"/>
      <c r="F103" s="69"/>
      <c r="G103" s="66"/>
      <c r="H103" s="70"/>
      <c r="I103" s="71"/>
      <c r="J103" s="71"/>
      <c r="K103" s="35" t="s">
        <v>66</v>
      </c>
      <c r="L103" s="72">
        <v>164</v>
      </c>
      <c r="M103" s="72"/>
      <c r="N103" s="73"/>
      <c r="O103" s="80" t="s">
        <v>351</v>
      </c>
      <c r="P103" s="82">
        <v>44221.54524305555</v>
      </c>
      <c r="Q103" s="80" t="s">
        <v>369</v>
      </c>
      <c r="R103" s="80"/>
      <c r="S103" s="80"/>
      <c r="T103" s="80" t="s">
        <v>454</v>
      </c>
      <c r="U103" s="84" t="str">
        <f>HYPERLINK("https://pbs.twimg.com/media/EskiR9xVEAYLaX3.jpg")</f>
        <v>https://pbs.twimg.com/media/EskiR9xVEAYLaX3.jpg</v>
      </c>
      <c r="V103" s="84" t="str">
        <f>HYPERLINK("https://pbs.twimg.com/media/EskiR9xVEAYLaX3.jpg")</f>
        <v>https://pbs.twimg.com/media/EskiR9xVEAYLaX3.jpg</v>
      </c>
      <c r="W103" s="82">
        <v>44221.54524305555</v>
      </c>
      <c r="X103" s="86">
        <v>44221</v>
      </c>
      <c r="Y103" s="88" t="s">
        <v>560</v>
      </c>
      <c r="Z103" s="84" t="str">
        <f>HYPERLINK("https://twitter.com/gavindk/status/1353690369167392768")</f>
        <v>https://twitter.com/gavindk/status/1353690369167392768</v>
      </c>
      <c r="AA103" s="80"/>
      <c r="AB103" s="80"/>
      <c r="AC103" s="88" t="s">
        <v>711</v>
      </c>
      <c r="AD103" s="80"/>
      <c r="AE103" s="80" t="b">
        <v>0</v>
      </c>
      <c r="AF103" s="80">
        <v>0</v>
      </c>
      <c r="AG103" s="88" t="s">
        <v>763</v>
      </c>
      <c r="AH103" s="80" t="b">
        <v>0</v>
      </c>
      <c r="AI103" s="80" t="s">
        <v>764</v>
      </c>
      <c r="AJ103" s="80"/>
      <c r="AK103" s="88" t="s">
        <v>763</v>
      </c>
      <c r="AL103" s="80" t="b">
        <v>0</v>
      </c>
      <c r="AM103" s="80">
        <v>2</v>
      </c>
      <c r="AN103" s="88" t="s">
        <v>754</v>
      </c>
      <c r="AO103" s="80" t="s">
        <v>765</v>
      </c>
      <c r="AP103" s="80" t="b">
        <v>0</v>
      </c>
      <c r="AQ103" s="88" t="s">
        <v>754</v>
      </c>
      <c r="AR103" s="80" t="s">
        <v>197</v>
      </c>
      <c r="AS103" s="80">
        <v>0</v>
      </c>
      <c r="AT103" s="80">
        <v>0</v>
      </c>
      <c r="AU103" s="80"/>
      <c r="AV103" s="80"/>
      <c r="AW103" s="80"/>
      <c r="AX103" s="80"/>
      <c r="AY103" s="80"/>
      <c r="AZ103" s="80"/>
      <c r="BA103" s="80"/>
      <c r="BB103" s="80"/>
      <c r="BC103">
        <v>4</v>
      </c>
      <c r="BD103" s="79" t="str">
        <f>REPLACE(INDEX(GroupVertices[Group],MATCH(Edges25[[#This Row],[Vertex 1]],GroupVertices[Vertex],0)),1,1,"")</f>
        <v>3</v>
      </c>
      <c r="BE103" s="79" t="str">
        <f>REPLACE(INDEX(GroupVertices[Group],MATCH(Edges25[[#This Row],[Vertex 2]],GroupVertices[Vertex],0)),1,1,"")</f>
        <v>1</v>
      </c>
      <c r="BF103" s="49">
        <v>2</v>
      </c>
      <c r="BG103" s="50">
        <v>5.555555555555555</v>
      </c>
      <c r="BH103" s="49">
        <v>0</v>
      </c>
      <c r="BI103" s="50">
        <v>0</v>
      </c>
      <c r="BJ103" s="49">
        <v>0</v>
      </c>
      <c r="BK103" s="50">
        <v>0</v>
      </c>
      <c r="BL103" s="49">
        <v>34</v>
      </c>
      <c r="BM103" s="50">
        <v>94.44444444444444</v>
      </c>
      <c r="BN103" s="49">
        <v>36</v>
      </c>
    </row>
    <row r="104" spans="1:66" ht="15">
      <c r="A104" s="65" t="s">
        <v>271</v>
      </c>
      <c r="B104" s="65" t="s">
        <v>274</v>
      </c>
      <c r="C104" s="66"/>
      <c r="D104" s="67"/>
      <c r="E104" s="66"/>
      <c r="F104" s="69"/>
      <c r="G104" s="66"/>
      <c r="H104" s="70"/>
      <c r="I104" s="71"/>
      <c r="J104" s="71"/>
      <c r="K104" s="35" t="s">
        <v>66</v>
      </c>
      <c r="L104" s="72">
        <v>165</v>
      </c>
      <c r="M104" s="72"/>
      <c r="N104" s="73"/>
      <c r="O104" s="80" t="s">
        <v>353</v>
      </c>
      <c r="P104" s="82">
        <v>44222.522199074076</v>
      </c>
      <c r="Q104" s="80" t="s">
        <v>409</v>
      </c>
      <c r="R104" s="84" t="str">
        <f>HYPERLINK("https://www.tiess.online/registration?utm_source=Gavin&amp;utm_medium=SM&amp;utm_campaign=TIESS&amp;utm_term=050")</f>
        <v>https://www.tiess.online/registration?utm_source=Gavin&amp;utm_medium=SM&amp;utm_campaign=TIESS&amp;utm_term=050</v>
      </c>
      <c r="S104" s="80" t="s">
        <v>444</v>
      </c>
      <c r="T104" s="80" t="s">
        <v>450</v>
      </c>
      <c r="U104" s="84" t="str">
        <f>HYPERLINK("https://pbs.twimg.com/media/EsqH8RzVkAAyyEM.jpg")</f>
        <v>https://pbs.twimg.com/media/EsqH8RzVkAAyyEM.jpg</v>
      </c>
      <c r="V104" s="84" t="str">
        <f>HYPERLINK("https://pbs.twimg.com/media/EsqH8RzVkAAyyEM.jpg")</f>
        <v>https://pbs.twimg.com/media/EsqH8RzVkAAyyEM.jpg</v>
      </c>
      <c r="W104" s="82">
        <v>44222.522199074076</v>
      </c>
      <c r="X104" s="86">
        <v>44222</v>
      </c>
      <c r="Y104" s="88" t="s">
        <v>561</v>
      </c>
      <c r="Z104" s="84" t="str">
        <f>HYPERLINK("https://twitter.com/indiadidac/status/1354044406815363072")</f>
        <v>https://twitter.com/indiadidac/status/1354044406815363072</v>
      </c>
      <c r="AA104" s="80"/>
      <c r="AB104" s="80"/>
      <c r="AC104" s="88" t="s">
        <v>712</v>
      </c>
      <c r="AD104" s="80"/>
      <c r="AE104" s="80" t="b">
        <v>0</v>
      </c>
      <c r="AF104" s="80">
        <v>2</v>
      </c>
      <c r="AG104" s="88" t="s">
        <v>763</v>
      </c>
      <c r="AH104" s="80" t="b">
        <v>0</v>
      </c>
      <c r="AI104" s="80" t="s">
        <v>764</v>
      </c>
      <c r="AJ104" s="80"/>
      <c r="AK104" s="88" t="s">
        <v>763</v>
      </c>
      <c r="AL104" s="80" t="b">
        <v>0</v>
      </c>
      <c r="AM104" s="80">
        <v>0</v>
      </c>
      <c r="AN104" s="88" t="s">
        <v>763</v>
      </c>
      <c r="AO104" s="80" t="s">
        <v>765</v>
      </c>
      <c r="AP104" s="80" t="b">
        <v>0</v>
      </c>
      <c r="AQ104" s="88" t="s">
        <v>712</v>
      </c>
      <c r="AR104" s="80" t="s">
        <v>197</v>
      </c>
      <c r="AS104" s="80">
        <v>0</v>
      </c>
      <c r="AT104" s="80">
        <v>0</v>
      </c>
      <c r="AU104" s="80"/>
      <c r="AV104" s="80"/>
      <c r="AW104" s="80"/>
      <c r="AX104" s="80"/>
      <c r="AY104" s="80"/>
      <c r="AZ104" s="80"/>
      <c r="BA104" s="80"/>
      <c r="BB104" s="80"/>
      <c r="BC104">
        <v>1</v>
      </c>
      <c r="BD104" s="79" t="str">
        <f>REPLACE(INDEX(GroupVertices[Group],MATCH(Edges25[[#This Row],[Vertex 1]],GroupVertices[Vertex],0)),1,1,"")</f>
        <v>1</v>
      </c>
      <c r="BE104" s="79" t="str">
        <f>REPLACE(INDEX(GroupVertices[Group],MATCH(Edges25[[#This Row],[Vertex 2]],GroupVertices[Vertex],0)),1,1,"")</f>
        <v>3</v>
      </c>
      <c r="BF104" s="49">
        <v>1</v>
      </c>
      <c r="BG104" s="50">
        <v>3.125</v>
      </c>
      <c r="BH104" s="49">
        <v>0</v>
      </c>
      <c r="BI104" s="50">
        <v>0</v>
      </c>
      <c r="BJ104" s="49">
        <v>0</v>
      </c>
      <c r="BK104" s="50">
        <v>0</v>
      </c>
      <c r="BL104" s="49">
        <v>31</v>
      </c>
      <c r="BM104" s="50">
        <v>96.875</v>
      </c>
      <c r="BN104" s="49">
        <v>32</v>
      </c>
    </row>
    <row r="105" spans="1:66" ht="15">
      <c r="A105" s="65" t="s">
        <v>271</v>
      </c>
      <c r="B105" s="65" t="s">
        <v>341</v>
      </c>
      <c r="C105" s="66"/>
      <c r="D105" s="67"/>
      <c r="E105" s="66"/>
      <c r="F105" s="69"/>
      <c r="G105" s="66"/>
      <c r="H105" s="70"/>
      <c r="I105" s="71"/>
      <c r="J105" s="71"/>
      <c r="K105" s="35" t="s">
        <v>65</v>
      </c>
      <c r="L105" s="72">
        <v>166</v>
      </c>
      <c r="M105" s="72"/>
      <c r="N105" s="73"/>
      <c r="O105" s="80" t="s">
        <v>353</v>
      </c>
      <c r="P105" s="82">
        <v>44222.54614583333</v>
      </c>
      <c r="Q105" s="80" t="s">
        <v>410</v>
      </c>
      <c r="R105" s="80" t="s">
        <v>443</v>
      </c>
      <c r="S105" s="80" t="s">
        <v>447</v>
      </c>
      <c r="T105" s="80" t="s">
        <v>451</v>
      </c>
      <c r="U105" s="80"/>
      <c r="V105" s="84" t="str">
        <f>HYPERLINK("https://pbs.twimg.com/profile_images/740098508875833344/6nLHLTxJ_normal.jpg")</f>
        <v>https://pbs.twimg.com/profile_images/740098508875833344/6nLHLTxJ_normal.jpg</v>
      </c>
      <c r="W105" s="82">
        <v>44222.54614583333</v>
      </c>
      <c r="X105" s="86">
        <v>44222</v>
      </c>
      <c r="Y105" s="88" t="s">
        <v>562</v>
      </c>
      <c r="Z105" s="84" t="str">
        <f>HYPERLINK("https://twitter.com/indiadidac/status/1354053086218608642")</f>
        <v>https://twitter.com/indiadidac/status/1354053086218608642</v>
      </c>
      <c r="AA105" s="80"/>
      <c r="AB105" s="80"/>
      <c r="AC105" s="88" t="s">
        <v>713</v>
      </c>
      <c r="AD105" s="80"/>
      <c r="AE105" s="80" t="b">
        <v>0</v>
      </c>
      <c r="AF105" s="80">
        <v>1</v>
      </c>
      <c r="AG105" s="88" t="s">
        <v>763</v>
      </c>
      <c r="AH105" s="80" t="b">
        <v>0</v>
      </c>
      <c r="AI105" s="80" t="s">
        <v>764</v>
      </c>
      <c r="AJ105" s="80"/>
      <c r="AK105" s="88" t="s">
        <v>763</v>
      </c>
      <c r="AL105" s="80" t="b">
        <v>0</v>
      </c>
      <c r="AM105" s="80">
        <v>0</v>
      </c>
      <c r="AN105" s="88" t="s">
        <v>763</v>
      </c>
      <c r="AO105" s="80" t="s">
        <v>765</v>
      </c>
      <c r="AP105" s="80" t="b">
        <v>0</v>
      </c>
      <c r="AQ105" s="88" t="s">
        <v>713</v>
      </c>
      <c r="AR105" s="80" t="s">
        <v>197</v>
      </c>
      <c r="AS105" s="80">
        <v>0</v>
      </c>
      <c r="AT105" s="80">
        <v>0</v>
      </c>
      <c r="AU105" s="80"/>
      <c r="AV105" s="80"/>
      <c r="AW105" s="80"/>
      <c r="AX105" s="80"/>
      <c r="AY105" s="80"/>
      <c r="AZ105" s="80"/>
      <c r="BA105" s="80"/>
      <c r="BB105" s="80"/>
      <c r="BC105">
        <v>1</v>
      </c>
      <c r="BD105" s="79" t="str">
        <f>REPLACE(INDEX(GroupVertices[Group],MATCH(Edges25[[#This Row],[Vertex 1]],GroupVertices[Vertex],0)),1,1,"")</f>
        <v>1</v>
      </c>
      <c r="BE105" s="79" t="str">
        <f>REPLACE(INDEX(GroupVertices[Group],MATCH(Edges25[[#This Row],[Vertex 2]],GroupVertices[Vertex],0)),1,1,"")</f>
        <v>1</v>
      </c>
      <c r="BF105" s="49">
        <v>1</v>
      </c>
      <c r="BG105" s="50">
        <v>4.166666666666667</v>
      </c>
      <c r="BH105" s="49">
        <v>0</v>
      </c>
      <c r="BI105" s="50">
        <v>0</v>
      </c>
      <c r="BJ105" s="49">
        <v>0</v>
      </c>
      <c r="BK105" s="50">
        <v>0</v>
      </c>
      <c r="BL105" s="49">
        <v>23</v>
      </c>
      <c r="BM105" s="50">
        <v>95.83333333333333</v>
      </c>
      <c r="BN105" s="49">
        <v>24</v>
      </c>
    </row>
    <row r="106" spans="1:66" ht="15">
      <c r="A106" s="65" t="s">
        <v>271</v>
      </c>
      <c r="B106" s="65" t="s">
        <v>290</v>
      </c>
      <c r="C106" s="66"/>
      <c r="D106" s="67"/>
      <c r="E106" s="66"/>
      <c r="F106" s="69"/>
      <c r="G106" s="66"/>
      <c r="H106" s="70"/>
      <c r="I106" s="71"/>
      <c r="J106" s="71"/>
      <c r="K106" s="35" t="s">
        <v>66</v>
      </c>
      <c r="L106" s="72">
        <v>167</v>
      </c>
      <c r="M106" s="72"/>
      <c r="N106" s="73"/>
      <c r="O106" s="80" t="s">
        <v>353</v>
      </c>
      <c r="P106" s="82">
        <v>44222.55</v>
      </c>
      <c r="Q106" s="80" t="s">
        <v>411</v>
      </c>
      <c r="R106" s="84" t="str">
        <f>HYPERLINK("https://www.tiess.online/registration?utm_source=SM&amp;utm_medium=Yao&amp;utm_campaign=TIESS&amp;utm_term=009")</f>
        <v>https://www.tiess.online/registration?utm_source=SM&amp;utm_medium=Yao&amp;utm_campaign=TIESS&amp;utm_term=009</v>
      </c>
      <c r="S106" s="80" t="s">
        <v>444</v>
      </c>
      <c r="T106" s="80" t="s">
        <v>458</v>
      </c>
      <c r="U106" s="84" t="str">
        <f>HYPERLINK("https://pbs.twimg.com/media/EsqRKBBUUAAc67-.jpg")</f>
        <v>https://pbs.twimg.com/media/EsqRKBBUUAAc67-.jpg</v>
      </c>
      <c r="V106" s="84" t="str">
        <f>HYPERLINK("https://pbs.twimg.com/media/EsqRKBBUUAAc67-.jpg")</f>
        <v>https://pbs.twimg.com/media/EsqRKBBUUAAc67-.jpg</v>
      </c>
      <c r="W106" s="82">
        <v>44222.55</v>
      </c>
      <c r="X106" s="86">
        <v>44222</v>
      </c>
      <c r="Y106" s="88" t="s">
        <v>563</v>
      </c>
      <c r="Z106" s="84" t="str">
        <f>HYPERLINK("https://twitter.com/indiadidac/status/1354054483286716417")</f>
        <v>https://twitter.com/indiadidac/status/1354054483286716417</v>
      </c>
      <c r="AA106" s="80"/>
      <c r="AB106" s="80"/>
      <c r="AC106" s="88" t="s">
        <v>714</v>
      </c>
      <c r="AD106" s="80"/>
      <c r="AE106" s="80" t="b">
        <v>0</v>
      </c>
      <c r="AF106" s="80">
        <v>8</v>
      </c>
      <c r="AG106" s="88" t="s">
        <v>763</v>
      </c>
      <c r="AH106" s="80" t="b">
        <v>0</v>
      </c>
      <c r="AI106" s="80" t="s">
        <v>764</v>
      </c>
      <c r="AJ106" s="80"/>
      <c r="AK106" s="88" t="s">
        <v>763</v>
      </c>
      <c r="AL106" s="80" t="b">
        <v>0</v>
      </c>
      <c r="AM106" s="80">
        <v>3</v>
      </c>
      <c r="AN106" s="88" t="s">
        <v>763</v>
      </c>
      <c r="AO106" s="80" t="s">
        <v>765</v>
      </c>
      <c r="AP106" s="80" t="b">
        <v>0</v>
      </c>
      <c r="AQ106" s="88" t="s">
        <v>714</v>
      </c>
      <c r="AR106" s="80" t="s">
        <v>197</v>
      </c>
      <c r="AS106" s="80">
        <v>0</v>
      </c>
      <c r="AT106" s="80">
        <v>0</v>
      </c>
      <c r="AU106" s="80"/>
      <c r="AV106" s="80"/>
      <c r="AW106" s="80"/>
      <c r="AX106" s="80"/>
      <c r="AY106" s="80"/>
      <c r="AZ106" s="80"/>
      <c r="BA106" s="80"/>
      <c r="BB106" s="80"/>
      <c r="BC106">
        <v>1</v>
      </c>
      <c r="BD106" s="79" t="str">
        <f>REPLACE(INDEX(GroupVertices[Group],MATCH(Edges25[[#This Row],[Vertex 1]],GroupVertices[Vertex],0)),1,1,"")</f>
        <v>1</v>
      </c>
      <c r="BE106" s="79" t="str">
        <f>REPLACE(INDEX(GroupVertices[Group],MATCH(Edges25[[#This Row],[Vertex 2]],GroupVertices[Vertex],0)),1,1,"")</f>
        <v>10</v>
      </c>
      <c r="BF106" s="49"/>
      <c r="BG106" s="50"/>
      <c r="BH106" s="49"/>
      <c r="BI106" s="50"/>
      <c r="BJ106" s="49"/>
      <c r="BK106" s="50"/>
      <c r="BL106" s="49"/>
      <c r="BM106" s="50"/>
      <c r="BN106" s="49"/>
    </row>
    <row r="107" spans="1:66" ht="15">
      <c r="A107" s="65" t="s">
        <v>289</v>
      </c>
      <c r="B107" s="65" t="s">
        <v>290</v>
      </c>
      <c r="C107" s="66"/>
      <c r="D107" s="67"/>
      <c r="E107" s="66"/>
      <c r="F107" s="69"/>
      <c r="G107" s="66"/>
      <c r="H107" s="70"/>
      <c r="I107" s="71"/>
      <c r="J107" s="71"/>
      <c r="K107" s="35" t="s">
        <v>66</v>
      </c>
      <c r="L107" s="72">
        <v>168</v>
      </c>
      <c r="M107" s="72"/>
      <c r="N107" s="73"/>
      <c r="O107" s="80" t="s">
        <v>352</v>
      </c>
      <c r="P107" s="82">
        <v>44222.572962962964</v>
      </c>
      <c r="Q107" s="80" t="s">
        <v>411</v>
      </c>
      <c r="R107" s="84" t="str">
        <f>HYPERLINK("https://www.tiess.online/registration?utm_source=SM&amp;utm_medium=Yao&amp;utm_campaign=TIESS&amp;utm_term=009")</f>
        <v>https://www.tiess.online/registration?utm_source=SM&amp;utm_medium=Yao&amp;utm_campaign=TIESS&amp;utm_term=009</v>
      </c>
      <c r="S107" s="80" t="s">
        <v>444</v>
      </c>
      <c r="T107" s="80" t="s">
        <v>458</v>
      </c>
      <c r="U107" s="84" t="str">
        <f>HYPERLINK("https://pbs.twimg.com/media/EsqRKBBUUAAc67-.jpg")</f>
        <v>https://pbs.twimg.com/media/EsqRKBBUUAAc67-.jpg</v>
      </c>
      <c r="V107" s="84" t="str">
        <f>HYPERLINK("https://pbs.twimg.com/media/EsqRKBBUUAAc67-.jpg")</f>
        <v>https://pbs.twimg.com/media/EsqRKBBUUAAc67-.jpg</v>
      </c>
      <c r="W107" s="82">
        <v>44222.572962962964</v>
      </c>
      <c r="X107" s="86">
        <v>44222</v>
      </c>
      <c r="Y107" s="88" t="s">
        <v>564</v>
      </c>
      <c r="Z107" s="84" t="str">
        <f>HYPERLINK("https://twitter.com/ibe_unesco/status/1354062802986672128")</f>
        <v>https://twitter.com/ibe_unesco/status/1354062802986672128</v>
      </c>
      <c r="AA107" s="80"/>
      <c r="AB107" s="80"/>
      <c r="AC107" s="88" t="s">
        <v>715</v>
      </c>
      <c r="AD107" s="80"/>
      <c r="AE107" s="80" t="b">
        <v>0</v>
      </c>
      <c r="AF107" s="80">
        <v>0</v>
      </c>
      <c r="AG107" s="88" t="s">
        <v>763</v>
      </c>
      <c r="AH107" s="80" t="b">
        <v>0</v>
      </c>
      <c r="AI107" s="80" t="s">
        <v>764</v>
      </c>
      <c r="AJ107" s="80"/>
      <c r="AK107" s="88" t="s">
        <v>763</v>
      </c>
      <c r="AL107" s="80" t="b">
        <v>0</v>
      </c>
      <c r="AM107" s="80">
        <v>3</v>
      </c>
      <c r="AN107" s="88" t="s">
        <v>714</v>
      </c>
      <c r="AO107" s="80" t="s">
        <v>765</v>
      </c>
      <c r="AP107" s="80" t="b">
        <v>0</v>
      </c>
      <c r="AQ107" s="88" t="s">
        <v>714</v>
      </c>
      <c r="AR107" s="80" t="s">
        <v>197</v>
      </c>
      <c r="AS107" s="80">
        <v>0</v>
      </c>
      <c r="AT107" s="80">
        <v>0</v>
      </c>
      <c r="AU107" s="80"/>
      <c r="AV107" s="80"/>
      <c r="AW107" s="80"/>
      <c r="AX107" s="80"/>
      <c r="AY107" s="80"/>
      <c r="AZ107" s="80"/>
      <c r="BA107" s="80"/>
      <c r="BB107" s="80"/>
      <c r="BC107">
        <v>1</v>
      </c>
      <c r="BD107" s="79" t="str">
        <f>REPLACE(INDEX(GroupVertices[Group],MATCH(Edges25[[#This Row],[Vertex 1]],GroupVertices[Vertex],0)),1,1,"")</f>
        <v>10</v>
      </c>
      <c r="BE107" s="79" t="str">
        <f>REPLACE(INDEX(GroupVertices[Group],MATCH(Edges25[[#This Row],[Vertex 2]],GroupVertices[Vertex],0)),1,1,"")</f>
        <v>10</v>
      </c>
      <c r="BF107" s="49"/>
      <c r="BG107" s="50"/>
      <c r="BH107" s="49"/>
      <c r="BI107" s="50"/>
      <c r="BJ107" s="49"/>
      <c r="BK107" s="50"/>
      <c r="BL107" s="49"/>
      <c r="BM107" s="50"/>
      <c r="BN107" s="49"/>
    </row>
    <row r="108" spans="1:66" ht="15">
      <c r="A108" s="65" t="s">
        <v>290</v>
      </c>
      <c r="B108" s="65" t="s">
        <v>289</v>
      </c>
      <c r="C108" s="66"/>
      <c r="D108" s="67"/>
      <c r="E108" s="66"/>
      <c r="F108" s="69"/>
      <c r="G108" s="66"/>
      <c r="H108" s="70"/>
      <c r="I108" s="71"/>
      <c r="J108" s="71"/>
      <c r="K108" s="35" t="s">
        <v>66</v>
      </c>
      <c r="L108" s="72">
        <v>169</v>
      </c>
      <c r="M108" s="72"/>
      <c r="N108" s="73"/>
      <c r="O108" s="80" t="s">
        <v>352</v>
      </c>
      <c r="P108" s="82">
        <v>44222.57325231482</v>
      </c>
      <c r="Q108" s="80" t="s">
        <v>411</v>
      </c>
      <c r="R108" s="84" t="str">
        <f>HYPERLINK("https://www.tiess.online/registration?utm_source=SM&amp;utm_medium=Yao&amp;utm_campaign=TIESS&amp;utm_term=009")</f>
        <v>https://www.tiess.online/registration?utm_source=SM&amp;utm_medium=Yao&amp;utm_campaign=TIESS&amp;utm_term=009</v>
      </c>
      <c r="S108" s="80" t="s">
        <v>444</v>
      </c>
      <c r="T108" s="80" t="s">
        <v>458</v>
      </c>
      <c r="U108" s="84" t="str">
        <f>HYPERLINK("https://pbs.twimg.com/media/EsqRKBBUUAAc67-.jpg")</f>
        <v>https://pbs.twimg.com/media/EsqRKBBUUAAc67-.jpg</v>
      </c>
      <c r="V108" s="84" t="str">
        <f>HYPERLINK("https://pbs.twimg.com/media/EsqRKBBUUAAc67-.jpg")</f>
        <v>https://pbs.twimg.com/media/EsqRKBBUUAAc67-.jpg</v>
      </c>
      <c r="W108" s="82">
        <v>44222.57325231482</v>
      </c>
      <c r="X108" s="86">
        <v>44222</v>
      </c>
      <c r="Y108" s="88" t="s">
        <v>565</v>
      </c>
      <c r="Z108" s="84" t="str">
        <f>HYPERLINK("https://twitter.com/yaoydo/status/1354062909417123841")</f>
        <v>https://twitter.com/yaoydo/status/1354062909417123841</v>
      </c>
      <c r="AA108" s="80"/>
      <c r="AB108" s="80"/>
      <c r="AC108" s="88" t="s">
        <v>716</v>
      </c>
      <c r="AD108" s="80"/>
      <c r="AE108" s="80" t="b">
        <v>0</v>
      </c>
      <c r="AF108" s="80">
        <v>0</v>
      </c>
      <c r="AG108" s="88" t="s">
        <v>763</v>
      </c>
      <c r="AH108" s="80" t="b">
        <v>0</v>
      </c>
      <c r="AI108" s="80" t="s">
        <v>764</v>
      </c>
      <c r="AJ108" s="80"/>
      <c r="AK108" s="88" t="s">
        <v>763</v>
      </c>
      <c r="AL108" s="80" t="b">
        <v>0</v>
      </c>
      <c r="AM108" s="80">
        <v>3</v>
      </c>
      <c r="AN108" s="88" t="s">
        <v>714</v>
      </c>
      <c r="AO108" s="80" t="s">
        <v>765</v>
      </c>
      <c r="AP108" s="80" t="b">
        <v>0</v>
      </c>
      <c r="AQ108" s="88" t="s">
        <v>714</v>
      </c>
      <c r="AR108" s="80" t="s">
        <v>197</v>
      </c>
      <c r="AS108" s="80">
        <v>0</v>
      </c>
      <c r="AT108" s="80">
        <v>0</v>
      </c>
      <c r="AU108" s="80"/>
      <c r="AV108" s="80"/>
      <c r="AW108" s="80"/>
      <c r="AX108" s="80"/>
      <c r="AY108" s="80"/>
      <c r="AZ108" s="80"/>
      <c r="BA108" s="80"/>
      <c r="BB108" s="80"/>
      <c r="BC108">
        <v>1</v>
      </c>
      <c r="BD108" s="79" t="str">
        <f>REPLACE(INDEX(GroupVertices[Group],MATCH(Edges25[[#This Row],[Vertex 1]],GroupVertices[Vertex],0)),1,1,"")</f>
        <v>10</v>
      </c>
      <c r="BE108" s="79" t="str">
        <f>REPLACE(INDEX(GroupVertices[Group],MATCH(Edges25[[#This Row],[Vertex 2]],GroupVertices[Vertex],0)),1,1,"")</f>
        <v>10</v>
      </c>
      <c r="BF108" s="49">
        <v>1</v>
      </c>
      <c r="BG108" s="50">
        <v>3.4482758620689653</v>
      </c>
      <c r="BH108" s="49">
        <v>0</v>
      </c>
      <c r="BI108" s="50">
        <v>0</v>
      </c>
      <c r="BJ108" s="49">
        <v>0</v>
      </c>
      <c r="BK108" s="50">
        <v>0</v>
      </c>
      <c r="BL108" s="49">
        <v>28</v>
      </c>
      <c r="BM108" s="50">
        <v>96.55172413793103</v>
      </c>
      <c r="BN108" s="49">
        <v>29</v>
      </c>
    </row>
    <row r="109" spans="1:66" ht="15">
      <c r="A109" s="65" t="s">
        <v>291</v>
      </c>
      <c r="B109" s="65" t="s">
        <v>290</v>
      </c>
      <c r="C109" s="66"/>
      <c r="D109" s="67"/>
      <c r="E109" s="66"/>
      <c r="F109" s="69"/>
      <c r="G109" s="66"/>
      <c r="H109" s="70"/>
      <c r="I109" s="71"/>
      <c r="J109" s="71"/>
      <c r="K109" s="35" t="s">
        <v>65</v>
      </c>
      <c r="L109" s="72">
        <v>171</v>
      </c>
      <c r="M109" s="72"/>
      <c r="N109" s="73"/>
      <c r="O109" s="80" t="s">
        <v>352</v>
      </c>
      <c r="P109" s="82">
        <v>44222.616875</v>
      </c>
      <c r="Q109" s="80" t="s">
        <v>411</v>
      </c>
      <c r="R109" s="84" t="str">
        <f>HYPERLINK("https://www.tiess.online/registration?utm_source=SM&amp;utm_medium=Yao&amp;utm_campaign=TIESS&amp;utm_term=009")</f>
        <v>https://www.tiess.online/registration?utm_source=SM&amp;utm_medium=Yao&amp;utm_campaign=TIESS&amp;utm_term=009</v>
      </c>
      <c r="S109" s="80" t="s">
        <v>444</v>
      </c>
      <c r="T109" s="80" t="s">
        <v>458</v>
      </c>
      <c r="U109" s="84" t="str">
        <f>HYPERLINK("https://pbs.twimg.com/media/EsqRKBBUUAAc67-.jpg")</f>
        <v>https://pbs.twimg.com/media/EsqRKBBUUAAc67-.jpg</v>
      </c>
      <c r="V109" s="84" t="str">
        <f>HYPERLINK("https://pbs.twimg.com/media/EsqRKBBUUAAc67-.jpg")</f>
        <v>https://pbs.twimg.com/media/EsqRKBBUUAAc67-.jpg</v>
      </c>
      <c r="W109" s="82">
        <v>44222.616875</v>
      </c>
      <c r="X109" s="86">
        <v>44222</v>
      </c>
      <c r="Y109" s="88" t="s">
        <v>566</v>
      </c>
      <c r="Z109" s="84" t="str">
        <f>HYPERLINK("https://twitter.com/ciet_ncert/status/1354078719250460673")</f>
        <v>https://twitter.com/ciet_ncert/status/1354078719250460673</v>
      </c>
      <c r="AA109" s="80"/>
      <c r="AB109" s="80"/>
      <c r="AC109" s="88" t="s">
        <v>717</v>
      </c>
      <c r="AD109" s="80"/>
      <c r="AE109" s="80" t="b">
        <v>0</v>
      </c>
      <c r="AF109" s="80">
        <v>0</v>
      </c>
      <c r="AG109" s="88" t="s">
        <v>763</v>
      </c>
      <c r="AH109" s="80" t="b">
        <v>0</v>
      </c>
      <c r="AI109" s="80" t="s">
        <v>764</v>
      </c>
      <c r="AJ109" s="80"/>
      <c r="AK109" s="88" t="s">
        <v>763</v>
      </c>
      <c r="AL109" s="80" t="b">
        <v>0</v>
      </c>
      <c r="AM109" s="80">
        <v>3</v>
      </c>
      <c r="AN109" s="88" t="s">
        <v>714</v>
      </c>
      <c r="AO109" s="80" t="s">
        <v>766</v>
      </c>
      <c r="AP109" s="80" t="b">
        <v>0</v>
      </c>
      <c r="AQ109" s="88" t="s">
        <v>714</v>
      </c>
      <c r="AR109" s="80" t="s">
        <v>197</v>
      </c>
      <c r="AS109" s="80">
        <v>0</v>
      </c>
      <c r="AT109" s="80">
        <v>0</v>
      </c>
      <c r="AU109" s="80"/>
      <c r="AV109" s="80"/>
      <c r="AW109" s="80"/>
      <c r="AX109" s="80"/>
      <c r="AY109" s="80"/>
      <c r="AZ109" s="80"/>
      <c r="BA109" s="80"/>
      <c r="BB109" s="80"/>
      <c r="BC109">
        <v>1</v>
      </c>
      <c r="BD109" s="79" t="str">
        <f>REPLACE(INDEX(GroupVertices[Group],MATCH(Edges25[[#This Row],[Vertex 1]],GroupVertices[Vertex],0)),1,1,"")</f>
        <v>10</v>
      </c>
      <c r="BE109" s="79" t="str">
        <f>REPLACE(INDEX(GroupVertices[Group],MATCH(Edges25[[#This Row],[Vertex 2]],GroupVertices[Vertex],0)),1,1,"")</f>
        <v>10</v>
      </c>
      <c r="BF109" s="49"/>
      <c r="BG109" s="50"/>
      <c r="BH109" s="49"/>
      <c r="BI109" s="50"/>
      <c r="BJ109" s="49"/>
      <c r="BK109" s="50"/>
      <c r="BL109" s="49"/>
      <c r="BM109" s="50"/>
      <c r="BN109" s="49"/>
    </row>
    <row r="110" spans="1:66" ht="15">
      <c r="A110" s="65" t="s">
        <v>271</v>
      </c>
      <c r="B110" s="65" t="s">
        <v>342</v>
      </c>
      <c r="C110" s="66"/>
      <c r="D110" s="67"/>
      <c r="E110" s="66"/>
      <c r="F110" s="69"/>
      <c r="G110" s="66"/>
      <c r="H110" s="70"/>
      <c r="I110" s="71"/>
      <c r="J110" s="71"/>
      <c r="K110" s="35" t="s">
        <v>65</v>
      </c>
      <c r="L110" s="72">
        <v>178</v>
      </c>
      <c r="M110" s="72"/>
      <c r="N110" s="73"/>
      <c r="O110" s="80" t="s">
        <v>353</v>
      </c>
      <c r="P110" s="82">
        <v>44221.25819444445</v>
      </c>
      <c r="Q110" s="80" t="s">
        <v>412</v>
      </c>
      <c r="R110" s="84" t="str">
        <f>HYPERLINK("https://www.tiess.online/registration?utm_source=Partners&amp;utm_medium=All&amp;utm_campaign=TIESS&amp;utm_term=039")</f>
        <v>https://www.tiess.online/registration?utm_source=Partners&amp;utm_medium=All&amp;utm_campaign=TIESS&amp;utm_term=039</v>
      </c>
      <c r="S110" s="80" t="s">
        <v>444</v>
      </c>
      <c r="T110" s="80" t="s">
        <v>449</v>
      </c>
      <c r="U110" s="84" t="str">
        <f>HYPERLINK("https://pbs.twimg.com/media/EsjncMMVkAEjEeJ.jpg")</f>
        <v>https://pbs.twimg.com/media/EsjncMMVkAEjEeJ.jpg</v>
      </c>
      <c r="V110" s="84" t="str">
        <f>HYPERLINK("https://pbs.twimg.com/media/EsjncMMVkAEjEeJ.jpg")</f>
        <v>https://pbs.twimg.com/media/EsjncMMVkAEjEeJ.jpg</v>
      </c>
      <c r="W110" s="82">
        <v>44221.25819444445</v>
      </c>
      <c r="X110" s="86">
        <v>44221</v>
      </c>
      <c r="Y110" s="88" t="s">
        <v>567</v>
      </c>
      <c r="Z110" s="84" t="str">
        <f>HYPERLINK("https://twitter.com/indiadidac/status/1353586348117028867")</f>
        <v>https://twitter.com/indiadidac/status/1353586348117028867</v>
      </c>
      <c r="AA110" s="80"/>
      <c r="AB110" s="80"/>
      <c r="AC110" s="88" t="s">
        <v>718</v>
      </c>
      <c r="AD110" s="80"/>
      <c r="AE110" s="80" t="b">
        <v>0</v>
      </c>
      <c r="AF110" s="80">
        <v>4</v>
      </c>
      <c r="AG110" s="88" t="s">
        <v>763</v>
      </c>
      <c r="AH110" s="80" t="b">
        <v>0</v>
      </c>
      <c r="AI110" s="80" t="s">
        <v>764</v>
      </c>
      <c r="AJ110" s="80"/>
      <c r="AK110" s="88" t="s">
        <v>763</v>
      </c>
      <c r="AL110" s="80" t="b">
        <v>0</v>
      </c>
      <c r="AM110" s="80">
        <v>1</v>
      </c>
      <c r="AN110" s="88" t="s">
        <v>763</v>
      </c>
      <c r="AO110" s="80" t="s">
        <v>765</v>
      </c>
      <c r="AP110" s="80" t="b">
        <v>0</v>
      </c>
      <c r="AQ110" s="88" t="s">
        <v>718</v>
      </c>
      <c r="AR110" s="80" t="s">
        <v>197</v>
      </c>
      <c r="AS110" s="80">
        <v>0</v>
      </c>
      <c r="AT110" s="80">
        <v>0</v>
      </c>
      <c r="AU110" s="80"/>
      <c r="AV110" s="80"/>
      <c r="AW110" s="80"/>
      <c r="AX110" s="80"/>
      <c r="AY110" s="80"/>
      <c r="AZ110" s="80"/>
      <c r="BA110" s="80"/>
      <c r="BB110" s="80"/>
      <c r="BC110">
        <v>3</v>
      </c>
      <c r="BD110" s="79" t="str">
        <f>REPLACE(INDEX(GroupVertices[Group],MATCH(Edges25[[#This Row],[Vertex 1]],GroupVertices[Vertex],0)),1,1,"")</f>
        <v>1</v>
      </c>
      <c r="BE110" s="79" t="str">
        <f>REPLACE(INDEX(GroupVertices[Group],MATCH(Edges25[[#This Row],[Vertex 2]],GroupVertices[Vertex],0)),1,1,"")</f>
        <v>2</v>
      </c>
      <c r="BF110" s="49"/>
      <c r="BG110" s="50"/>
      <c r="BH110" s="49"/>
      <c r="BI110" s="50"/>
      <c r="BJ110" s="49"/>
      <c r="BK110" s="50"/>
      <c r="BL110" s="49"/>
      <c r="BM110" s="50"/>
      <c r="BN110" s="49"/>
    </row>
    <row r="111" spans="1:66" ht="15">
      <c r="A111" s="65" t="s">
        <v>292</v>
      </c>
      <c r="B111" s="65" t="s">
        <v>342</v>
      </c>
      <c r="C111" s="66"/>
      <c r="D111" s="67"/>
      <c r="E111" s="66"/>
      <c r="F111" s="69"/>
      <c r="G111" s="66"/>
      <c r="H111" s="70"/>
      <c r="I111" s="71"/>
      <c r="J111" s="71"/>
      <c r="K111" s="35" t="s">
        <v>65</v>
      </c>
      <c r="L111" s="72">
        <v>179</v>
      </c>
      <c r="M111" s="72"/>
      <c r="N111" s="73"/>
      <c r="O111" s="80" t="s">
        <v>352</v>
      </c>
      <c r="P111" s="82">
        <v>44222.38034722222</v>
      </c>
      <c r="Q111" s="80" t="s">
        <v>412</v>
      </c>
      <c r="R111" s="84" t="str">
        <f>HYPERLINK("https://www.tiess.online/registration?utm_source=Partners&amp;utm_medium=All&amp;utm_campaign=TIESS&amp;utm_term=039")</f>
        <v>https://www.tiess.online/registration?utm_source=Partners&amp;utm_medium=All&amp;utm_campaign=TIESS&amp;utm_term=039</v>
      </c>
      <c r="S111" s="80" t="s">
        <v>444</v>
      </c>
      <c r="T111" s="80" t="s">
        <v>449</v>
      </c>
      <c r="U111" s="84" t="str">
        <f>HYPERLINK("https://pbs.twimg.com/media/EsjncMMVkAEjEeJ.jpg")</f>
        <v>https://pbs.twimg.com/media/EsjncMMVkAEjEeJ.jpg</v>
      </c>
      <c r="V111" s="84" t="str">
        <f>HYPERLINK("https://pbs.twimg.com/media/EsjncMMVkAEjEeJ.jpg")</f>
        <v>https://pbs.twimg.com/media/EsjncMMVkAEjEeJ.jpg</v>
      </c>
      <c r="W111" s="82">
        <v>44222.38034722222</v>
      </c>
      <c r="X111" s="86">
        <v>44222</v>
      </c>
      <c r="Y111" s="88" t="s">
        <v>568</v>
      </c>
      <c r="Z111" s="84" t="str">
        <f>HYPERLINK("https://twitter.com/shaireshef/status/1353993003128545281")</f>
        <v>https://twitter.com/shaireshef/status/1353993003128545281</v>
      </c>
      <c r="AA111" s="80"/>
      <c r="AB111" s="80"/>
      <c r="AC111" s="88" t="s">
        <v>719</v>
      </c>
      <c r="AD111" s="80"/>
      <c r="AE111" s="80" t="b">
        <v>0</v>
      </c>
      <c r="AF111" s="80">
        <v>0</v>
      </c>
      <c r="AG111" s="88" t="s">
        <v>763</v>
      </c>
      <c r="AH111" s="80" t="b">
        <v>0</v>
      </c>
      <c r="AI111" s="80" t="s">
        <v>764</v>
      </c>
      <c r="AJ111" s="80"/>
      <c r="AK111" s="88" t="s">
        <v>763</v>
      </c>
      <c r="AL111" s="80" t="b">
        <v>0</v>
      </c>
      <c r="AM111" s="80">
        <v>1</v>
      </c>
      <c r="AN111" s="88" t="s">
        <v>718</v>
      </c>
      <c r="AO111" s="80" t="s">
        <v>765</v>
      </c>
      <c r="AP111" s="80" t="b">
        <v>0</v>
      </c>
      <c r="AQ111" s="88" t="s">
        <v>718</v>
      </c>
      <c r="AR111" s="80" t="s">
        <v>197</v>
      </c>
      <c r="AS111" s="80">
        <v>0</v>
      </c>
      <c r="AT111" s="80">
        <v>0</v>
      </c>
      <c r="AU111" s="80"/>
      <c r="AV111" s="80"/>
      <c r="AW111" s="80"/>
      <c r="AX111" s="80"/>
      <c r="AY111" s="80"/>
      <c r="AZ111" s="80"/>
      <c r="BA111" s="80"/>
      <c r="BB111" s="80"/>
      <c r="BC111">
        <v>1</v>
      </c>
      <c r="BD111" s="79" t="str">
        <f>REPLACE(INDEX(GroupVertices[Group],MATCH(Edges25[[#This Row],[Vertex 1]],GroupVertices[Vertex],0)),1,1,"")</f>
        <v>2</v>
      </c>
      <c r="BE111" s="79" t="str">
        <f>REPLACE(INDEX(GroupVertices[Group],MATCH(Edges25[[#This Row],[Vertex 2]],GroupVertices[Vertex],0)),1,1,"")</f>
        <v>2</v>
      </c>
      <c r="BF111" s="49"/>
      <c r="BG111" s="50"/>
      <c r="BH111" s="49"/>
      <c r="BI111" s="50"/>
      <c r="BJ111" s="49"/>
      <c r="BK111" s="50"/>
      <c r="BL111" s="49"/>
      <c r="BM111" s="50"/>
      <c r="BN111" s="49"/>
    </row>
    <row r="112" spans="1:66" ht="15">
      <c r="A112" s="65" t="s">
        <v>271</v>
      </c>
      <c r="B112" s="65" t="s">
        <v>345</v>
      </c>
      <c r="C112" s="66"/>
      <c r="D112" s="67"/>
      <c r="E112" s="66"/>
      <c r="F112" s="69"/>
      <c r="G112" s="66"/>
      <c r="H112" s="70"/>
      <c r="I112" s="71"/>
      <c r="J112" s="71"/>
      <c r="K112" s="35" t="s">
        <v>65</v>
      </c>
      <c r="L112" s="72">
        <v>184</v>
      </c>
      <c r="M112" s="72"/>
      <c r="N112" s="73"/>
      <c r="O112" s="80" t="s">
        <v>353</v>
      </c>
      <c r="P112" s="82">
        <v>44218.614166666666</v>
      </c>
      <c r="Q112" s="80" t="s">
        <v>413</v>
      </c>
      <c r="R112" s="84" t="str">
        <f>HYPERLINK("https://www.tiess.online/registration?utm_source=SM&amp;utm_medium=Holloway&amp;utm_campaign=TIESS&amp;utm_term=043")</f>
        <v>https://www.tiess.online/registration?utm_source=SM&amp;utm_medium=Holloway&amp;utm_campaign=TIESS&amp;utm_term=043</v>
      </c>
      <c r="S112" s="80" t="s">
        <v>444</v>
      </c>
      <c r="T112" s="80" t="s">
        <v>450</v>
      </c>
      <c r="U112" s="84" t="str">
        <f>HYPERLINK("https://pbs.twimg.com/media/EsWAGTRU4AEz-dp.jpg")</f>
        <v>https://pbs.twimg.com/media/EsWAGTRU4AEz-dp.jpg</v>
      </c>
      <c r="V112" s="84" t="str">
        <f>HYPERLINK("https://pbs.twimg.com/media/EsWAGTRU4AEz-dp.jpg")</f>
        <v>https://pbs.twimg.com/media/EsWAGTRU4AEz-dp.jpg</v>
      </c>
      <c r="W112" s="82">
        <v>44218.614166666666</v>
      </c>
      <c r="X112" s="86">
        <v>44218</v>
      </c>
      <c r="Y112" s="88" t="s">
        <v>569</v>
      </c>
      <c r="Z112" s="84" t="str">
        <f>HYPERLINK("https://twitter.com/indiadidac/status/1352628185117061123")</f>
        <v>https://twitter.com/indiadidac/status/1352628185117061123</v>
      </c>
      <c r="AA112" s="80"/>
      <c r="AB112" s="80"/>
      <c r="AC112" s="88" t="s">
        <v>720</v>
      </c>
      <c r="AD112" s="80"/>
      <c r="AE112" s="80" t="b">
        <v>0</v>
      </c>
      <c r="AF112" s="80">
        <v>0</v>
      </c>
      <c r="AG112" s="88" t="s">
        <v>763</v>
      </c>
      <c r="AH112" s="80" t="b">
        <v>0</v>
      </c>
      <c r="AI112" s="80" t="s">
        <v>764</v>
      </c>
      <c r="AJ112" s="80"/>
      <c r="AK112" s="88" t="s">
        <v>763</v>
      </c>
      <c r="AL112" s="80" t="b">
        <v>0</v>
      </c>
      <c r="AM112" s="80">
        <v>0</v>
      </c>
      <c r="AN112" s="88" t="s">
        <v>763</v>
      </c>
      <c r="AO112" s="80" t="s">
        <v>765</v>
      </c>
      <c r="AP112" s="80" t="b">
        <v>0</v>
      </c>
      <c r="AQ112" s="88" t="s">
        <v>720</v>
      </c>
      <c r="AR112" s="80" t="s">
        <v>197</v>
      </c>
      <c r="AS112" s="80">
        <v>0</v>
      </c>
      <c r="AT112" s="80">
        <v>0</v>
      </c>
      <c r="AU112" s="80"/>
      <c r="AV112" s="80"/>
      <c r="AW112" s="80"/>
      <c r="AX112" s="80"/>
      <c r="AY112" s="80"/>
      <c r="AZ112" s="80"/>
      <c r="BA112" s="80"/>
      <c r="BB112" s="80"/>
      <c r="BC112">
        <v>2</v>
      </c>
      <c r="BD112" s="79" t="str">
        <f>REPLACE(INDEX(GroupVertices[Group],MATCH(Edges25[[#This Row],[Vertex 1]],GroupVertices[Vertex],0)),1,1,"")</f>
        <v>1</v>
      </c>
      <c r="BE112" s="79" t="str">
        <f>REPLACE(INDEX(GroupVertices[Group],MATCH(Edges25[[#This Row],[Vertex 2]],GroupVertices[Vertex],0)),1,1,"")</f>
        <v>2</v>
      </c>
      <c r="BF112" s="49">
        <v>1</v>
      </c>
      <c r="BG112" s="50">
        <v>4.3478260869565215</v>
      </c>
      <c r="BH112" s="49">
        <v>0</v>
      </c>
      <c r="BI112" s="50">
        <v>0</v>
      </c>
      <c r="BJ112" s="49">
        <v>0</v>
      </c>
      <c r="BK112" s="50">
        <v>0</v>
      </c>
      <c r="BL112" s="49">
        <v>22</v>
      </c>
      <c r="BM112" s="50">
        <v>95.65217391304348</v>
      </c>
      <c r="BN112" s="49">
        <v>23</v>
      </c>
    </row>
    <row r="113" spans="1:66" ht="15">
      <c r="A113" s="65" t="s">
        <v>264</v>
      </c>
      <c r="B113" s="65" t="s">
        <v>264</v>
      </c>
      <c r="C113" s="66"/>
      <c r="D113" s="67"/>
      <c r="E113" s="66"/>
      <c r="F113" s="69"/>
      <c r="G113" s="66"/>
      <c r="H113" s="70"/>
      <c r="I113" s="71"/>
      <c r="J113" s="71"/>
      <c r="K113" s="35" t="s">
        <v>65</v>
      </c>
      <c r="L113" s="72">
        <v>187</v>
      </c>
      <c r="M113" s="72"/>
      <c r="N113" s="73"/>
      <c r="O113" s="80" t="s">
        <v>197</v>
      </c>
      <c r="P113" s="82">
        <v>44221.27065972222</v>
      </c>
      <c r="Q113" s="80" t="s">
        <v>368</v>
      </c>
      <c r="R113" s="84" t="str">
        <f>HYPERLINK("https://twitter.com/Indiadidac/status/1353586348117028867")</f>
        <v>https://twitter.com/Indiadidac/status/1353586348117028867</v>
      </c>
      <c r="S113" s="80" t="s">
        <v>445</v>
      </c>
      <c r="T113" s="80" t="s">
        <v>453</v>
      </c>
      <c r="U113" s="80"/>
      <c r="V113" s="84" t="str">
        <f>HYPERLINK("https://pbs.twimg.com/profile_images/912616865574219776/s0G4kIoM_normal.jpg")</f>
        <v>https://pbs.twimg.com/profile_images/912616865574219776/s0G4kIoM_normal.jpg</v>
      </c>
      <c r="W113" s="82">
        <v>44221.27065972222</v>
      </c>
      <c r="X113" s="86">
        <v>44221</v>
      </c>
      <c r="Y113" s="88" t="s">
        <v>570</v>
      </c>
      <c r="Z113" s="84" t="str">
        <f>HYPERLINK("https://twitter.com/tcs_ion/status/1353590864707162118")</f>
        <v>https://twitter.com/tcs_ion/status/1353590864707162118</v>
      </c>
      <c r="AA113" s="80"/>
      <c r="AB113" s="80"/>
      <c r="AC113" s="88" t="s">
        <v>721</v>
      </c>
      <c r="AD113" s="80"/>
      <c r="AE113" s="80" t="b">
        <v>0</v>
      </c>
      <c r="AF113" s="80">
        <v>3</v>
      </c>
      <c r="AG113" s="88" t="s">
        <v>763</v>
      </c>
      <c r="AH113" s="80" t="b">
        <v>1</v>
      </c>
      <c r="AI113" s="80" t="s">
        <v>764</v>
      </c>
      <c r="AJ113" s="80"/>
      <c r="AK113" s="88" t="s">
        <v>718</v>
      </c>
      <c r="AL113" s="80" t="b">
        <v>0</v>
      </c>
      <c r="AM113" s="80">
        <v>1</v>
      </c>
      <c r="AN113" s="88" t="s">
        <v>763</v>
      </c>
      <c r="AO113" s="80" t="s">
        <v>765</v>
      </c>
      <c r="AP113" s="80" t="b">
        <v>0</v>
      </c>
      <c r="AQ113" s="88" t="s">
        <v>721</v>
      </c>
      <c r="AR113" s="80" t="s">
        <v>197</v>
      </c>
      <c r="AS113" s="80">
        <v>0</v>
      </c>
      <c r="AT113" s="80">
        <v>0</v>
      </c>
      <c r="AU113" s="80"/>
      <c r="AV113" s="80"/>
      <c r="AW113" s="80"/>
      <c r="AX113" s="80"/>
      <c r="AY113" s="80"/>
      <c r="AZ113" s="80"/>
      <c r="BA113" s="80"/>
      <c r="BB113" s="80"/>
      <c r="BC113">
        <v>1</v>
      </c>
      <c r="BD113" s="79" t="str">
        <f>REPLACE(INDEX(GroupVertices[Group],MATCH(Edges25[[#This Row],[Vertex 1]],GroupVertices[Vertex],0)),1,1,"")</f>
        <v>8</v>
      </c>
      <c r="BE113" s="79" t="str">
        <f>REPLACE(INDEX(GroupVertices[Group],MATCH(Edges25[[#This Row],[Vertex 2]],GroupVertices[Vertex],0)),1,1,"")</f>
        <v>8</v>
      </c>
      <c r="BF113" s="49">
        <v>1</v>
      </c>
      <c r="BG113" s="50">
        <v>3.125</v>
      </c>
      <c r="BH113" s="49">
        <v>0</v>
      </c>
      <c r="BI113" s="50">
        <v>0</v>
      </c>
      <c r="BJ113" s="49">
        <v>0</v>
      </c>
      <c r="BK113" s="50">
        <v>0</v>
      </c>
      <c r="BL113" s="49">
        <v>31</v>
      </c>
      <c r="BM113" s="50">
        <v>96.875</v>
      </c>
      <c r="BN113" s="49">
        <v>32</v>
      </c>
    </row>
    <row r="114" spans="1:66" ht="15">
      <c r="A114" s="65" t="s">
        <v>271</v>
      </c>
      <c r="B114" s="65" t="s">
        <v>264</v>
      </c>
      <c r="C114" s="66"/>
      <c r="D114" s="67"/>
      <c r="E114" s="66"/>
      <c r="F114" s="69"/>
      <c r="G114" s="66"/>
      <c r="H114" s="70"/>
      <c r="I114" s="71"/>
      <c r="J114" s="71"/>
      <c r="K114" s="35" t="s">
        <v>65</v>
      </c>
      <c r="L114" s="72">
        <v>188</v>
      </c>
      <c r="M114" s="72"/>
      <c r="N114" s="73"/>
      <c r="O114" s="80" t="s">
        <v>353</v>
      </c>
      <c r="P114" s="82">
        <v>44218.42642361111</v>
      </c>
      <c r="Q114" s="80" t="s">
        <v>414</v>
      </c>
      <c r="R114" s="84" t="str">
        <f>HYPERLINK("https://www.tiess.online/registration?utm_source=SM&amp;utm_medium=Krishnan&amp;utm_campaign=TIESS&amp;utm_term=040")</f>
        <v>https://www.tiess.online/registration?utm_source=SM&amp;utm_medium=Krishnan&amp;utm_campaign=TIESS&amp;utm_term=040</v>
      </c>
      <c r="S114" s="80" t="s">
        <v>444</v>
      </c>
      <c r="T114" s="80" t="s">
        <v>449</v>
      </c>
      <c r="U114" s="84" t="str">
        <f>HYPERLINK("https://pbs.twimg.com/media/EsVCOMAVEAIUjPy.jpg")</f>
        <v>https://pbs.twimg.com/media/EsVCOMAVEAIUjPy.jpg</v>
      </c>
      <c r="V114" s="84" t="str">
        <f>HYPERLINK("https://pbs.twimg.com/media/EsVCOMAVEAIUjPy.jpg")</f>
        <v>https://pbs.twimg.com/media/EsVCOMAVEAIUjPy.jpg</v>
      </c>
      <c r="W114" s="82">
        <v>44218.42642361111</v>
      </c>
      <c r="X114" s="86">
        <v>44218</v>
      </c>
      <c r="Y114" s="88" t="s">
        <v>571</v>
      </c>
      <c r="Z114" s="84" t="str">
        <f>HYPERLINK("https://twitter.com/indiadidac/status/1352560149135671299")</f>
        <v>https://twitter.com/indiadidac/status/1352560149135671299</v>
      </c>
      <c r="AA114" s="80"/>
      <c r="AB114" s="80"/>
      <c r="AC114" s="88" t="s">
        <v>722</v>
      </c>
      <c r="AD114" s="80"/>
      <c r="AE114" s="80" t="b">
        <v>0</v>
      </c>
      <c r="AF114" s="80">
        <v>1</v>
      </c>
      <c r="AG114" s="88" t="s">
        <v>763</v>
      </c>
      <c r="AH114" s="80" t="b">
        <v>0</v>
      </c>
      <c r="AI114" s="80" t="s">
        <v>764</v>
      </c>
      <c r="AJ114" s="80"/>
      <c r="AK114" s="88" t="s">
        <v>763</v>
      </c>
      <c r="AL114" s="80" t="b">
        <v>0</v>
      </c>
      <c r="AM114" s="80">
        <v>0</v>
      </c>
      <c r="AN114" s="88" t="s">
        <v>763</v>
      </c>
      <c r="AO114" s="80" t="s">
        <v>765</v>
      </c>
      <c r="AP114" s="80" t="b">
        <v>0</v>
      </c>
      <c r="AQ114" s="88" t="s">
        <v>722</v>
      </c>
      <c r="AR114" s="80" t="s">
        <v>197</v>
      </c>
      <c r="AS114" s="80">
        <v>0</v>
      </c>
      <c r="AT114" s="80">
        <v>0</v>
      </c>
      <c r="AU114" s="80"/>
      <c r="AV114" s="80"/>
      <c r="AW114" s="80"/>
      <c r="AX114" s="80"/>
      <c r="AY114" s="80"/>
      <c r="AZ114" s="80"/>
      <c r="BA114" s="80"/>
      <c r="BB114" s="80"/>
      <c r="BC114">
        <v>2</v>
      </c>
      <c r="BD114" s="79" t="str">
        <f>REPLACE(INDEX(GroupVertices[Group],MATCH(Edges25[[#This Row],[Vertex 1]],GroupVertices[Vertex],0)),1,1,"")</f>
        <v>1</v>
      </c>
      <c r="BE114" s="79" t="str">
        <f>REPLACE(INDEX(GroupVertices[Group],MATCH(Edges25[[#This Row],[Vertex 2]],GroupVertices[Vertex],0)),1,1,"")</f>
        <v>8</v>
      </c>
      <c r="BF114" s="49">
        <v>1</v>
      </c>
      <c r="BG114" s="50">
        <v>2.7027027027027026</v>
      </c>
      <c r="BH114" s="49">
        <v>0</v>
      </c>
      <c r="BI114" s="50">
        <v>0</v>
      </c>
      <c r="BJ114" s="49">
        <v>0</v>
      </c>
      <c r="BK114" s="50">
        <v>0</v>
      </c>
      <c r="BL114" s="49">
        <v>36</v>
      </c>
      <c r="BM114" s="50">
        <v>97.29729729729729</v>
      </c>
      <c r="BN114" s="49">
        <v>37</v>
      </c>
    </row>
    <row r="115" spans="1:66" ht="15">
      <c r="A115" s="65" t="s">
        <v>271</v>
      </c>
      <c r="B115" s="65" t="s">
        <v>346</v>
      </c>
      <c r="C115" s="66"/>
      <c r="D115" s="67"/>
      <c r="E115" s="66"/>
      <c r="F115" s="69"/>
      <c r="G115" s="66"/>
      <c r="H115" s="70"/>
      <c r="I115" s="71"/>
      <c r="J115" s="71"/>
      <c r="K115" s="35" t="s">
        <v>65</v>
      </c>
      <c r="L115" s="72">
        <v>192</v>
      </c>
      <c r="M115" s="72"/>
      <c r="N115" s="73"/>
      <c r="O115" s="80" t="s">
        <v>353</v>
      </c>
      <c r="P115" s="82">
        <v>44221.392476851855</v>
      </c>
      <c r="Q115" s="80" t="s">
        <v>415</v>
      </c>
      <c r="R115" s="84" t="str">
        <f>HYPERLINK("https://www.tiess.online/registration?utm_source=Jeff&amp;utm_medium=Coursera&amp;utm_campaign=TIESS&amp;utm_term=039")</f>
        <v>https://www.tiess.online/registration?utm_source=Jeff&amp;utm_medium=Coursera&amp;utm_campaign=TIESS&amp;utm_term=039</v>
      </c>
      <c r="S115" s="80" t="s">
        <v>444</v>
      </c>
      <c r="T115" s="80" t="s">
        <v>450</v>
      </c>
      <c r="U115" s="84" t="str">
        <f>HYPERLINK("https://pbs.twimg.com/media/EskT0CJVcAAnIcG.jpg")</f>
        <v>https://pbs.twimg.com/media/EskT0CJVcAAnIcG.jpg</v>
      </c>
      <c r="V115" s="84" t="str">
        <f>HYPERLINK("https://pbs.twimg.com/media/EskT0CJVcAAnIcG.jpg")</f>
        <v>https://pbs.twimg.com/media/EskT0CJVcAAnIcG.jpg</v>
      </c>
      <c r="W115" s="82">
        <v>44221.392476851855</v>
      </c>
      <c r="X115" s="86">
        <v>44221</v>
      </c>
      <c r="Y115" s="88" t="s">
        <v>572</v>
      </c>
      <c r="Z115" s="84" t="str">
        <f>HYPERLINK("https://twitter.com/indiadidac/status/1353635009425338370")</f>
        <v>https://twitter.com/indiadidac/status/1353635009425338370</v>
      </c>
      <c r="AA115" s="80"/>
      <c r="AB115" s="80"/>
      <c r="AC115" s="88" t="s">
        <v>723</v>
      </c>
      <c r="AD115" s="80"/>
      <c r="AE115" s="80" t="b">
        <v>0</v>
      </c>
      <c r="AF115" s="80">
        <v>0</v>
      </c>
      <c r="AG115" s="88" t="s">
        <v>763</v>
      </c>
      <c r="AH115" s="80" t="b">
        <v>0</v>
      </c>
      <c r="AI115" s="80" t="s">
        <v>764</v>
      </c>
      <c r="AJ115" s="80"/>
      <c r="AK115" s="88" t="s">
        <v>763</v>
      </c>
      <c r="AL115" s="80" t="b">
        <v>0</v>
      </c>
      <c r="AM115" s="80">
        <v>0</v>
      </c>
      <c r="AN115" s="88" t="s">
        <v>763</v>
      </c>
      <c r="AO115" s="80" t="s">
        <v>765</v>
      </c>
      <c r="AP115" s="80" t="b">
        <v>0</v>
      </c>
      <c r="AQ115" s="88" t="s">
        <v>723</v>
      </c>
      <c r="AR115" s="80" t="s">
        <v>197</v>
      </c>
      <c r="AS115" s="80">
        <v>0</v>
      </c>
      <c r="AT115" s="80">
        <v>0</v>
      </c>
      <c r="AU115" s="80"/>
      <c r="AV115" s="80"/>
      <c r="AW115" s="80"/>
      <c r="AX115" s="80"/>
      <c r="AY115" s="80"/>
      <c r="AZ115" s="80"/>
      <c r="BA115" s="80"/>
      <c r="BB115" s="80"/>
      <c r="BC115">
        <v>3</v>
      </c>
      <c r="BD115" s="79" t="str">
        <f>REPLACE(INDEX(GroupVertices[Group],MATCH(Edges25[[#This Row],[Vertex 1]],GroupVertices[Vertex],0)),1,1,"")</f>
        <v>1</v>
      </c>
      <c r="BE115" s="79" t="str">
        <f>REPLACE(INDEX(GroupVertices[Group],MATCH(Edges25[[#This Row],[Vertex 2]],GroupVertices[Vertex],0)),1,1,"")</f>
        <v>2</v>
      </c>
      <c r="BF115" s="49">
        <v>2</v>
      </c>
      <c r="BG115" s="50">
        <v>7.6923076923076925</v>
      </c>
      <c r="BH115" s="49">
        <v>0</v>
      </c>
      <c r="BI115" s="50">
        <v>0</v>
      </c>
      <c r="BJ115" s="49">
        <v>0</v>
      </c>
      <c r="BK115" s="50">
        <v>0</v>
      </c>
      <c r="BL115" s="49">
        <v>24</v>
      </c>
      <c r="BM115" s="50">
        <v>92.3076923076923</v>
      </c>
      <c r="BN115" s="49">
        <v>26</v>
      </c>
    </row>
    <row r="116" spans="1:66" ht="15">
      <c r="A116" s="65" t="s">
        <v>271</v>
      </c>
      <c r="B116" s="65" t="s">
        <v>346</v>
      </c>
      <c r="C116" s="66"/>
      <c r="D116" s="67"/>
      <c r="E116" s="66"/>
      <c r="F116" s="69"/>
      <c r="G116" s="66"/>
      <c r="H116" s="70"/>
      <c r="I116" s="71"/>
      <c r="J116" s="71"/>
      <c r="K116" s="35" t="s">
        <v>65</v>
      </c>
      <c r="L116" s="72">
        <v>193</v>
      </c>
      <c r="M116" s="72"/>
      <c r="N116" s="73"/>
      <c r="O116" s="80" t="s">
        <v>353</v>
      </c>
      <c r="P116" s="82">
        <v>44221.39414351852</v>
      </c>
      <c r="Q116" s="80" t="s">
        <v>416</v>
      </c>
      <c r="R116" s="84" t="str">
        <f>HYPERLINK("https://www.tiess.online/registration?utm_source=Raghav&amp;utm_medium=Coursera&amp;utm_campaign=TIESS&amp;utm_term=040")</f>
        <v>https://www.tiess.online/registration?utm_source=Raghav&amp;utm_medium=Coursera&amp;utm_campaign=TIESS&amp;utm_term=040</v>
      </c>
      <c r="S116" s="80" t="s">
        <v>444</v>
      </c>
      <c r="T116" s="80" t="s">
        <v>450</v>
      </c>
      <c r="U116" s="84" t="str">
        <f>HYPERLINK("https://pbs.twimg.com/media/EskUX2gUUAADw5v.jpg")</f>
        <v>https://pbs.twimg.com/media/EskUX2gUUAADw5v.jpg</v>
      </c>
      <c r="V116" s="84" t="str">
        <f>HYPERLINK("https://pbs.twimg.com/media/EskUX2gUUAADw5v.jpg")</f>
        <v>https://pbs.twimg.com/media/EskUX2gUUAADw5v.jpg</v>
      </c>
      <c r="W116" s="82">
        <v>44221.39414351852</v>
      </c>
      <c r="X116" s="86">
        <v>44221</v>
      </c>
      <c r="Y116" s="88" t="s">
        <v>573</v>
      </c>
      <c r="Z116" s="84" t="str">
        <f>HYPERLINK("https://twitter.com/indiadidac/status/1353635615615541248")</f>
        <v>https://twitter.com/indiadidac/status/1353635615615541248</v>
      </c>
      <c r="AA116" s="80"/>
      <c r="AB116" s="80"/>
      <c r="AC116" s="88" t="s">
        <v>724</v>
      </c>
      <c r="AD116" s="80"/>
      <c r="AE116" s="80" t="b">
        <v>0</v>
      </c>
      <c r="AF116" s="80">
        <v>0</v>
      </c>
      <c r="AG116" s="88" t="s">
        <v>763</v>
      </c>
      <c r="AH116" s="80" t="b">
        <v>0</v>
      </c>
      <c r="AI116" s="80" t="s">
        <v>764</v>
      </c>
      <c r="AJ116" s="80"/>
      <c r="AK116" s="88" t="s">
        <v>763</v>
      </c>
      <c r="AL116" s="80" t="b">
        <v>0</v>
      </c>
      <c r="AM116" s="80">
        <v>0</v>
      </c>
      <c r="AN116" s="88" t="s">
        <v>763</v>
      </c>
      <c r="AO116" s="80" t="s">
        <v>765</v>
      </c>
      <c r="AP116" s="80" t="b">
        <v>0</v>
      </c>
      <c r="AQ116" s="88" t="s">
        <v>724</v>
      </c>
      <c r="AR116" s="80" t="s">
        <v>197</v>
      </c>
      <c r="AS116" s="80">
        <v>0</v>
      </c>
      <c r="AT116" s="80">
        <v>0</v>
      </c>
      <c r="AU116" s="80"/>
      <c r="AV116" s="80"/>
      <c r="AW116" s="80"/>
      <c r="AX116" s="80"/>
      <c r="AY116" s="80"/>
      <c r="AZ116" s="80"/>
      <c r="BA116" s="80"/>
      <c r="BB116" s="80"/>
      <c r="BC116">
        <v>3</v>
      </c>
      <c r="BD116" s="79" t="str">
        <f>REPLACE(INDEX(GroupVertices[Group],MATCH(Edges25[[#This Row],[Vertex 1]],GroupVertices[Vertex],0)),1,1,"")</f>
        <v>1</v>
      </c>
      <c r="BE116" s="79" t="str">
        <f>REPLACE(INDEX(GroupVertices[Group],MATCH(Edges25[[#This Row],[Vertex 2]],GroupVertices[Vertex],0)),1,1,"")</f>
        <v>2</v>
      </c>
      <c r="BF116" s="49">
        <v>1</v>
      </c>
      <c r="BG116" s="50">
        <v>3.8461538461538463</v>
      </c>
      <c r="BH116" s="49">
        <v>0</v>
      </c>
      <c r="BI116" s="50">
        <v>0</v>
      </c>
      <c r="BJ116" s="49">
        <v>0</v>
      </c>
      <c r="BK116" s="50">
        <v>0</v>
      </c>
      <c r="BL116" s="49">
        <v>25</v>
      </c>
      <c r="BM116" s="50">
        <v>96.15384615384616</v>
      </c>
      <c r="BN116" s="49">
        <v>26</v>
      </c>
    </row>
    <row r="117" spans="1:66" ht="15">
      <c r="A117" s="65" t="s">
        <v>271</v>
      </c>
      <c r="B117" s="65" t="s">
        <v>304</v>
      </c>
      <c r="C117" s="66"/>
      <c r="D117" s="67"/>
      <c r="E117" s="66"/>
      <c r="F117" s="69"/>
      <c r="G117" s="66"/>
      <c r="H117" s="70"/>
      <c r="I117" s="71"/>
      <c r="J117" s="71"/>
      <c r="K117" s="35" t="s">
        <v>65</v>
      </c>
      <c r="L117" s="72">
        <v>195</v>
      </c>
      <c r="M117" s="72"/>
      <c r="N117" s="73"/>
      <c r="O117" s="80" t="s">
        <v>353</v>
      </c>
      <c r="P117" s="82">
        <v>44217.25164351852</v>
      </c>
      <c r="Q117" s="80" t="s">
        <v>356</v>
      </c>
      <c r="R117" s="84" t="str">
        <f>HYPERLINK("https://www.tiess.online/registration?utm_source=SM&amp;utm_medium=Sheeran&amp;utm_campaign=TIESS&amp;utm_term=038")</f>
        <v>https://www.tiess.online/registration?utm_source=SM&amp;utm_medium=Sheeran&amp;utm_campaign=TIESS&amp;utm_term=038</v>
      </c>
      <c r="S117" s="80" t="s">
        <v>444</v>
      </c>
      <c r="T117" s="80" t="s">
        <v>450</v>
      </c>
      <c r="U117" s="84" t="str">
        <f>HYPERLINK("https://pbs.twimg.com/media/EsO_BRzU0AEEbdb.jpg")</f>
        <v>https://pbs.twimg.com/media/EsO_BRzU0AEEbdb.jpg</v>
      </c>
      <c r="V117" s="84" t="str">
        <f>HYPERLINK("https://pbs.twimg.com/media/EsO_BRzU0AEEbdb.jpg")</f>
        <v>https://pbs.twimg.com/media/EsO_BRzU0AEEbdb.jpg</v>
      </c>
      <c r="W117" s="82">
        <v>44217.25164351852</v>
      </c>
      <c r="X117" s="86">
        <v>44217</v>
      </c>
      <c r="Y117" s="88" t="s">
        <v>574</v>
      </c>
      <c r="Z117" s="84" t="str">
        <f>HYPERLINK("https://twitter.com/indiadidac/status/1352134421097324545")</f>
        <v>https://twitter.com/indiadidac/status/1352134421097324545</v>
      </c>
      <c r="AA117" s="80"/>
      <c r="AB117" s="80"/>
      <c r="AC117" s="88" t="s">
        <v>725</v>
      </c>
      <c r="AD117" s="80"/>
      <c r="AE117" s="80" t="b">
        <v>0</v>
      </c>
      <c r="AF117" s="80">
        <v>4</v>
      </c>
      <c r="AG117" s="88" t="s">
        <v>763</v>
      </c>
      <c r="AH117" s="80" t="b">
        <v>0</v>
      </c>
      <c r="AI117" s="80" t="s">
        <v>764</v>
      </c>
      <c r="AJ117" s="80"/>
      <c r="AK117" s="88" t="s">
        <v>763</v>
      </c>
      <c r="AL117" s="80" t="b">
        <v>0</v>
      </c>
      <c r="AM117" s="80">
        <v>2</v>
      </c>
      <c r="AN117" s="88" t="s">
        <v>763</v>
      </c>
      <c r="AO117" s="80" t="s">
        <v>765</v>
      </c>
      <c r="AP117" s="80" t="b">
        <v>0</v>
      </c>
      <c r="AQ117" s="88" t="s">
        <v>725</v>
      </c>
      <c r="AR117" s="80" t="s">
        <v>197</v>
      </c>
      <c r="AS117" s="80">
        <v>0</v>
      </c>
      <c r="AT117" s="80">
        <v>0</v>
      </c>
      <c r="AU117" s="80"/>
      <c r="AV117" s="80"/>
      <c r="AW117" s="80"/>
      <c r="AX117" s="80"/>
      <c r="AY117" s="80"/>
      <c r="AZ117" s="80"/>
      <c r="BA117" s="80"/>
      <c r="BB117" s="80"/>
      <c r="BC117">
        <v>3</v>
      </c>
      <c r="BD117" s="79" t="str">
        <f>REPLACE(INDEX(GroupVertices[Group],MATCH(Edges25[[#This Row],[Vertex 1]],GroupVertices[Vertex],0)),1,1,"")</f>
        <v>1</v>
      </c>
      <c r="BE117" s="79" t="str">
        <f>REPLACE(INDEX(GroupVertices[Group],MATCH(Edges25[[#This Row],[Vertex 2]],GroupVertices[Vertex],0)),1,1,"")</f>
        <v>11</v>
      </c>
      <c r="BF117" s="49">
        <v>2</v>
      </c>
      <c r="BG117" s="50">
        <v>6.451612903225806</v>
      </c>
      <c r="BH117" s="49">
        <v>1</v>
      </c>
      <c r="BI117" s="50">
        <v>3.225806451612903</v>
      </c>
      <c r="BJ117" s="49">
        <v>0</v>
      </c>
      <c r="BK117" s="50">
        <v>0</v>
      </c>
      <c r="BL117" s="49">
        <v>28</v>
      </c>
      <c r="BM117" s="50">
        <v>90.3225806451613</v>
      </c>
      <c r="BN117" s="49">
        <v>31</v>
      </c>
    </row>
    <row r="118" spans="1:66" ht="15">
      <c r="A118" s="65" t="s">
        <v>271</v>
      </c>
      <c r="B118" s="65" t="s">
        <v>304</v>
      </c>
      <c r="C118" s="66"/>
      <c r="D118" s="67"/>
      <c r="E118" s="66"/>
      <c r="F118" s="69"/>
      <c r="G118" s="66"/>
      <c r="H118" s="70"/>
      <c r="I118" s="71"/>
      <c r="J118" s="71"/>
      <c r="K118" s="35" t="s">
        <v>65</v>
      </c>
      <c r="L118" s="72">
        <v>197</v>
      </c>
      <c r="M118" s="72"/>
      <c r="N118" s="73"/>
      <c r="O118" s="80" t="s">
        <v>353</v>
      </c>
      <c r="P118" s="82">
        <v>44222.27952546296</v>
      </c>
      <c r="Q118" s="80" t="s">
        <v>417</v>
      </c>
      <c r="R118" s="84" t="str">
        <f>HYPERLINK("https://www.tiess.online/registration?utm_source=Lokesh&amp;utm_medium=AWS&amp;utm_campaign=TIESS&amp;utm_term=045")</f>
        <v>https://www.tiess.online/registration?utm_source=Lokesh&amp;utm_medium=AWS&amp;utm_campaign=TIESS&amp;utm_term=045</v>
      </c>
      <c r="S118" s="80" t="s">
        <v>444</v>
      </c>
      <c r="T118" s="80" t="s">
        <v>450</v>
      </c>
      <c r="U118" s="84" t="str">
        <f>HYPERLINK("https://pbs.twimg.com/media/Eso4HfdVkAQoj93.jpg")</f>
        <v>https://pbs.twimg.com/media/Eso4HfdVkAQoj93.jpg</v>
      </c>
      <c r="V118" s="84" t="str">
        <f>HYPERLINK("https://pbs.twimg.com/media/Eso4HfdVkAQoj93.jpg")</f>
        <v>https://pbs.twimg.com/media/Eso4HfdVkAQoj93.jpg</v>
      </c>
      <c r="W118" s="82">
        <v>44222.27952546296</v>
      </c>
      <c r="X118" s="86">
        <v>44222</v>
      </c>
      <c r="Y118" s="88" t="s">
        <v>575</v>
      </c>
      <c r="Z118" s="84" t="str">
        <f>HYPERLINK("https://twitter.com/indiadidac/status/1353956465287995392")</f>
        <v>https://twitter.com/indiadidac/status/1353956465287995392</v>
      </c>
      <c r="AA118" s="80"/>
      <c r="AB118" s="80"/>
      <c r="AC118" s="88" t="s">
        <v>726</v>
      </c>
      <c r="AD118" s="80"/>
      <c r="AE118" s="80" t="b">
        <v>0</v>
      </c>
      <c r="AF118" s="80">
        <v>2</v>
      </c>
      <c r="AG118" s="88" t="s">
        <v>763</v>
      </c>
      <c r="AH118" s="80" t="b">
        <v>0</v>
      </c>
      <c r="AI118" s="80" t="s">
        <v>764</v>
      </c>
      <c r="AJ118" s="80"/>
      <c r="AK118" s="88" t="s">
        <v>763</v>
      </c>
      <c r="AL118" s="80" t="b">
        <v>0</v>
      </c>
      <c r="AM118" s="80">
        <v>0</v>
      </c>
      <c r="AN118" s="88" t="s">
        <v>763</v>
      </c>
      <c r="AO118" s="80" t="s">
        <v>765</v>
      </c>
      <c r="AP118" s="80" t="b">
        <v>0</v>
      </c>
      <c r="AQ118" s="88" t="s">
        <v>726</v>
      </c>
      <c r="AR118" s="80" t="s">
        <v>197</v>
      </c>
      <c r="AS118" s="80">
        <v>0</v>
      </c>
      <c r="AT118" s="80">
        <v>0</v>
      </c>
      <c r="AU118" s="80"/>
      <c r="AV118" s="80"/>
      <c r="AW118" s="80"/>
      <c r="AX118" s="80"/>
      <c r="AY118" s="80"/>
      <c r="AZ118" s="80"/>
      <c r="BA118" s="80"/>
      <c r="BB118" s="80"/>
      <c r="BC118">
        <v>3</v>
      </c>
      <c r="BD118" s="79" t="str">
        <f>REPLACE(INDEX(GroupVertices[Group],MATCH(Edges25[[#This Row],[Vertex 1]],GroupVertices[Vertex],0)),1,1,"")</f>
        <v>1</v>
      </c>
      <c r="BE118" s="79" t="str">
        <f>REPLACE(INDEX(GroupVertices[Group],MATCH(Edges25[[#This Row],[Vertex 2]],GroupVertices[Vertex],0)),1,1,"")</f>
        <v>11</v>
      </c>
      <c r="BF118" s="49">
        <v>1</v>
      </c>
      <c r="BG118" s="50">
        <v>2.9411764705882355</v>
      </c>
      <c r="BH118" s="49">
        <v>0</v>
      </c>
      <c r="BI118" s="50">
        <v>0</v>
      </c>
      <c r="BJ118" s="49">
        <v>0</v>
      </c>
      <c r="BK118" s="50">
        <v>0</v>
      </c>
      <c r="BL118" s="49">
        <v>33</v>
      </c>
      <c r="BM118" s="50">
        <v>97.05882352941177</v>
      </c>
      <c r="BN118" s="49">
        <v>34</v>
      </c>
    </row>
    <row r="119" spans="1:66" ht="15">
      <c r="A119" s="65" t="s">
        <v>293</v>
      </c>
      <c r="B119" s="65" t="s">
        <v>292</v>
      </c>
      <c r="C119" s="66"/>
      <c r="D119" s="67"/>
      <c r="E119" s="66"/>
      <c r="F119" s="69"/>
      <c r="G119" s="66"/>
      <c r="H119" s="70"/>
      <c r="I119" s="71"/>
      <c r="J119" s="71"/>
      <c r="K119" s="35" t="s">
        <v>65</v>
      </c>
      <c r="L119" s="72">
        <v>205</v>
      </c>
      <c r="M119" s="72"/>
      <c r="N119" s="73"/>
      <c r="O119" s="80" t="s">
        <v>352</v>
      </c>
      <c r="P119" s="82">
        <v>44222.66983796296</v>
      </c>
      <c r="Q119" s="80" t="s">
        <v>418</v>
      </c>
      <c r="R119" s="84" t="str">
        <f>HYPERLINK("https://bit.ly/3oTtvE6")</f>
        <v>https://bit.ly/3oTtvE6</v>
      </c>
      <c r="S119" s="80" t="s">
        <v>448</v>
      </c>
      <c r="T119" s="80" t="s">
        <v>459</v>
      </c>
      <c r="U119" s="84" t="str">
        <f>HYPERLINK("https://pbs.twimg.com/media/Esq4fzDXcAAqKOj.jpg")</f>
        <v>https://pbs.twimg.com/media/Esq4fzDXcAAqKOj.jpg</v>
      </c>
      <c r="V119" s="84" t="str">
        <f>HYPERLINK("https://pbs.twimg.com/media/Esq4fzDXcAAqKOj.jpg")</f>
        <v>https://pbs.twimg.com/media/Esq4fzDXcAAqKOj.jpg</v>
      </c>
      <c r="W119" s="82">
        <v>44222.66983796296</v>
      </c>
      <c r="X119" s="86">
        <v>44222</v>
      </c>
      <c r="Y119" s="88" t="s">
        <v>576</v>
      </c>
      <c r="Z119" s="84" t="str">
        <f>HYPERLINK("https://twitter.com/stazanuel/status/1354097912154890246")</f>
        <v>https://twitter.com/stazanuel/status/1354097912154890246</v>
      </c>
      <c r="AA119" s="80"/>
      <c r="AB119" s="80"/>
      <c r="AC119" s="88" t="s">
        <v>727</v>
      </c>
      <c r="AD119" s="80"/>
      <c r="AE119" s="80" t="b">
        <v>0</v>
      </c>
      <c r="AF119" s="80">
        <v>0</v>
      </c>
      <c r="AG119" s="88" t="s">
        <v>763</v>
      </c>
      <c r="AH119" s="80" t="b">
        <v>0</v>
      </c>
      <c r="AI119" s="80" t="s">
        <v>764</v>
      </c>
      <c r="AJ119" s="80"/>
      <c r="AK119" s="88" t="s">
        <v>763</v>
      </c>
      <c r="AL119" s="80" t="b">
        <v>0</v>
      </c>
      <c r="AM119" s="80">
        <v>2</v>
      </c>
      <c r="AN119" s="88" t="s">
        <v>730</v>
      </c>
      <c r="AO119" s="80" t="s">
        <v>766</v>
      </c>
      <c r="AP119" s="80" t="b">
        <v>0</v>
      </c>
      <c r="AQ119" s="88" t="s">
        <v>730</v>
      </c>
      <c r="AR119" s="80" t="s">
        <v>197</v>
      </c>
      <c r="AS119" s="80">
        <v>0</v>
      </c>
      <c r="AT119" s="80">
        <v>0</v>
      </c>
      <c r="AU119" s="80"/>
      <c r="AV119" s="80"/>
      <c r="AW119" s="80"/>
      <c r="AX119" s="80"/>
      <c r="AY119" s="80"/>
      <c r="AZ119" s="80"/>
      <c r="BA119" s="80"/>
      <c r="BB119" s="80"/>
      <c r="BC119">
        <v>1</v>
      </c>
      <c r="BD119" s="79" t="str">
        <f>REPLACE(INDEX(GroupVertices[Group],MATCH(Edges25[[#This Row],[Vertex 1]],GroupVertices[Vertex],0)),1,1,"")</f>
        <v>2</v>
      </c>
      <c r="BE119" s="79" t="str">
        <f>REPLACE(INDEX(GroupVertices[Group],MATCH(Edges25[[#This Row],[Vertex 2]],GroupVertices[Vertex],0)),1,1,"")</f>
        <v>2</v>
      </c>
      <c r="BF119" s="49"/>
      <c r="BG119" s="50"/>
      <c r="BH119" s="49"/>
      <c r="BI119" s="50"/>
      <c r="BJ119" s="49"/>
      <c r="BK119" s="50"/>
      <c r="BL119" s="49"/>
      <c r="BM119" s="50"/>
      <c r="BN119" s="49"/>
    </row>
    <row r="120" spans="1:66" ht="15">
      <c r="A120" s="65" t="s">
        <v>271</v>
      </c>
      <c r="B120" s="65" t="s">
        <v>294</v>
      </c>
      <c r="C120" s="66"/>
      <c r="D120" s="67"/>
      <c r="E120" s="66"/>
      <c r="F120" s="69"/>
      <c r="G120" s="66"/>
      <c r="H120" s="70"/>
      <c r="I120" s="71"/>
      <c r="J120" s="71"/>
      <c r="K120" s="35" t="s">
        <v>66</v>
      </c>
      <c r="L120" s="72">
        <v>207</v>
      </c>
      <c r="M120" s="72"/>
      <c r="N120" s="73"/>
      <c r="O120" s="80" t="s">
        <v>353</v>
      </c>
      <c r="P120" s="82">
        <v>44215.490324074075</v>
      </c>
      <c r="Q120" s="80" t="s">
        <v>399</v>
      </c>
      <c r="R120" s="84" t="str">
        <f>HYPERLINK("https://www.tiess.online/registration?utm_source=SM&amp;utm_medium=Rashef&amp;utm_campaign=TIESS&amp;utm_term=020")</f>
        <v>https://www.tiess.online/registration?utm_source=SM&amp;utm_medium=Rashef&amp;utm_campaign=TIESS&amp;utm_term=020</v>
      </c>
      <c r="S120" s="80" t="s">
        <v>444</v>
      </c>
      <c r="T120" s="80" t="s">
        <v>450</v>
      </c>
      <c r="U120" s="84" t="str">
        <f>HYPERLINK("https://pbs.twimg.com/media/EsF6A6rU0AAESdA.jpg")</f>
        <v>https://pbs.twimg.com/media/EsF6A6rU0AAESdA.jpg</v>
      </c>
      <c r="V120" s="84" t="str">
        <f>HYPERLINK("https://pbs.twimg.com/media/EsF6A6rU0AAESdA.jpg")</f>
        <v>https://pbs.twimg.com/media/EsF6A6rU0AAESdA.jpg</v>
      </c>
      <c r="W120" s="82">
        <v>44215.490324074075</v>
      </c>
      <c r="X120" s="86">
        <v>44215</v>
      </c>
      <c r="Y120" s="88" t="s">
        <v>577</v>
      </c>
      <c r="Z120" s="84" t="str">
        <f>HYPERLINK("https://twitter.com/indiadidac/status/1351496140764504065")</f>
        <v>https://twitter.com/indiadidac/status/1351496140764504065</v>
      </c>
      <c r="AA120" s="80"/>
      <c r="AB120" s="80"/>
      <c r="AC120" s="88" t="s">
        <v>728</v>
      </c>
      <c r="AD120" s="80"/>
      <c r="AE120" s="80" t="b">
        <v>0</v>
      </c>
      <c r="AF120" s="80">
        <v>7</v>
      </c>
      <c r="AG120" s="88" t="s">
        <v>763</v>
      </c>
      <c r="AH120" s="80" t="b">
        <v>0</v>
      </c>
      <c r="AI120" s="80" t="s">
        <v>764</v>
      </c>
      <c r="AJ120" s="80"/>
      <c r="AK120" s="88" t="s">
        <v>763</v>
      </c>
      <c r="AL120" s="80" t="b">
        <v>0</v>
      </c>
      <c r="AM120" s="80">
        <v>2</v>
      </c>
      <c r="AN120" s="88" t="s">
        <v>763</v>
      </c>
      <c r="AO120" s="80" t="s">
        <v>765</v>
      </c>
      <c r="AP120" s="80" t="b">
        <v>0</v>
      </c>
      <c r="AQ120" s="88" t="s">
        <v>728</v>
      </c>
      <c r="AR120" s="80" t="s">
        <v>197</v>
      </c>
      <c r="AS120" s="80">
        <v>0</v>
      </c>
      <c r="AT120" s="80">
        <v>0</v>
      </c>
      <c r="AU120" s="80"/>
      <c r="AV120" s="80"/>
      <c r="AW120" s="80"/>
      <c r="AX120" s="80"/>
      <c r="AY120" s="80"/>
      <c r="AZ120" s="80"/>
      <c r="BA120" s="80"/>
      <c r="BB120" s="80"/>
      <c r="BC120">
        <v>1</v>
      </c>
      <c r="BD120" s="79" t="str">
        <f>REPLACE(INDEX(GroupVertices[Group],MATCH(Edges25[[#This Row],[Vertex 1]],GroupVertices[Vertex],0)),1,1,"")</f>
        <v>1</v>
      </c>
      <c r="BE120" s="79" t="str">
        <f>REPLACE(INDEX(GroupVertices[Group],MATCH(Edges25[[#This Row],[Vertex 2]],GroupVertices[Vertex],0)),1,1,"")</f>
        <v>2</v>
      </c>
      <c r="BF120" s="49"/>
      <c r="BG120" s="50"/>
      <c r="BH120" s="49"/>
      <c r="BI120" s="50"/>
      <c r="BJ120" s="49"/>
      <c r="BK120" s="50"/>
      <c r="BL120" s="49"/>
      <c r="BM120" s="50"/>
      <c r="BN120" s="49"/>
    </row>
    <row r="121" spans="1:66" ht="15">
      <c r="A121" s="65" t="s">
        <v>294</v>
      </c>
      <c r="B121" s="65" t="s">
        <v>292</v>
      </c>
      <c r="C121" s="66"/>
      <c r="D121" s="67"/>
      <c r="E121" s="66"/>
      <c r="F121" s="69"/>
      <c r="G121" s="66"/>
      <c r="H121" s="70"/>
      <c r="I121" s="71"/>
      <c r="J121" s="71"/>
      <c r="K121" s="35" t="s">
        <v>65</v>
      </c>
      <c r="L121" s="72">
        <v>208</v>
      </c>
      <c r="M121" s="72"/>
      <c r="N121" s="73"/>
      <c r="O121" s="80" t="s">
        <v>352</v>
      </c>
      <c r="P121" s="82">
        <v>44215.522511574076</v>
      </c>
      <c r="Q121" s="80" t="s">
        <v>399</v>
      </c>
      <c r="R121" s="84" t="str">
        <f>HYPERLINK("https://www.tiess.online/registration?utm_source=SM&amp;utm_medium=Rashef&amp;utm_campaign=TIESS&amp;utm_term=020")</f>
        <v>https://www.tiess.online/registration?utm_source=SM&amp;utm_medium=Rashef&amp;utm_campaign=TIESS&amp;utm_term=020</v>
      </c>
      <c r="S121" s="80" t="s">
        <v>444</v>
      </c>
      <c r="T121" s="80" t="s">
        <v>450</v>
      </c>
      <c r="U121" s="84" t="str">
        <f>HYPERLINK("https://pbs.twimg.com/media/EsF6A6rU0AAESdA.jpg")</f>
        <v>https://pbs.twimg.com/media/EsF6A6rU0AAESdA.jpg</v>
      </c>
      <c r="V121" s="84" t="str">
        <f>HYPERLINK("https://pbs.twimg.com/media/EsF6A6rU0AAESdA.jpg")</f>
        <v>https://pbs.twimg.com/media/EsF6A6rU0AAESdA.jpg</v>
      </c>
      <c r="W121" s="82">
        <v>44215.522511574076</v>
      </c>
      <c r="X121" s="86">
        <v>44215</v>
      </c>
      <c r="Y121" s="88" t="s">
        <v>578</v>
      </c>
      <c r="Z121" s="84" t="str">
        <f>HYPERLINK("https://twitter.com/uopeople/status/1351507806915096578")</f>
        <v>https://twitter.com/uopeople/status/1351507806915096578</v>
      </c>
      <c r="AA121" s="80"/>
      <c r="AB121" s="80"/>
      <c r="AC121" s="88" t="s">
        <v>729</v>
      </c>
      <c r="AD121" s="80"/>
      <c r="AE121" s="80" t="b">
        <v>0</v>
      </c>
      <c r="AF121" s="80">
        <v>0</v>
      </c>
      <c r="AG121" s="88" t="s">
        <v>763</v>
      </c>
      <c r="AH121" s="80" t="b">
        <v>0</v>
      </c>
      <c r="AI121" s="80" t="s">
        <v>764</v>
      </c>
      <c r="AJ121" s="80"/>
      <c r="AK121" s="88" t="s">
        <v>763</v>
      </c>
      <c r="AL121" s="80" t="b">
        <v>0</v>
      </c>
      <c r="AM121" s="80">
        <v>2</v>
      </c>
      <c r="AN121" s="88" t="s">
        <v>728</v>
      </c>
      <c r="AO121" s="80" t="s">
        <v>765</v>
      </c>
      <c r="AP121" s="80" t="b">
        <v>0</v>
      </c>
      <c r="AQ121" s="88" t="s">
        <v>728</v>
      </c>
      <c r="AR121" s="80" t="s">
        <v>197</v>
      </c>
      <c r="AS121" s="80">
        <v>0</v>
      </c>
      <c r="AT121" s="80">
        <v>0</v>
      </c>
      <c r="AU121" s="80"/>
      <c r="AV121" s="80"/>
      <c r="AW121" s="80"/>
      <c r="AX121" s="80"/>
      <c r="AY121" s="80"/>
      <c r="AZ121" s="80"/>
      <c r="BA121" s="80"/>
      <c r="BB121" s="80"/>
      <c r="BC121">
        <v>1</v>
      </c>
      <c r="BD121" s="79" t="str">
        <f>REPLACE(INDEX(GroupVertices[Group],MATCH(Edges25[[#This Row],[Vertex 1]],GroupVertices[Vertex],0)),1,1,"")</f>
        <v>2</v>
      </c>
      <c r="BE121" s="79" t="str">
        <f>REPLACE(INDEX(GroupVertices[Group],MATCH(Edges25[[#This Row],[Vertex 2]],GroupVertices[Vertex],0)),1,1,"")</f>
        <v>2</v>
      </c>
      <c r="BF121" s="49">
        <v>2</v>
      </c>
      <c r="BG121" s="50">
        <v>6.896551724137931</v>
      </c>
      <c r="BH121" s="49">
        <v>0</v>
      </c>
      <c r="BI121" s="50">
        <v>0</v>
      </c>
      <c r="BJ121" s="49">
        <v>0</v>
      </c>
      <c r="BK121" s="50">
        <v>0</v>
      </c>
      <c r="BL121" s="49">
        <v>27</v>
      </c>
      <c r="BM121" s="50">
        <v>93.10344827586206</v>
      </c>
      <c r="BN121" s="49">
        <v>29</v>
      </c>
    </row>
    <row r="122" spans="1:66" ht="15">
      <c r="A122" s="65" t="s">
        <v>294</v>
      </c>
      <c r="B122" s="65" t="s">
        <v>292</v>
      </c>
      <c r="C122" s="66"/>
      <c r="D122" s="67"/>
      <c r="E122" s="66"/>
      <c r="F122" s="69"/>
      <c r="G122" s="66"/>
      <c r="H122" s="70"/>
      <c r="I122" s="71"/>
      <c r="J122" s="71"/>
      <c r="K122" s="35" t="s">
        <v>65</v>
      </c>
      <c r="L122" s="72">
        <v>210</v>
      </c>
      <c r="M122" s="72"/>
      <c r="N122" s="73"/>
      <c r="O122" s="80" t="s">
        <v>353</v>
      </c>
      <c r="P122" s="82">
        <v>44222.668703703705</v>
      </c>
      <c r="Q122" s="80" t="s">
        <v>418</v>
      </c>
      <c r="R122" s="84" t="str">
        <f>HYPERLINK("https://bit.ly/3oTtvE6")</f>
        <v>https://bit.ly/3oTtvE6</v>
      </c>
      <c r="S122" s="80" t="s">
        <v>448</v>
      </c>
      <c r="T122" s="80" t="s">
        <v>459</v>
      </c>
      <c r="U122" s="84" t="str">
        <f>HYPERLINK("https://pbs.twimg.com/media/Esq4fzDXcAAqKOj.jpg")</f>
        <v>https://pbs.twimg.com/media/Esq4fzDXcAAqKOj.jpg</v>
      </c>
      <c r="V122" s="84" t="str">
        <f>HYPERLINK("https://pbs.twimg.com/media/Esq4fzDXcAAqKOj.jpg")</f>
        <v>https://pbs.twimg.com/media/Esq4fzDXcAAqKOj.jpg</v>
      </c>
      <c r="W122" s="82">
        <v>44222.668703703705</v>
      </c>
      <c r="X122" s="86">
        <v>44222</v>
      </c>
      <c r="Y122" s="88" t="s">
        <v>579</v>
      </c>
      <c r="Z122" s="84" t="str">
        <f>HYPERLINK("https://twitter.com/uopeople/status/1354097498713939968")</f>
        <v>https://twitter.com/uopeople/status/1354097498713939968</v>
      </c>
      <c r="AA122" s="80"/>
      <c r="AB122" s="80"/>
      <c r="AC122" s="88" t="s">
        <v>730</v>
      </c>
      <c r="AD122" s="80"/>
      <c r="AE122" s="80" t="b">
        <v>0</v>
      </c>
      <c r="AF122" s="80">
        <v>8</v>
      </c>
      <c r="AG122" s="88" t="s">
        <v>763</v>
      </c>
      <c r="AH122" s="80" t="b">
        <v>0</v>
      </c>
      <c r="AI122" s="80" t="s">
        <v>764</v>
      </c>
      <c r="AJ122" s="80"/>
      <c r="AK122" s="88" t="s">
        <v>763</v>
      </c>
      <c r="AL122" s="80" t="b">
        <v>0</v>
      </c>
      <c r="AM122" s="80">
        <v>2</v>
      </c>
      <c r="AN122" s="88" t="s">
        <v>763</v>
      </c>
      <c r="AO122" s="80" t="s">
        <v>769</v>
      </c>
      <c r="AP122" s="80" t="b">
        <v>0</v>
      </c>
      <c r="AQ122" s="88" t="s">
        <v>730</v>
      </c>
      <c r="AR122" s="80" t="s">
        <v>197</v>
      </c>
      <c r="AS122" s="80">
        <v>0</v>
      </c>
      <c r="AT122" s="80">
        <v>0</v>
      </c>
      <c r="AU122" s="80"/>
      <c r="AV122" s="80"/>
      <c r="AW122" s="80"/>
      <c r="AX122" s="80"/>
      <c r="AY122" s="80"/>
      <c r="AZ122" s="80"/>
      <c r="BA122" s="80"/>
      <c r="BB122" s="80"/>
      <c r="BC122">
        <v>1</v>
      </c>
      <c r="BD122" s="79" t="str">
        <f>REPLACE(INDEX(GroupVertices[Group],MATCH(Edges25[[#This Row],[Vertex 1]],GroupVertices[Vertex],0)),1,1,"")</f>
        <v>2</v>
      </c>
      <c r="BE122" s="79" t="str">
        <f>REPLACE(INDEX(GroupVertices[Group],MATCH(Edges25[[#This Row],[Vertex 2]],GroupVertices[Vertex],0)),1,1,"")</f>
        <v>2</v>
      </c>
      <c r="BF122" s="49">
        <v>0</v>
      </c>
      <c r="BG122" s="50">
        <v>0</v>
      </c>
      <c r="BH122" s="49">
        <v>0</v>
      </c>
      <c r="BI122" s="50">
        <v>0</v>
      </c>
      <c r="BJ122" s="49">
        <v>0</v>
      </c>
      <c r="BK122" s="50">
        <v>0</v>
      </c>
      <c r="BL122" s="49">
        <v>27</v>
      </c>
      <c r="BM122" s="50">
        <v>100</v>
      </c>
      <c r="BN122" s="49">
        <v>27</v>
      </c>
    </row>
    <row r="123" spans="1:66" ht="15">
      <c r="A123" s="65" t="s">
        <v>295</v>
      </c>
      <c r="B123" s="65" t="s">
        <v>294</v>
      </c>
      <c r="C123" s="66"/>
      <c r="D123" s="67"/>
      <c r="E123" s="66"/>
      <c r="F123" s="69"/>
      <c r="G123" s="66"/>
      <c r="H123" s="70"/>
      <c r="I123" s="71"/>
      <c r="J123" s="71"/>
      <c r="K123" s="35" t="s">
        <v>65</v>
      </c>
      <c r="L123" s="72">
        <v>211</v>
      </c>
      <c r="M123" s="72"/>
      <c r="N123" s="73"/>
      <c r="O123" s="80" t="s">
        <v>351</v>
      </c>
      <c r="P123" s="82">
        <v>44222.679027777776</v>
      </c>
      <c r="Q123" s="80" t="s">
        <v>418</v>
      </c>
      <c r="R123" s="84" t="str">
        <f>HYPERLINK("https://bit.ly/3oTtvE6")</f>
        <v>https://bit.ly/3oTtvE6</v>
      </c>
      <c r="S123" s="80" t="s">
        <v>448</v>
      </c>
      <c r="T123" s="80" t="s">
        <v>459</v>
      </c>
      <c r="U123" s="84" t="str">
        <f>HYPERLINK("https://pbs.twimg.com/media/Esq4fzDXcAAqKOj.jpg")</f>
        <v>https://pbs.twimg.com/media/Esq4fzDXcAAqKOj.jpg</v>
      </c>
      <c r="V123" s="84" t="str">
        <f>HYPERLINK("https://pbs.twimg.com/media/Esq4fzDXcAAqKOj.jpg")</f>
        <v>https://pbs.twimg.com/media/Esq4fzDXcAAqKOj.jpg</v>
      </c>
      <c r="W123" s="82">
        <v>44222.679027777776</v>
      </c>
      <c r="X123" s="86">
        <v>44222</v>
      </c>
      <c r="Y123" s="88" t="s">
        <v>580</v>
      </c>
      <c r="Z123" s="84" t="str">
        <f>HYPERLINK("https://twitter.com/yinkaadeosun/status/1354101241673084930")</f>
        <v>https://twitter.com/yinkaadeosun/status/1354101241673084930</v>
      </c>
      <c r="AA123" s="80"/>
      <c r="AB123" s="80"/>
      <c r="AC123" s="88" t="s">
        <v>731</v>
      </c>
      <c r="AD123" s="80"/>
      <c r="AE123" s="80" t="b">
        <v>0</v>
      </c>
      <c r="AF123" s="80">
        <v>0</v>
      </c>
      <c r="AG123" s="88" t="s">
        <v>763</v>
      </c>
      <c r="AH123" s="80" t="b">
        <v>0</v>
      </c>
      <c r="AI123" s="80" t="s">
        <v>764</v>
      </c>
      <c r="AJ123" s="80"/>
      <c r="AK123" s="88" t="s">
        <v>763</v>
      </c>
      <c r="AL123" s="80" t="b">
        <v>0</v>
      </c>
      <c r="AM123" s="80">
        <v>2</v>
      </c>
      <c r="AN123" s="88" t="s">
        <v>730</v>
      </c>
      <c r="AO123" s="80" t="s">
        <v>766</v>
      </c>
      <c r="AP123" s="80" t="b">
        <v>0</v>
      </c>
      <c r="AQ123" s="88" t="s">
        <v>730</v>
      </c>
      <c r="AR123" s="80" t="s">
        <v>197</v>
      </c>
      <c r="AS123" s="80">
        <v>0</v>
      </c>
      <c r="AT123" s="80">
        <v>0</v>
      </c>
      <c r="AU123" s="80"/>
      <c r="AV123" s="80"/>
      <c r="AW123" s="80"/>
      <c r="AX123" s="80"/>
      <c r="AY123" s="80"/>
      <c r="AZ123" s="80"/>
      <c r="BA123" s="80"/>
      <c r="BB123" s="80"/>
      <c r="BC123">
        <v>1</v>
      </c>
      <c r="BD123" s="79" t="str">
        <f>REPLACE(INDEX(GroupVertices[Group],MATCH(Edges25[[#This Row],[Vertex 1]],GroupVertices[Vertex],0)),1,1,"")</f>
        <v>2</v>
      </c>
      <c r="BE123" s="79" t="str">
        <f>REPLACE(INDEX(GroupVertices[Group],MATCH(Edges25[[#This Row],[Vertex 2]],GroupVertices[Vertex],0)),1,1,"")</f>
        <v>2</v>
      </c>
      <c r="BF123" s="49"/>
      <c r="BG123" s="50"/>
      <c r="BH123" s="49"/>
      <c r="BI123" s="50"/>
      <c r="BJ123" s="49"/>
      <c r="BK123" s="50"/>
      <c r="BL123" s="49"/>
      <c r="BM123" s="50"/>
      <c r="BN123" s="49"/>
    </row>
    <row r="124" spans="1:66" ht="15">
      <c r="A124" s="65" t="s">
        <v>296</v>
      </c>
      <c r="B124" s="65" t="s">
        <v>298</v>
      </c>
      <c r="C124" s="66"/>
      <c r="D124" s="67"/>
      <c r="E124" s="66"/>
      <c r="F124" s="69"/>
      <c r="G124" s="66"/>
      <c r="H124" s="70"/>
      <c r="I124" s="71"/>
      <c r="J124" s="71"/>
      <c r="K124" s="35" t="s">
        <v>65</v>
      </c>
      <c r="L124" s="72">
        <v>213</v>
      </c>
      <c r="M124" s="72"/>
      <c r="N124" s="73"/>
      <c r="O124" s="80" t="s">
        <v>351</v>
      </c>
      <c r="P124" s="82">
        <v>44222.88438657407</v>
      </c>
      <c r="Q124" s="80" t="s">
        <v>419</v>
      </c>
      <c r="R124" s="80"/>
      <c r="S124" s="80"/>
      <c r="T124" s="80" t="s">
        <v>451</v>
      </c>
      <c r="U124" s="84" t="str">
        <f>HYPERLINK("https://pbs.twimg.com/media/Esr9_d8XAAYPmIq.jpg")</f>
        <v>https://pbs.twimg.com/media/Esr9_d8XAAYPmIq.jpg</v>
      </c>
      <c r="V124" s="84" t="str">
        <f>HYPERLINK("https://pbs.twimg.com/media/Esr9_d8XAAYPmIq.jpg")</f>
        <v>https://pbs.twimg.com/media/Esr9_d8XAAYPmIq.jpg</v>
      </c>
      <c r="W124" s="82">
        <v>44222.88438657407</v>
      </c>
      <c r="X124" s="86">
        <v>44222</v>
      </c>
      <c r="Y124" s="88" t="s">
        <v>581</v>
      </c>
      <c r="Z124" s="84" t="str">
        <f>HYPERLINK("https://twitter.com/davidbartram_/status/1354175658981777413")</f>
        <v>https://twitter.com/davidbartram_/status/1354175658981777413</v>
      </c>
      <c r="AA124" s="80"/>
      <c r="AB124" s="80"/>
      <c r="AC124" s="88" t="s">
        <v>732</v>
      </c>
      <c r="AD124" s="80"/>
      <c r="AE124" s="80" t="b">
        <v>0</v>
      </c>
      <c r="AF124" s="80">
        <v>0</v>
      </c>
      <c r="AG124" s="88" t="s">
        <v>763</v>
      </c>
      <c r="AH124" s="80" t="b">
        <v>0</v>
      </c>
      <c r="AI124" s="80" t="s">
        <v>764</v>
      </c>
      <c r="AJ124" s="80"/>
      <c r="AK124" s="88" t="s">
        <v>763</v>
      </c>
      <c r="AL124" s="80" t="b">
        <v>0</v>
      </c>
      <c r="AM124" s="80">
        <v>3</v>
      </c>
      <c r="AN124" s="88" t="s">
        <v>734</v>
      </c>
      <c r="AO124" s="80" t="s">
        <v>767</v>
      </c>
      <c r="AP124" s="80" t="b">
        <v>0</v>
      </c>
      <c r="AQ124" s="88" t="s">
        <v>734</v>
      </c>
      <c r="AR124" s="80" t="s">
        <v>197</v>
      </c>
      <c r="AS124" s="80">
        <v>0</v>
      </c>
      <c r="AT124" s="80">
        <v>0</v>
      </c>
      <c r="AU124" s="80"/>
      <c r="AV124" s="80"/>
      <c r="AW124" s="80"/>
      <c r="AX124" s="80"/>
      <c r="AY124" s="80"/>
      <c r="AZ124" s="80"/>
      <c r="BA124" s="80"/>
      <c r="BB124" s="80"/>
      <c r="BC124">
        <v>1</v>
      </c>
      <c r="BD124" s="79" t="str">
        <f>REPLACE(INDEX(GroupVertices[Group],MATCH(Edges25[[#This Row],[Vertex 1]],GroupVertices[Vertex],0)),1,1,"")</f>
        <v>7</v>
      </c>
      <c r="BE124" s="79" t="str">
        <f>REPLACE(INDEX(GroupVertices[Group],MATCH(Edges25[[#This Row],[Vertex 2]],GroupVertices[Vertex],0)),1,1,"")</f>
        <v>7</v>
      </c>
      <c r="BF124" s="49">
        <v>2</v>
      </c>
      <c r="BG124" s="50">
        <v>5.714285714285714</v>
      </c>
      <c r="BH124" s="49">
        <v>0</v>
      </c>
      <c r="BI124" s="50">
        <v>0</v>
      </c>
      <c r="BJ124" s="49">
        <v>0</v>
      </c>
      <c r="BK124" s="50">
        <v>0</v>
      </c>
      <c r="BL124" s="49">
        <v>33</v>
      </c>
      <c r="BM124" s="50">
        <v>94.28571428571429</v>
      </c>
      <c r="BN124" s="49">
        <v>35</v>
      </c>
    </row>
    <row r="125" spans="1:66" ht="15">
      <c r="A125" s="65" t="s">
        <v>297</v>
      </c>
      <c r="B125" s="65" t="s">
        <v>298</v>
      </c>
      <c r="C125" s="66"/>
      <c r="D125" s="67"/>
      <c r="E125" s="66"/>
      <c r="F125" s="69"/>
      <c r="G125" s="66"/>
      <c r="H125" s="70"/>
      <c r="I125" s="71"/>
      <c r="J125" s="71"/>
      <c r="K125" s="35" t="s">
        <v>65</v>
      </c>
      <c r="L125" s="72">
        <v>214</v>
      </c>
      <c r="M125" s="72"/>
      <c r="N125" s="73"/>
      <c r="O125" s="80" t="s">
        <v>351</v>
      </c>
      <c r="P125" s="82">
        <v>44222.88574074074</v>
      </c>
      <c r="Q125" s="80" t="s">
        <v>419</v>
      </c>
      <c r="R125" s="80"/>
      <c r="S125" s="80"/>
      <c r="T125" s="80" t="s">
        <v>451</v>
      </c>
      <c r="U125" s="84" t="str">
        <f>HYPERLINK("https://pbs.twimg.com/media/Esr9_d8XAAYPmIq.jpg")</f>
        <v>https://pbs.twimg.com/media/Esr9_d8XAAYPmIq.jpg</v>
      </c>
      <c r="V125" s="84" t="str">
        <f>HYPERLINK("https://pbs.twimg.com/media/Esr9_d8XAAYPmIq.jpg")</f>
        <v>https://pbs.twimg.com/media/Esr9_d8XAAYPmIq.jpg</v>
      </c>
      <c r="W125" s="82">
        <v>44222.88574074074</v>
      </c>
      <c r="X125" s="86">
        <v>44222</v>
      </c>
      <c r="Y125" s="88" t="s">
        <v>582</v>
      </c>
      <c r="Z125" s="84" t="str">
        <f>HYPERLINK("https://twitter.com/creativehigg/status/1354176149665021956")</f>
        <v>https://twitter.com/creativehigg/status/1354176149665021956</v>
      </c>
      <c r="AA125" s="80"/>
      <c r="AB125" s="80"/>
      <c r="AC125" s="88" t="s">
        <v>733</v>
      </c>
      <c r="AD125" s="80"/>
      <c r="AE125" s="80" t="b">
        <v>0</v>
      </c>
      <c r="AF125" s="80">
        <v>0</v>
      </c>
      <c r="AG125" s="88" t="s">
        <v>763</v>
      </c>
      <c r="AH125" s="80" t="b">
        <v>0</v>
      </c>
      <c r="AI125" s="80" t="s">
        <v>764</v>
      </c>
      <c r="AJ125" s="80"/>
      <c r="AK125" s="88" t="s">
        <v>763</v>
      </c>
      <c r="AL125" s="80" t="b">
        <v>0</v>
      </c>
      <c r="AM125" s="80">
        <v>3</v>
      </c>
      <c r="AN125" s="88" t="s">
        <v>734</v>
      </c>
      <c r="AO125" s="80" t="s">
        <v>766</v>
      </c>
      <c r="AP125" s="80" t="b">
        <v>0</v>
      </c>
      <c r="AQ125" s="88" t="s">
        <v>734</v>
      </c>
      <c r="AR125" s="80" t="s">
        <v>197</v>
      </c>
      <c r="AS125" s="80">
        <v>0</v>
      </c>
      <c r="AT125" s="80">
        <v>0</v>
      </c>
      <c r="AU125" s="80"/>
      <c r="AV125" s="80"/>
      <c r="AW125" s="80"/>
      <c r="AX125" s="80"/>
      <c r="AY125" s="80"/>
      <c r="AZ125" s="80"/>
      <c r="BA125" s="80"/>
      <c r="BB125" s="80"/>
      <c r="BC125">
        <v>1</v>
      </c>
      <c r="BD125" s="79" t="str">
        <f>REPLACE(INDEX(GroupVertices[Group],MATCH(Edges25[[#This Row],[Vertex 1]],GroupVertices[Vertex],0)),1,1,"")</f>
        <v>7</v>
      </c>
      <c r="BE125" s="79" t="str">
        <f>REPLACE(INDEX(GroupVertices[Group],MATCH(Edges25[[#This Row],[Vertex 2]],GroupVertices[Vertex],0)),1,1,"")</f>
        <v>7</v>
      </c>
      <c r="BF125" s="49">
        <v>2</v>
      </c>
      <c r="BG125" s="50">
        <v>5.714285714285714</v>
      </c>
      <c r="BH125" s="49">
        <v>0</v>
      </c>
      <c r="BI125" s="50">
        <v>0</v>
      </c>
      <c r="BJ125" s="49">
        <v>0</v>
      </c>
      <c r="BK125" s="50">
        <v>0</v>
      </c>
      <c r="BL125" s="49">
        <v>33</v>
      </c>
      <c r="BM125" s="50">
        <v>94.28571428571429</v>
      </c>
      <c r="BN125" s="49">
        <v>35</v>
      </c>
    </row>
    <row r="126" spans="1:66" ht="15">
      <c r="A126" s="65" t="s">
        <v>298</v>
      </c>
      <c r="B126" s="65" t="s">
        <v>298</v>
      </c>
      <c r="C126" s="66"/>
      <c r="D126" s="67"/>
      <c r="E126" s="66"/>
      <c r="F126" s="69"/>
      <c r="G126" s="66"/>
      <c r="H126" s="70"/>
      <c r="I126" s="71"/>
      <c r="J126" s="71"/>
      <c r="K126" s="35" t="s">
        <v>65</v>
      </c>
      <c r="L126" s="72">
        <v>215</v>
      </c>
      <c r="M126" s="72"/>
      <c r="N126" s="73"/>
      <c r="O126" s="80" t="s">
        <v>197</v>
      </c>
      <c r="P126" s="82">
        <v>44222.88209490741</v>
      </c>
      <c r="Q126" s="80" t="s">
        <v>419</v>
      </c>
      <c r="R126" s="80"/>
      <c r="S126" s="80"/>
      <c r="T126" s="80" t="s">
        <v>451</v>
      </c>
      <c r="U126" s="84" t="str">
        <f>HYPERLINK("https://pbs.twimg.com/media/Esr9_d8XAAYPmIq.jpg")</f>
        <v>https://pbs.twimg.com/media/Esr9_d8XAAYPmIq.jpg</v>
      </c>
      <c r="V126" s="84" t="str">
        <f>HYPERLINK("https://pbs.twimg.com/media/Esr9_d8XAAYPmIq.jpg")</f>
        <v>https://pbs.twimg.com/media/Esr9_d8XAAYPmIq.jpg</v>
      </c>
      <c r="W126" s="82">
        <v>44222.88209490741</v>
      </c>
      <c r="X126" s="86">
        <v>44222</v>
      </c>
      <c r="Y126" s="88" t="s">
        <v>583</v>
      </c>
      <c r="Z126" s="84" t="str">
        <f>HYPERLINK("https://twitter.com/susandouglas70/status/1354174831877623809")</f>
        <v>https://twitter.com/susandouglas70/status/1354174831877623809</v>
      </c>
      <c r="AA126" s="80"/>
      <c r="AB126" s="80"/>
      <c r="AC126" s="88" t="s">
        <v>734</v>
      </c>
      <c r="AD126" s="80"/>
      <c r="AE126" s="80" t="b">
        <v>0</v>
      </c>
      <c r="AF126" s="80">
        <v>8</v>
      </c>
      <c r="AG126" s="88" t="s">
        <v>763</v>
      </c>
      <c r="AH126" s="80" t="b">
        <v>0</v>
      </c>
      <c r="AI126" s="80" t="s">
        <v>764</v>
      </c>
      <c r="AJ126" s="80"/>
      <c r="AK126" s="88" t="s">
        <v>763</v>
      </c>
      <c r="AL126" s="80" t="b">
        <v>0</v>
      </c>
      <c r="AM126" s="80">
        <v>3</v>
      </c>
      <c r="AN126" s="88" t="s">
        <v>763</v>
      </c>
      <c r="AO126" s="80" t="s">
        <v>765</v>
      </c>
      <c r="AP126" s="80" t="b">
        <v>0</v>
      </c>
      <c r="AQ126" s="88" t="s">
        <v>734</v>
      </c>
      <c r="AR126" s="80" t="s">
        <v>197</v>
      </c>
      <c r="AS126" s="80">
        <v>0</v>
      </c>
      <c r="AT126" s="80">
        <v>0</v>
      </c>
      <c r="AU126" s="80"/>
      <c r="AV126" s="80"/>
      <c r="AW126" s="80"/>
      <c r="AX126" s="80"/>
      <c r="AY126" s="80"/>
      <c r="AZ126" s="80"/>
      <c r="BA126" s="80"/>
      <c r="BB126" s="80"/>
      <c r="BC126">
        <v>1</v>
      </c>
      <c r="BD126" s="79" t="str">
        <f>REPLACE(INDEX(GroupVertices[Group],MATCH(Edges25[[#This Row],[Vertex 1]],GroupVertices[Vertex],0)),1,1,"")</f>
        <v>7</v>
      </c>
      <c r="BE126" s="79" t="str">
        <f>REPLACE(INDEX(GroupVertices[Group],MATCH(Edges25[[#This Row],[Vertex 2]],GroupVertices[Vertex],0)),1,1,"")</f>
        <v>7</v>
      </c>
      <c r="BF126" s="49">
        <v>2</v>
      </c>
      <c r="BG126" s="50">
        <v>5.714285714285714</v>
      </c>
      <c r="BH126" s="49">
        <v>0</v>
      </c>
      <c r="BI126" s="50">
        <v>0</v>
      </c>
      <c r="BJ126" s="49">
        <v>0</v>
      </c>
      <c r="BK126" s="50">
        <v>0</v>
      </c>
      <c r="BL126" s="49">
        <v>33</v>
      </c>
      <c r="BM126" s="50">
        <v>94.28571428571429</v>
      </c>
      <c r="BN126" s="49">
        <v>35</v>
      </c>
    </row>
    <row r="127" spans="1:66" ht="15">
      <c r="A127" s="65" t="s">
        <v>299</v>
      </c>
      <c r="B127" s="65" t="s">
        <v>298</v>
      </c>
      <c r="C127" s="66"/>
      <c r="D127" s="67"/>
      <c r="E127" s="66"/>
      <c r="F127" s="69"/>
      <c r="G127" s="66"/>
      <c r="H127" s="70"/>
      <c r="I127" s="71"/>
      <c r="J127" s="71"/>
      <c r="K127" s="35" t="s">
        <v>65</v>
      </c>
      <c r="L127" s="72">
        <v>216</v>
      </c>
      <c r="M127" s="72"/>
      <c r="N127" s="73"/>
      <c r="O127" s="80" t="s">
        <v>351</v>
      </c>
      <c r="P127" s="82">
        <v>44222.94532407408</v>
      </c>
      <c r="Q127" s="80" t="s">
        <v>419</v>
      </c>
      <c r="R127" s="80"/>
      <c r="S127" s="80"/>
      <c r="T127" s="80" t="s">
        <v>451</v>
      </c>
      <c r="U127" s="84" t="str">
        <f>HYPERLINK("https://pbs.twimg.com/media/Esr9_d8XAAYPmIq.jpg")</f>
        <v>https://pbs.twimg.com/media/Esr9_d8XAAYPmIq.jpg</v>
      </c>
      <c r="V127" s="84" t="str">
        <f>HYPERLINK("https://pbs.twimg.com/media/Esr9_d8XAAYPmIq.jpg")</f>
        <v>https://pbs.twimg.com/media/Esr9_d8XAAYPmIq.jpg</v>
      </c>
      <c r="W127" s="82">
        <v>44222.94532407408</v>
      </c>
      <c r="X127" s="86">
        <v>44222</v>
      </c>
      <c r="Y127" s="88" t="s">
        <v>584</v>
      </c>
      <c r="Z127" s="84" t="str">
        <f>HYPERLINK("https://twitter.com/olgatoulk/status/1354197742827012098")</f>
        <v>https://twitter.com/olgatoulk/status/1354197742827012098</v>
      </c>
      <c r="AA127" s="80"/>
      <c r="AB127" s="80"/>
      <c r="AC127" s="88" t="s">
        <v>735</v>
      </c>
      <c r="AD127" s="80"/>
      <c r="AE127" s="80" t="b">
        <v>0</v>
      </c>
      <c r="AF127" s="80">
        <v>0</v>
      </c>
      <c r="AG127" s="88" t="s">
        <v>763</v>
      </c>
      <c r="AH127" s="80" t="b">
        <v>0</v>
      </c>
      <c r="AI127" s="80" t="s">
        <v>764</v>
      </c>
      <c r="AJ127" s="80"/>
      <c r="AK127" s="88" t="s">
        <v>763</v>
      </c>
      <c r="AL127" s="80" t="b">
        <v>0</v>
      </c>
      <c r="AM127" s="80">
        <v>3</v>
      </c>
      <c r="AN127" s="88" t="s">
        <v>734</v>
      </c>
      <c r="AO127" s="80" t="s">
        <v>766</v>
      </c>
      <c r="AP127" s="80" t="b">
        <v>0</v>
      </c>
      <c r="AQ127" s="88" t="s">
        <v>734</v>
      </c>
      <c r="AR127" s="80" t="s">
        <v>197</v>
      </c>
      <c r="AS127" s="80">
        <v>0</v>
      </c>
      <c r="AT127" s="80">
        <v>0</v>
      </c>
      <c r="AU127" s="80"/>
      <c r="AV127" s="80"/>
      <c r="AW127" s="80"/>
      <c r="AX127" s="80"/>
      <c r="AY127" s="80"/>
      <c r="AZ127" s="80"/>
      <c r="BA127" s="80"/>
      <c r="BB127" s="80"/>
      <c r="BC127">
        <v>1</v>
      </c>
      <c r="BD127" s="79" t="str">
        <f>REPLACE(INDEX(GroupVertices[Group],MATCH(Edges25[[#This Row],[Vertex 1]],GroupVertices[Vertex],0)),1,1,"")</f>
        <v>7</v>
      </c>
      <c r="BE127" s="79" t="str">
        <f>REPLACE(INDEX(GroupVertices[Group],MATCH(Edges25[[#This Row],[Vertex 2]],GroupVertices[Vertex],0)),1,1,"")</f>
        <v>7</v>
      </c>
      <c r="BF127" s="49">
        <v>2</v>
      </c>
      <c r="BG127" s="50">
        <v>5.714285714285714</v>
      </c>
      <c r="BH127" s="49">
        <v>0</v>
      </c>
      <c r="BI127" s="50">
        <v>0</v>
      </c>
      <c r="BJ127" s="49">
        <v>0</v>
      </c>
      <c r="BK127" s="50">
        <v>0</v>
      </c>
      <c r="BL127" s="49">
        <v>33</v>
      </c>
      <c r="BM127" s="50">
        <v>94.28571428571429</v>
      </c>
      <c r="BN127" s="49">
        <v>35</v>
      </c>
    </row>
    <row r="128" spans="1:66" ht="15">
      <c r="A128" s="65" t="s">
        <v>271</v>
      </c>
      <c r="B128" s="65" t="s">
        <v>271</v>
      </c>
      <c r="C128" s="66"/>
      <c r="D128" s="67"/>
      <c r="E128" s="66"/>
      <c r="F128" s="69"/>
      <c r="G128" s="66"/>
      <c r="H128" s="70"/>
      <c r="I128" s="71"/>
      <c r="J128" s="71"/>
      <c r="K128" s="35" t="s">
        <v>65</v>
      </c>
      <c r="L128" s="72">
        <v>217</v>
      </c>
      <c r="M128" s="72"/>
      <c r="N128" s="73"/>
      <c r="O128" s="80" t="s">
        <v>197</v>
      </c>
      <c r="P128" s="82">
        <v>44215.38060185185</v>
      </c>
      <c r="Q128" s="80" t="s">
        <v>400</v>
      </c>
      <c r="R128" s="84" t="str">
        <f>HYPERLINK("https://www.tiess.online/registration?utm_source=Twitter&amp;utm_medium=IDA&amp;utm_campaign=TIESS&amp;utm_term=006")</f>
        <v>https://www.tiess.online/registration?utm_source=Twitter&amp;utm_medium=IDA&amp;utm_campaign=TIESS&amp;utm_term=006</v>
      </c>
      <c r="S128" s="80" t="s">
        <v>444</v>
      </c>
      <c r="T128" s="80" t="s">
        <v>449</v>
      </c>
      <c r="U128" s="84" t="str">
        <f>HYPERLINK("https://pbs.twimg.com/ext_tw_video_thumb/1351455582709051392/pu/img/HHqo-Y-cvh93oOF6.jpg")</f>
        <v>https://pbs.twimg.com/ext_tw_video_thumb/1351455582709051392/pu/img/HHqo-Y-cvh93oOF6.jpg</v>
      </c>
      <c r="V128" s="84" t="str">
        <f>HYPERLINK("https://pbs.twimg.com/ext_tw_video_thumb/1351455582709051392/pu/img/HHqo-Y-cvh93oOF6.jpg")</f>
        <v>https://pbs.twimg.com/ext_tw_video_thumb/1351455582709051392/pu/img/HHqo-Y-cvh93oOF6.jpg</v>
      </c>
      <c r="W128" s="82">
        <v>44215.38060185185</v>
      </c>
      <c r="X128" s="86">
        <v>44215</v>
      </c>
      <c r="Y128" s="88" t="s">
        <v>585</v>
      </c>
      <c r="Z128" s="84" t="str">
        <f>HYPERLINK("https://twitter.com/indiadidac/status/1351456379308036104")</f>
        <v>https://twitter.com/indiadidac/status/1351456379308036104</v>
      </c>
      <c r="AA128" s="80"/>
      <c r="AB128" s="80"/>
      <c r="AC128" s="88" t="s">
        <v>736</v>
      </c>
      <c r="AD128" s="80"/>
      <c r="AE128" s="80" t="b">
        <v>0</v>
      </c>
      <c r="AF128" s="80">
        <v>5</v>
      </c>
      <c r="AG128" s="88" t="s">
        <v>763</v>
      </c>
      <c r="AH128" s="80" t="b">
        <v>0</v>
      </c>
      <c r="AI128" s="80" t="s">
        <v>764</v>
      </c>
      <c r="AJ128" s="80"/>
      <c r="AK128" s="88" t="s">
        <v>763</v>
      </c>
      <c r="AL128" s="80" t="b">
        <v>0</v>
      </c>
      <c r="AM128" s="80">
        <v>1</v>
      </c>
      <c r="AN128" s="88" t="s">
        <v>763</v>
      </c>
      <c r="AO128" s="80" t="s">
        <v>768</v>
      </c>
      <c r="AP128" s="80" t="b">
        <v>0</v>
      </c>
      <c r="AQ128" s="88" t="s">
        <v>736</v>
      </c>
      <c r="AR128" s="80" t="s">
        <v>351</v>
      </c>
      <c r="AS128" s="80">
        <v>0</v>
      </c>
      <c r="AT128" s="80">
        <v>0</v>
      </c>
      <c r="AU128" s="80"/>
      <c r="AV128" s="80"/>
      <c r="AW128" s="80"/>
      <c r="AX128" s="80"/>
      <c r="AY128" s="80"/>
      <c r="AZ128" s="80"/>
      <c r="BA128" s="80"/>
      <c r="BB128" s="80"/>
      <c r="BC128">
        <v>20</v>
      </c>
      <c r="BD128" s="79" t="str">
        <f>REPLACE(INDEX(GroupVertices[Group],MATCH(Edges25[[#This Row],[Vertex 1]],GroupVertices[Vertex],0)),1,1,"")</f>
        <v>1</v>
      </c>
      <c r="BE128" s="79" t="str">
        <f>REPLACE(INDEX(GroupVertices[Group],MATCH(Edges25[[#This Row],[Vertex 2]],GroupVertices[Vertex],0)),1,1,"")</f>
        <v>1</v>
      </c>
      <c r="BF128" s="49">
        <v>1</v>
      </c>
      <c r="BG128" s="50">
        <v>2.857142857142857</v>
      </c>
      <c r="BH128" s="49">
        <v>0</v>
      </c>
      <c r="BI128" s="50">
        <v>0</v>
      </c>
      <c r="BJ128" s="49">
        <v>0</v>
      </c>
      <c r="BK128" s="50">
        <v>0</v>
      </c>
      <c r="BL128" s="49">
        <v>34</v>
      </c>
      <c r="BM128" s="50">
        <v>97.14285714285714</v>
      </c>
      <c r="BN128" s="49">
        <v>35</v>
      </c>
    </row>
    <row r="129" spans="1:66" ht="15">
      <c r="A129" s="65" t="s">
        <v>271</v>
      </c>
      <c r="B129" s="65" t="s">
        <v>271</v>
      </c>
      <c r="C129" s="66"/>
      <c r="D129" s="67"/>
      <c r="E129" s="66"/>
      <c r="F129" s="69"/>
      <c r="G129" s="66"/>
      <c r="H129" s="70"/>
      <c r="I129" s="71"/>
      <c r="J129" s="71"/>
      <c r="K129" s="35" t="s">
        <v>65</v>
      </c>
      <c r="L129" s="72">
        <v>218</v>
      </c>
      <c r="M129" s="72"/>
      <c r="N129" s="73"/>
      <c r="O129" s="80" t="s">
        <v>197</v>
      </c>
      <c r="P129" s="82">
        <v>44215.4884375</v>
      </c>
      <c r="Q129" s="80" t="s">
        <v>420</v>
      </c>
      <c r="R129" s="84" t="str">
        <f>HYPERLINK("https://www.tiess.online/registration?utm_source=SM&amp;utm_medium=Almazbek&amp;utm_campaign=TIESS&amp;utm_term=004")</f>
        <v>https://www.tiess.online/registration?utm_source=SM&amp;utm_medium=Almazbek&amp;utm_campaign=TIESS&amp;utm_term=004</v>
      </c>
      <c r="S129" s="80" t="s">
        <v>444</v>
      </c>
      <c r="T129" s="80" t="s">
        <v>450</v>
      </c>
      <c r="U129" s="84" t="str">
        <f>HYPERLINK("https://pbs.twimg.com/media/EsF5W_1VEAQaMhX.jpg")</f>
        <v>https://pbs.twimg.com/media/EsF5W_1VEAQaMhX.jpg</v>
      </c>
      <c r="V129" s="84" t="str">
        <f>HYPERLINK("https://pbs.twimg.com/media/EsF5W_1VEAQaMhX.jpg")</f>
        <v>https://pbs.twimg.com/media/EsF5W_1VEAQaMhX.jpg</v>
      </c>
      <c r="W129" s="82">
        <v>44215.4884375</v>
      </c>
      <c r="X129" s="86">
        <v>44215</v>
      </c>
      <c r="Y129" s="88" t="s">
        <v>586</v>
      </c>
      <c r="Z129" s="84" t="str">
        <f>HYPERLINK("https://twitter.com/indiadidac/status/1351495458422591491")</f>
        <v>https://twitter.com/indiadidac/status/1351495458422591491</v>
      </c>
      <c r="AA129" s="80"/>
      <c r="AB129" s="80"/>
      <c r="AC129" s="88" t="s">
        <v>737</v>
      </c>
      <c r="AD129" s="80"/>
      <c r="AE129" s="80" t="b">
        <v>0</v>
      </c>
      <c r="AF129" s="80">
        <v>4</v>
      </c>
      <c r="AG129" s="88" t="s">
        <v>763</v>
      </c>
      <c r="AH129" s="80" t="b">
        <v>0</v>
      </c>
      <c r="AI129" s="80" t="s">
        <v>764</v>
      </c>
      <c r="AJ129" s="80"/>
      <c r="AK129" s="88" t="s">
        <v>763</v>
      </c>
      <c r="AL129" s="80" t="b">
        <v>0</v>
      </c>
      <c r="AM129" s="80">
        <v>0</v>
      </c>
      <c r="AN129" s="88" t="s">
        <v>763</v>
      </c>
      <c r="AO129" s="80" t="s">
        <v>765</v>
      </c>
      <c r="AP129" s="80" t="b">
        <v>0</v>
      </c>
      <c r="AQ129" s="88" t="s">
        <v>737</v>
      </c>
      <c r="AR129" s="80" t="s">
        <v>197</v>
      </c>
      <c r="AS129" s="80">
        <v>0</v>
      </c>
      <c r="AT129" s="80">
        <v>0</v>
      </c>
      <c r="AU129" s="80"/>
      <c r="AV129" s="80"/>
      <c r="AW129" s="80"/>
      <c r="AX129" s="80"/>
      <c r="AY129" s="80"/>
      <c r="AZ129" s="80"/>
      <c r="BA129" s="80"/>
      <c r="BB129" s="80"/>
      <c r="BC129">
        <v>20</v>
      </c>
      <c r="BD129" s="79" t="str">
        <f>REPLACE(INDEX(GroupVertices[Group],MATCH(Edges25[[#This Row],[Vertex 1]],GroupVertices[Vertex],0)),1,1,"")</f>
        <v>1</v>
      </c>
      <c r="BE129" s="79" t="str">
        <f>REPLACE(INDEX(GroupVertices[Group],MATCH(Edges25[[#This Row],[Vertex 2]],GroupVertices[Vertex],0)),1,1,"")</f>
        <v>1</v>
      </c>
      <c r="BF129" s="49">
        <v>0</v>
      </c>
      <c r="BG129" s="50">
        <v>0</v>
      </c>
      <c r="BH129" s="49">
        <v>0</v>
      </c>
      <c r="BI129" s="50">
        <v>0</v>
      </c>
      <c r="BJ129" s="49">
        <v>0</v>
      </c>
      <c r="BK129" s="50">
        <v>0</v>
      </c>
      <c r="BL129" s="49">
        <v>23</v>
      </c>
      <c r="BM129" s="50">
        <v>100</v>
      </c>
      <c r="BN129" s="49">
        <v>23</v>
      </c>
    </row>
    <row r="130" spans="1:66" ht="15">
      <c r="A130" s="65" t="s">
        <v>271</v>
      </c>
      <c r="B130" s="65" t="s">
        <v>271</v>
      </c>
      <c r="C130" s="66"/>
      <c r="D130" s="67"/>
      <c r="E130" s="66"/>
      <c r="F130" s="69"/>
      <c r="G130" s="66"/>
      <c r="H130" s="70"/>
      <c r="I130" s="71"/>
      <c r="J130" s="71"/>
      <c r="K130" s="35" t="s">
        <v>65</v>
      </c>
      <c r="L130" s="72">
        <v>220</v>
      </c>
      <c r="M130" s="72"/>
      <c r="N130" s="73"/>
      <c r="O130" s="80" t="s">
        <v>197</v>
      </c>
      <c r="P130" s="82">
        <v>44218.24462962963</v>
      </c>
      <c r="Q130" s="80" t="s">
        <v>421</v>
      </c>
      <c r="R130" s="84" t="str">
        <f>HYPERLINK("https://www.tiess.online/registration?utm_source=Makau&amp;utm_medium=Email&amp;utm_campaign=TIESS&amp;utm_term=011")</f>
        <v>https://www.tiess.online/registration?utm_source=Makau&amp;utm_medium=Email&amp;utm_campaign=TIESS&amp;utm_term=011</v>
      </c>
      <c r="S130" s="80" t="s">
        <v>444</v>
      </c>
      <c r="T130" s="80" t="s">
        <v>450</v>
      </c>
      <c r="U130" s="84" t="str">
        <f>HYPERLINK("https://pbs.twimg.com/media/EsUGTaDUUAE-Kmu.jpg")</f>
        <v>https://pbs.twimg.com/media/EsUGTaDUUAE-Kmu.jpg</v>
      </c>
      <c r="V130" s="84" t="str">
        <f>HYPERLINK("https://pbs.twimg.com/media/EsUGTaDUUAE-Kmu.jpg")</f>
        <v>https://pbs.twimg.com/media/EsUGTaDUUAE-Kmu.jpg</v>
      </c>
      <c r="W130" s="82">
        <v>44218.24462962963</v>
      </c>
      <c r="X130" s="86">
        <v>44218</v>
      </c>
      <c r="Y130" s="88" t="s">
        <v>587</v>
      </c>
      <c r="Z130" s="84" t="str">
        <f>HYPERLINK("https://twitter.com/indiadidac/status/1352494269450207234")</f>
        <v>https://twitter.com/indiadidac/status/1352494269450207234</v>
      </c>
      <c r="AA130" s="80"/>
      <c r="AB130" s="80"/>
      <c r="AC130" s="88" t="s">
        <v>738</v>
      </c>
      <c r="AD130" s="80"/>
      <c r="AE130" s="80" t="b">
        <v>0</v>
      </c>
      <c r="AF130" s="80">
        <v>1</v>
      </c>
      <c r="AG130" s="88" t="s">
        <v>763</v>
      </c>
      <c r="AH130" s="80" t="b">
        <v>0</v>
      </c>
      <c r="AI130" s="80" t="s">
        <v>764</v>
      </c>
      <c r="AJ130" s="80"/>
      <c r="AK130" s="88" t="s">
        <v>763</v>
      </c>
      <c r="AL130" s="80" t="b">
        <v>0</v>
      </c>
      <c r="AM130" s="80">
        <v>0</v>
      </c>
      <c r="AN130" s="88" t="s">
        <v>763</v>
      </c>
      <c r="AO130" s="80" t="s">
        <v>765</v>
      </c>
      <c r="AP130" s="80" t="b">
        <v>0</v>
      </c>
      <c r="AQ130" s="88" t="s">
        <v>738</v>
      </c>
      <c r="AR130" s="80" t="s">
        <v>197</v>
      </c>
      <c r="AS130" s="80">
        <v>0</v>
      </c>
      <c r="AT130" s="80">
        <v>0</v>
      </c>
      <c r="AU130" s="80"/>
      <c r="AV130" s="80"/>
      <c r="AW130" s="80"/>
      <c r="AX130" s="80"/>
      <c r="AY130" s="80"/>
      <c r="AZ130" s="80"/>
      <c r="BA130" s="80"/>
      <c r="BB130" s="80"/>
      <c r="BC130">
        <v>20</v>
      </c>
      <c r="BD130" s="79" t="str">
        <f>REPLACE(INDEX(GroupVertices[Group],MATCH(Edges25[[#This Row],[Vertex 1]],GroupVertices[Vertex],0)),1,1,"")</f>
        <v>1</v>
      </c>
      <c r="BE130" s="79" t="str">
        <f>REPLACE(INDEX(GroupVertices[Group],MATCH(Edges25[[#This Row],[Vertex 2]],GroupVertices[Vertex],0)),1,1,"")</f>
        <v>1</v>
      </c>
      <c r="BF130" s="49">
        <v>1</v>
      </c>
      <c r="BG130" s="50">
        <v>3.4482758620689653</v>
      </c>
      <c r="BH130" s="49">
        <v>0</v>
      </c>
      <c r="BI130" s="50">
        <v>0</v>
      </c>
      <c r="BJ130" s="49">
        <v>0</v>
      </c>
      <c r="BK130" s="50">
        <v>0</v>
      </c>
      <c r="BL130" s="49">
        <v>28</v>
      </c>
      <c r="BM130" s="50">
        <v>96.55172413793103</v>
      </c>
      <c r="BN130" s="49">
        <v>29</v>
      </c>
    </row>
    <row r="131" spans="1:66" ht="15">
      <c r="A131" s="65" t="s">
        <v>271</v>
      </c>
      <c r="B131" s="65" t="s">
        <v>271</v>
      </c>
      <c r="C131" s="66"/>
      <c r="D131" s="67"/>
      <c r="E131" s="66"/>
      <c r="F131" s="69"/>
      <c r="G131" s="66"/>
      <c r="H131" s="70"/>
      <c r="I131" s="71"/>
      <c r="J131" s="71"/>
      <c r="K131" s="35" t="s">
        <v>65</v>
      </c>
      <c r="L131" s="72">
        <v>221</v>
      </c>
      <c r="M131" s="72"/>
      <c r="N131" s="73"/>
      <c r="O131" s="80" t="s">
        <v>197</v>
      </c>
      <c r="P131" s="82">
        <v>44218.33950231481</v>
      </c>
      <c r="Q131" s="80" t="s">
        <v>359</v>
      </c>
      <c r="R131" s="84" t="str">
        <f>HYPERLINK("https://www.tiess.online/registration?utm_source=Mart&amp;utm_medium=Email&amp;utm_campaign=TIESS&amp;utm_term=018")</f>
        <v>https://www.tiess.online/registration?utm_source=Mart&amp;utm_medium=Email&amp;utm_campaign=TIESS&amp;utm_term=018</v>
      </c>
      <c r="S131" s="80" t="s">
        <v>444</v>
      </c>
      <c r="T131" s="80" t="s">
        <v>449</v>
      </c>
      <c r="U131" s="84" t="str">
        <f>HYPERLINK("https://pbs.twimg.com/media/EsUlmPyVkAAkQct.jpg")</f>
        <v>https://pbs.twimg.com/media/EsUlmPyVkAAkQct.jpg</v>
      </c>
      <c r="V131" s="84" t="str">
        <f>HYPERLINK("https://pbs.twimg.com/media/EsUlmPyVkAAkQct.jpg")</f>
        <v>https://pbs.twimg.com/media/EsUlmPyVkAAkQct.jpg</v>
      </c>
      <c r="W131" s="82">
        <v>44218.33950231481</v>
      </c>
      <c r="X131" s="86">
        <v>44218</v>
      </c>
      <c r="Y131" s="88" t="s">
        <v>588</v>
      </c>
      <c r="Z131" s="84" t="str">
        <f>HYPERLINK("https://twitter.com/indiadidac/status/1352528648272629761")</f>
        <v>https://twitter.com/indiadidac/status/1352528648272629761</v>
      </c>
      <c r="AA131" s="80"/>
      <c r="AB131" s="80"/>
      <c r="AC131" s="88" t="s">
        <v>739</v>
      </c>
      <c r="AD131" s="80"/>
      <c r="AE131" s="80" t="b">
        <v>0</v>
      </c>
      <c r="AF131" s="80">
        <v>2</v>
      </c>
      <c r="AG131" s="88" t="s">
        <v>763</v>
      </c>
      <c r="AH131" s="80" t="b">
        <v>0</v>
      </c>
      <c r="AI131" s="80" t="s">
        <v>764</v>
      </c>
      <c r="AJ131" s="80"/>
      <c r="AK131" s="88" t="s">
        <v>763</v>
      </c>
      <c r="AL131" s="80" t="b">
        <v>0</v>
      </c>
      <c r="AM131" s="80">
        <v>1</v>
      </c>
      <c r="AN131" s="88" t="s">
        <v>763</v>
      </c>
      <c r="AO131" s="80" t="s">
        <v>765</v>
      </c>
      <c r="AP131" s="80" t="b">
        <v>0</v>
      </c>
      <c r="AQ131" s="88" t="s">
        <v>739</v>
      </c>
      <c r="AR131" s="80" t="s">
        <v>197</v>
      </c>
      <c r="AS131" s="80">
        <v>0</v>
      </c>
      <c r="AT131" s="80">
        <v>0</v>
      </c>
      <c r="AU131" s="80"/>
      <c r="AV131" s="80"/>
      <c r="AW131" s="80"/>
      <c r="AX131" s="80"/>
      <c r="AY131" s="80"/>
      <c r="AZ131" s="80"/>
      <c r="BA131" s="80"/>
      <c r="BB131" s="80"/>
      <c r="BC131">
        <v>20</v>
      </c>
      <c r="BD131" s="79" t="str">
        <f>REPLACE(INDEX(GroupVertices[Group],MATCH(Edges25[[#This Row],[Vertex 1]],GroupVertices[Vertex],0)),1,1,"")</f>
        <v>1</v>
      </c>
      <c r="BE131" s="79" t="str">
        <f>REPLACE(INDEX(GroupVertices[Group],MATCH(Edges25[[#This Row],[Vertex 2]],GroupVertices[Vertex],0)),1,1,"")</f>
        <v>1</v>
      </c>
      <c r="BF131" s="49">
        <v>2</v>
      </c>
      <c r="BG131" s="50">
        <v>6.451612903225806</v>
      </c>
      <c r="BH131" s="49">
        <v>0</v>
      </c>
      <c r="BI131" s="50">
        <v>0</v>
      </c>
      <c r="BJ131" s="49">
        <v>0</v>
      </c>
      <c r="BK131" s="50">
        <v>0</v>
      </c>
      <c r="BL131" s="49">
        <v>29</v>
      </c>
      <c r="BM131" s="50">
        <v>93.54838709677419</v>
      </c>
      <c r="BN131" s="49">
        <v>31</v>
      </c>
    </row>
    <row r="132" spans="1:66" ht="15">
      <c r="A132" s="65" t="s">
        <v>271</v>
      </c>
      <c r="B132" s="65" t="s">
        <v>271</v>
      </c>
      <c r="C132" s="66"/>
      <c r="D132" s="67"/>
      <c r="E132" s="66"/>
      <c r="F132" s="69"/>
      <c r="G132" s="66"/>
      <c r="H132" s="70"/>
      <c r="I132" s="71"/>
      <c r="J132" s="71"/>
      <c r="K132" s="35" t="s">
        <v>65</v>
      </c>
      <c r="L132" s="72">
        <v>222</v>
      </c>
      <c r="M132" s="72"/>
      <c r="N132" s="73"/>
      <c r="O132" s="80" t="s">
        <v>197</v>
      </c>
      <c r="P132" s="82">
        <v>44218.39707175926</v>
      </c>
      <c r="Q132" s="80" t="s">
        <v>422</v>
      </c>
      <c r="R132" s="84" t="str">
        <f>HYPERLINK("https://www.tiess.online/registration?utm_source=Lachanthaboun&amp;utm_medium=Email&amp;utm_campaign=TIESS&amp;utm_term=020")</f>
        <v>https://www.tiess.online/registration?utm_source=Lachanthaboun&amp;utm_medium=Email&amp;utm_campaign=TIESS&amp;utm_term=020</v>
      </c>
      <c r="S132" s="80" t="s">
        <v>444</v>
      </c>
      <c r="T132" s="80" t="s">
        <v>449</v>
      </c>
      <c r="U132" s="84" t="str">
        <f>HYPERLINK("https://pbs.twimg.com/media/EsU4ma5UUAEoZPL.jpg")</f>
        <v>https://pbs.twimg.com/media/EsU4ma5UUAEoZPL.jpg</v>
      </c>
      <c r="V132" s="84" t="str">
        <f>HYPERLINK("https://pbs.twimg.com/media/EsU4ma5UUAEoZPL.jpg")</f>
        <v>https://pbs.twimg.com/media/EsU4ma5UUAEoZPL.jpg</v>
      </c>
      <c r="W132" s="82">
        <v>44218.39707175926</v>
      </c>
      <c r="X132" s="86">
        <v>44218</v>
      </c>
      <c r="Y132" s="88" t="s">
        <v>589</v>
      </c>
      <c r="Z132" s="84" t="str">
        <f>HYPERLINK("https://twitter.com/indiadidac/status/1352549511986434050")</f>
        <v>https://twitter.com/indiadidac/status/1352549511986434050</v>
      </c>
      <c r="AA132" s="80"/>
      <c r="AB132" s="80"/>
      <c r="AC132" s="88" t="s">
        <v>740</v>
      </c>
      <c r="AD132" s="80"/>
      <c r="AE132" s="80" t="b">
        <v>0</v>
      </c>
      <c r="AF132" s="80">
        <v>1</v>
      </c>
      <c r="AG132" s="88" t="s">
        <v>763</v>
      </c>
      <c r="AH132" s="80" t="b">
        <v>0</v>
      </c>
      <c r="AI132" s="80" t="s">
        <v>764</v>
      </c>
      <c r="AJ132" s="80"/>
      <c r="AK132" s="88" t="s">
        <v>763</v>
      </c>
      <c r="AL132" s="80" t="b">
        <v>0</v>
      </c>
      <c r="AM132" s="80">
        <v>0</v>
      </c>
      <c r="AN132" s="88" t="s">
        <v>763</v>
      </c>
      <c r="AO132" s="80" t="s">
        <v>765</v>
      </c>
      <c r="AP132" s="80" t="b">
        <v>0</v>
      </c>
      <c r="AQ132" s="88" t="s">
        <v>740</v>
      </c>
      <c r="AR132" s="80" t="s">
        <v>197</v>
      </c>
      <c r="AS132" s="80">
        <v>0</v>
      </c>
      <c r="AT132" s="80">
        <v>0</v>
      </c>
      <c r="AU132" s="80"/>
      <c r="AV132" s="80"/>
      <c r="AW132" s="80"/>
      <c r="AX132" s="80"/>
      <c r="AY132" s="80"/>
      <c r="AZ132" s="80"/>
      <c r="BA132" s="80"/>
      <c r="BB132" s="80"/>
      <c r="BC132">
        <v>20</v>
      </c>
      <c r="BD132" s="79" t="str">
        <f>REPLACE(INDEX(GroupVertices[Group],MATCH(Edges25[[#This Row],[Vertex 1]],GroupVertices[Vertex],0)),1,1,"")</f>
        <v>1</v>
      </c>
      <c r="BE132" s="79" t="str">
        <f>REPLACE(INDEX(GroupVertices[Group],MATCH(Edges25[[#This Row],[Vertex 2]],GroupVertices[Vertex],0)),1,1,"")</f>
        <v>1</v>
      </c>
      <c r="BF132" s="49">
        <v>1</v>
      </c>
      <c r="BG132" s="50">
        <v>2.857142857142857</v>
      </c>
      <c r="BH132" s="49">
        <v>0</v>
      </c>
      <c r="BI132" s="50">
        <v>0</v>
      </c>
      <c r="BJ132" s="49">
        <v>0</v>
      </c>
      <c r="BK132" s="50">
        <v>0</v>
      </c>
      <c r="BL132" s="49">
        <v>34</v>
      </c>
      <c r="BM132" s="50">
        <v>97.14285714285714</v>
      </c>
      <c r="BN132" s="49">
        <v>35</v>
      </c>
    </row>
    <row r="133" spans="1:66" ht="15">
      <c r="A133" s="65" t="s">
        <v>271</v>
      </c>
      <c r="B133" s="65" t="s">
        <v>271</v>
      </c>
      <c r="C133" s="66"/>
      <c r="D133" s="67"/>
      <c r="E133" s="66"/>
      <c r="F133" s="69"/>
      <c r="G133" s="66"/>
      <c r="H133" s="70"/>
      <c r="I133" s="71"/>
      <c r="J133" s="71"/>
      <c r="K133" s="35" t="s">
        <v>65</v>
      </c>
      <c r="L133" s="72">
        <v>223</v>
      </c>
      <c r="M133" s="72"/>
      <c r="N133" s="73"/>
      <c r="O133" s="80" t="s">
        <v>197</v>
      </c>
      <c r="P133" s="82">
        <v>44218.45945601852</v>
      </c>
      <c r="Q133" s="80" t="s">
        <v>423</v>
      </c>
      <c r="R133" s="84" t="str">
        <f>HYPERLINK("https://www.tiess.online/registration?utm_source=Teerakiat&amp;utm_medium=Email&amp;utm_campaign=TIESS&amp;utm_term=013")</f>
        <v>https://www.tiess.online/registration?utm_source=Teerakiat&amp;utm_medium=Email&amp;utm_campaign=TIESS&amp;utm_term=013</v>
      </c>
      <c r="S133" s="80" t="s">
        <v>444</v>
      </c>
      <c r="T133" s="80" t="s">
        <v>450</v>
      </c>
      <c r="U133" s="84" t="str">
        <f>HYPERLINK("https://pbs.twimg.com/media/EsVNJAiVkAArcVt.jpg")</f>
        <v>https://pbs.twimg.com/media/EsVNJAiVkAArcVt.jpg</v>
      </c>
      <c r="V133" s="84" t="str">
        <f>HYPERLINK("https://pbs.twimg.com/media/EsVNJAiVkAArcVt.jpg")</f>
        <v>https://pbs.twimg.com/media/EsVNJAiVkAArcVt.jpg</v>
      </c>
      <c r="W133" s="82">
        <v>44218.45945601852</v>
      </c>
      <c r="X133" s="86">
        <v>44218</v>
      </c>
      <c r="Y133" s="88" t="s">
        <v>590</v>
      </c>
      <c r="Z133" s="84" t="str">
        <f>HYPERLINK("https://twitter.com/indiadidac/status/1352572120753033218")</f>
        <v>https://twitter.com/indiadidac/status/1352572120753033218</v>
      </c>
      <c r="AA133" s="80"/>
      <c r="AB133" s="80"/>
      <c r="AC133" s="88" t="s">
        <v>741</v>
      </c>
      <c r="AD133" s="80"/>
      <c r="AE133" s="80" t="b">
        <v>0</v>
      </c>
      <c r="AF133" s="80">
        <v>3</v>
      </c>
      <c r="AG133" s="88" t="s">
        <v>763</v>
      </c>
      <c r="AH133" s="80" t="b">
        <v>0</v>
      </c>
      <c r="AI133" s="80" t="s">
        <v>764</v>
      </c>
      <c r="AJ133" s="80"/>
      <c r="AK133" s="88" t="s">
        <v>763</v>
      </c>
      <c r="AL133" s="80" t="b">
        <v>0</v>
      </c>
      <c r="AM133" s="80">
        <v>0</v>
      </c>
      <c r="AN133" s="88" t="s">
        <v>763</v>
      </c>
      <c r="AO133" s="80" t="s">
        <v>765</v>
      </c>
      <c r="AP133" s="80" t="b">
        <v>0</v>
      </c>
      <c r="AQ133" s="88" t="s">
        <v>741</v>
      </c>
      <c r="AR133" s="80" t="s">
        <v>197</v>
      </c>
      <c r="AS133" s="80">
        <v>0</v>
      </c>
      <c r="AT133" s="80">
        <v>0</v>
      </c>
      <c r="AU133" s="80"/>
      <c r="AV133" s="80"/>
      <c r="AW133" s="80"/>
      <c r="AX133" s="80"/>
      <c r="AY133" s="80"/>
      <c r="AZ133" s="80"/>
      <c r="BA133" s="80"/>
      <c r="BB133" s="80"/>
      <c r="BC133">
        <v>20</v>
      </c>
      <c r="BD133" s="79" t="str">
        <f>REPLACE(INDEX(GroupVertices[Group],MATCH(Edges25[[#This Row],[Vertex 1]],GroupVertices[Vertex],0)),1,1,"")</f>
        <v>1</v>
      </c>
      <c r="BE133" s="79" t="str">
        <f>REPLACE(INDEX(GroupVertices[Group],MATCH(Edges25[[#This Row],[Vertex 2]],GroupVertices[Vertex],0)),1,1,"")</f>
        <v>1</v>
      </c>
      <c r="BF133" s="49">
        <v>1</v>
      </c>
      <c r="BG133" s="50">
        <v>3.4482758620689653</v>
      </c>
      <c r="BH133" s="49">
        <v>0</v>
      </c>
      <c r="BI133" s="50">
        <v>0</v>
      </c>
      <c r="BJ133" s="49">
        <v>0</v>
      </c>
      <c r="BK133" s="50">
        <v>0</v>
      </c>
      <c r="BL133" s="49">
        <v>28</v>
      </c>
      <c r="BM133" s="50">
        <v>96.55172413793103</v>
      </c>
      <c r="BN133" s="49">
        <v>29</v>
      </c>
    </row>
    <row r="134" spans="1:66" ht="15">
      <c r="A134" s="65" t="s">
        <v>271</v>
      </c>
      <c r="B134" s="65" t="s">
        <v>302</v>
      </c>
      <c r="C134" s="66"/>
      <c r="D134" s="67"/>
      <c r="E134" s="66"/>
      <c r="F134" s="69"/>
      <c r="G134" s="66"/>
      <c r="H134" s="70"/>
      <c r="I134" s="71"/>
      <c r="J134" s="71"/>
      <c r="K134" s="35" t="s">
        <v>65</v>
      </c>
      <c r="L134" s="72">
        <v>224</v>
      </c>
      <c r="M134" s="72"/>
      <c r="N134" s="73"/>
      <c r="O134" s="80" t="s">
        <v>353</v>
      </c>
      <c r="P134" s="82">
        <v>44218.479780092595</v>
      </c>
      <c r="Q134" s="80" t="s">
        <v>424</v>
      </c>
      <c r="R134" s="84" t="str">
        <f>HYPERLINK("https://www.tiess.online/registration?utm_source=SM&amp;utm_medium=Becker&amp;utm_campaign=TIESS&amp;utm_term=026")</f>
        <v>https://www.tiess.online/registration?utm_source=SM&amp;utm_medium=Becker&amp;utm_campaign=TIESS&amp;utm_term=026</v>
      </c>
      <c r="S134" s="80" t="s">
        <v>444</v>
      </c>
      <c r="T134" s="80" t="s">
        <v>450</v>
      </c>
      <c r="U134" s="84" t="str">
        <f>HYPERLINK("https://pbs.twimg.com/media/EsVT05tVoAA5wEz.jpg")</f>
        <v>https://pbs.twimg.com/media/EsVT05tVoAA5wEz.jpg</v>
      </c>
      <c r="V134" s="84" t="str">
        <f>HYPERLINK("https://pbs.twimg.com/media/EsVT05tVoAA5wEz.jpg")</f>
        <v>https://pbs.twimg.com/media/EsVT05tVoAA5wEz.jpg</v>
      </c>
      <c r="W134" s="82">
        <v>44218.479780092595</v>
      </c>
      <c r="X134" s="86">
        <v>44218</v>
      </c>
      <c r="Y134" s="88" t="s">
        <v>591</v>
      </c>
      <c r="Z134" s="84" t="str">
        <f>HYPERLINK("https://twitter.com/indiadidac/status/1352579484180860929")</f>
        <v>https://twitter.com/indiadidac/status/1352579484180860929</v>
      </c>
      <c r="AA134" s="80"/>
      <c r="AB134" s="80"/>
      <c r="AC134" s="88" t="s">
        <v>742</v>
      </c>
      <c r="AD134" s="80"/>
      <c r="AE134" s="80" t="b">
        <v>0</v>
      </c>
      <c r="AF134" s="80">
        <v>2</v>
      </c>
      <c r="AG134" s="88" t="s">
        <v>763</v>
      </c>
      <c r="AH134" s="80" t="b">
        <v>0</v>
      </c>
      <c r="AI134" s="80" t="s">
        <v>764</v>
      </c>
      <c r="AJ134" s="80"/>
      <c r="AK134" s="88" t="s">
        <v>763</v>
      </c>
      <c r="AL134" s="80" t="b">
        <v>0</v>
      </c>
      <c r="AM134" s="80">
        <v>0</v>
      </c>
      <c r="AN134" s="88" t="s">
        <v>763</v>
      </c>
      <c r="AO134" s="80" t="s">
        <v>765</v>
      </c>
      <c r="AP134" s="80" t="b">
        <v>0</v>
      </c>
      <c r="AQ134" s="88" t="s">
        <v>742</v>
      </c>
      <c r="AR134" s="80" t="s">
        <v>197</v>
      </c>
      <c r="AS134" s="80">
        <v>0</v>
      </c>
      <c r="AT134" s="80">
        <v>0</v>
      </c>
      <c r="AU134" s="80"/>
      <c r="AV134" s="80"/>
      <c r="AW134" s="80"/>
      <c r="AX134" s="80"/>
      <c r="AY134" s="80"/>
      <c r="AZ134" s="80"/>
      <c r="BA134" s="80"/>
      <c r="BB134" s="80"/>
      <c r="BC134">
        <v>1</v>
      </c>
      <c r="BD134" s="79" t="str">
        <f>REPLACE(INDEX(GroupVertices[Group],MATCH(Edges25[[#This Row],[Vertex 1]],GroupVertices[Vertex],0)),1,1,"")</f>
        <v>1</v>
      </c>
      <c r="BE134" s="79" t="str">
        <f>REPLACE(INDEX(GroupVertices[Group],MATCH(Edges25[[#This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5" t="s">
        <v>271</v>
      </c>
      <c r="B135" s="65" t="s">
        <v>271</v>
      </c>
      <c r="C135" s="66"/>
      <c r="D135" s="67"/>
      <c r="E135" s="66"/>
      <c r="F135" s="69"/>
      <c r="G135" s="66"/>
      <c r="H135" s="70"/>
      <c r="I135" s="71"/>
      <c r="J135" s="71"/>
      <c r="K135" s="35" t="s">
        <v>65</v>
      </c>
      <c r="L135" s="72">
        <v>225</v>
      </c>
      <c r="M135" s="72"/>
      <c r="N135" s="73"/>
      <c r="O135" s="80" t="s">
        <v>197</v>
      </c>
      <c r="P135" s="82">
        <v>44218.50549768518</v>
      </c>
      <c r="Q135" s="80" t="s">
        <v>425</v>
      </c>
      <c r="R135" s="84" t="str">
        <f>HYPERLINK("https://www.tiess.online/registration?utm_source=LuisPinto&amp;utm_medium=Email&amp;utm_campaign=TIESS&amp;utm_term=023")</f>
        <v>https://www.tiess.online/registration?utm_source=LuisPinto&amp;utm_medium=Email&amp;utm_campaign=TIESS&amp;utm_term=023</v>
      </c>
      <c r="S135" s="80" t="s">
        <v>444</v>
      </c>
      <c r="T135" s="80" t="s">
        <v>450</v>
      </c>
      <c r="U135" s="84" t="str">
        <f>HYPERLINK("https://pbs.twimg.com/media/EsVcTm-UYAIsNLI.jpg")</f>
        <v>https://pbs.twimg.com/media/EsVcTm-UYAIsNLI.jpg</v>
      </c>
      <c r="V135" s="84" t="str">
        <f>HYPERLINK("https://pbs.twimg.com/media/EsVcTm-UYAIsNLI.jpg")</f>
        <v>https://pbs.twimg.com/media/EsVcTm-UYAIsNLI.jpg</v>
      </c>
      <c r="W135" s="82">
        <v>44218.50549768518</v>
      </c>
      <c r="X135" s="86">
        <v>44218</v>
      </c>
      <c r="Y135" s="88" t="s">
        <v>592</v>
      </c>
      <c r="Z135" s="84" t="str">
        <f>HYPERLINK("https://twitter.com/indiadidac/status/1352588803874070534")</f>
        <v>https://twitter.com/indiadidac/status/1352588803874070534</v>
      </c>
      <c r="AA135" s="80"/>
      <c r="AB135" s="80"/>
      <c r="AC135" s="88" t="s">
        <v>743</v>
      </c>
      <c r="AD135" s="80"/>
      <c r="AE135" s="80" t="b">
        <v>0</v>
      </c>
      <c r="AF135" s="80">
        <v>2</v>
      </c>
      <c r="AG135" s="88" t="s">
        <v>763</v>
      </c>
      <c r="AH135" s="80" t="b">
        <v>0</v>
      </c>
      <c r="AI135" s="80" t="s">
        <v>764</v>
      </c>
      <c r="AJ135" s="80"/>
      <c r="AK135" s="88" t="s">
        <v>763</v>
      </c>
      <c r="AL135" s="80" t="b">
        <v>0</v>
      </c>
      <c r="AM135" s="80">
        <v>0</v>
      </c>
      <c r="AN135" s="88" t="s">
        <v>763</v>
      </c>
      <c r="AO135" s="80" t="s">
        <v>765</v>
      </c>
      <c r="AP135" s="80" t="b">
        <v>0</v>
      </c>
      <c r="AQ135" s="88" t="s">
        <v>743</v>
      </c>
      <c r="AR135" s="80" t="s">
        <v>197</v>
      </c>
      <c r="AS135" s="80">
        <v>0</v>
      </c>
      <c r="AT135" s="80">
        <v>0</v>
      </c>
      <c r="AU135" s="80"/>
      <c r="AV135" s="80"/>
      <c r="AW135" s="80"/>
      <c r="AX135" s="80"/>
      <c r="AY135" s="80"/>
      <c r="AZ135" s="80"/>
      <c r="BA135" s="80"/>
      <c r="BB135" s="80"/>
      <c r="BC135">
        <v>20</v>
      </c>
      <c r="BD135" s="79" t="str">
        <f>REPLACE(INDEX(GroupVertices[Group],MATCH(Edges25[[#This Row],[Vertex 1]],GroupVertices[Vertex],0)),1,1,"")</f>
        <v>1</v>
      </c>
      <c r="BE135" s="79" t="str">
        <f>REPLACE(INDEX(GroupVertices[Group],MATCH(Edges25[[#This Row],[Vertex 2]],GroupVertices[Vertex],0)),1,1,"")</f>
        <v>1</v>
      </c>
      <c r="BF135" s="49">
        <v>1</v>
      </c>
      <c r="BG135" s="50">
        <v>3.3333333333333335</v>
      </c>
      <c r="BH135" s="49">
        <v>0</v>
      </c>
      <c r="BI135" s="50">
        <v>0</v>
      </c>
      <c r="BJ135" s="49">
        <v>0</v>
      </c>
      <c r="BK135" s="50">
        <v>0</v>
      </c>
      <c r="BL135" s="49">
        <v>29</v>
      </c>
      <c r="BM135" s="50">
        <v>96.66666666666667</v>
      </c>
      <c r="BN135" s="49">
        <v>30</v>
      </c>
    </row>
    <row r="136" spans="1:66" ht="15">
      <c r="A136" s="65" t="s">
        <v>271</v>
      </c>
      <c r="B136" s="65" t="s">
        <v>271</v>
      </c>
      <c r="C136" s="66"/>
      <c r="D136" s="67"/>
      <c r="E136" s="66"/>
      <c r="F136" s="69"/>
      <c r="G136" s="66"/>
      <c r="H136" s="70"/>
      <c r="I136" s="71"/>
      <c r="J136" s="71"/>
      <c r="K136" s="35" t="s">
        <v>65</v>
      </c>
      <c r="L136" s="72">
        <v>226</v>
      </c>
      <c r="M136" s="72"/>
      <c r="N136" s="73"/>
      <c r="O136" s="80" t="s">
        <v>197</v>
      </c>
      <c r="P136" s="82">
        <v>44218.558483796296</v>
      </c>
      <c r="Q136" s="80" t="s">
        <v>426</v>
      </c>
      <c r="R136" s="84" t="str">
        <f>HYPERLINK("https://www.tiess.online/registration?utm_source=AbasBasir&amp;utm_medium=Email&amp;utm_campaign=TIESS&amp;utm_term=016")</f>
        <v>https://www.tiess.online/registration?utm_source=AbasBasir&amp;utm_medium=Email&amp;utm_campaign=TIESS&amp;utm_term=016</v>
      </c>
      <c r="S136" s="80" t="s">
        <v>444</v>
      </c>
      <c r="T136" s="80" t="s">
        <v>451</v>
      </c>
      <c r="U136" s="84" t="str">
        <f>HYPERLINK("https://pbs.twimg.com/media/EsVtvmSVEAAtg9h.jpg")</f>
        <v>https://pbs.twimg.com/media/EsVtvmSVEAAtg9h.jpg</v>
      </c>
      <c r="V136" s="84" t="str">
        <f>HYPERLINK("https://pbs.twimg.com/media/EsVtvmSVEAAtg9h.jpg")</f>
        <v>https://pbs.twimg.com/media/EsVtvmSVEAAtg9h.jpg</v>
      </c>
      <c r="W136" s="82">
        <v>44218.558483796296</v>
      </c>
      <c r="X136" s="86">
        <v>44218</v>
      </c>
      <c r="Y136" s="88" t="s">
        <v>593</v>
      </c>
      <c r="Z136" s="84" t="str">
        <f>HYPERLINK("https://twitter.com/indiadidac/status/1352608007167741953")</f>
        <v>https://twitter.com/indiadidac/status/1352608007167741953</v>
      </c>
      <c r="AA136" s="80"/>
      <c r="AB136" s="80"/>
      <c r="AC136" s="88" t="s">
        <v>744</v>
      </c>
      <c r="AD136" s="80"/>
      <c r="AE136" s="80" t="b">
        <v>0</v>
      </c>
      <c r="AF136" s="80">
        <v>0</v>
      </c>
      <c r="AG136" s="88" t="s">
        <v>763</v>
      </c>
      <c r="AH136" s="80" t="b">
        <v>0</v>
      </c>
      <c r="AI136" s="80" t="s">
        <v>764</v>
      </c>
      <c r="AJ136" s="80"/>
      <c r="AK136" s="88" t="s">
        <v>763</v>
      </c>
      <c r="AL136" s="80" t="b">
        <v>0</v>
      </c>
      <c r="AM136" s="80">
        <v>0</v>
      </c>
      <c r="AN136" s="88" t="s">
        <v>763</v>
      </c>
      <c r="AO136" s="80" t="s">
        <v>765</v>
      </c>
      <c r="AP136" s="80" t="b">
        <v>0</v>
      </c>
      <c r="AQ136" s="88" t="s">
        <v>744</v>
      </c>
      <c r="AR136" s="80" t="s">
        <v>197</v>
      </c>
      <c r="AS136" s="80">
        <v>0</v>
      </c>
      <c r="AT136" s="80">
        <v>0</v>
      </c>
      <c r="AU136" s="80"/>
      <c r="AV136" s="80"/>
      <c r="AW136" s="80"/>
      <c r="AX136" s="80"/>
      <c r="AY136" s="80"/>
      <c r="AZ136" s="80"/>
      <c r="BA136" s="80"/>
      <c r="BB136" s="80"/>
      <c r="BC136">
        <v>20</v>
      </c>
      <c r="BD136" s="79" t="str">
        <f>REPLACE(INDEX(GroupVertices[Group],MATCH(Edges25[[#This Row],[Vertex 1]],GroupVertices[Vertex],0)),1,1,"")</f>
        <v>1</v>
      </c>
      <c r="BE136" s="79" t="str">
        <f>REPLACE(INDEX(GroupVertices[Group],MATCH(Edges25[[#This Row],[Vertex 2]],GroupVertices[Vertex],0)),1,1,"")</f>
        <v>1</v>
      </c>
      <c r="BF136" s="49">
        <v>0</v>
      </c>
      <c r="BG136" s="50">
        <v>0</v>
      </c>
      <c r="BH136" s="49">
        <v>0</v>
      </c>
      <c r="BI136" s="50">
        <v>0</v>
      </c>
      <c r="BJ136" s="49">
        <v>0</v>
      </c>
      <c r="BK136" s="50">
        <v>0</v>
      </c>
      <c r="BL136" s="49">
        <v>34</v>
      </c>
      <c r="BM136" s="50">
        <v>100</v>
      </c>
      <c r="BN136" s="49">
        <v>34</v>
      </c>
    </row>
    <row r="137" spans="1:66" ht="15">
      <c r="A137" s="65" t="s">
        <v>271</v>
      </c>
      <c r="B137" s="65" t="s">
        <v>271</v>
      </c>
      <c r="C137" s="66"/>
      <c r="D137" s="67"/>
      <c r="E137" s="66"/>
      <c r="F137" s="69"/>
      <c r="G137" s="66"/>
      <c r="H137" s="70"/>
      <c r="I137" s="71"/>
      <c r="J137" s="71"/>
      <c r="K137" s="35" t="s">
        <v>65</v>
      </c>
      <c r="L137" s="72">
        <v>227</v>
      </c>
      <c r="M137" s="72"/>
      <c r="N137" s="73"/>
      <c r="O137" s="80" t="s">
        <v>197</v>
      </c>
      <c r="P137" s="82">
        <v>44218.579513888886</v>
      </c>
      <c r="Q137" s="80" t="s">
        <v>427</v>
      </c>
      <c r="R137" s="84" t="str">
        <f>HYPERLINK("https://www.tiess.online/registration?utm_source=Karanja&amp;utm_medium=Email&amp;utm_campaign=TIESS&amp;utm_term=025")</f>
        <v>https://www.tiess.online/registration?utm_source=Karanja&amp;utm_medium=Email&amp;utm_campaign=TIESS&amp;utm_term=025</v>
      </c>
      <c r="S137" s="80" t="s">
        <v>444</v>
      </c>
      <c r="T137" s="80" t="s">
        <v>450</v>
      </c>
      <c r="U137" s="84" t="str">
        <f>HYPERLINK("https://pbs.twimg.com/media/EsV0sHKUwAUheYy.jpg")</f>
        <v>https://pbs.twimg.com/media/EsV0sHKUwAUheYy.jpg</v>
      </c>
      <c r="V137" s="84" t="str">
        <f>HYPERLINK("https://pbs.twimg.com/media/EsV0sHKUwAUheYy.jpg")</f>
        <v>https://pbs.twimg.com/media/EsV0sHKUwAUheYy.jpg</v>
      </c>
      <c r="W137" s="82">
        <v>44218.579513888886</v>
      </c>
      <c r="X137" s="86">
        <v>44218</v>
      </c>
      <c r="Y137" s="88" t="s">
        <v>594</v>
      </c>
      <c r="Z137" s="84" t="str">
        <f>HYPERLINK("https://twitter.com/indiadidac/status/1352615625869324288")</f>
        <v>https://twitter.com/indiadidac/status/1352615625869324288</v>
      </c>
      <c r="AA137" s="80"/>
      <c r="AB137" s="80"/>
      <c r="AC137" s="88" t="s">
        <v>745</v>
      </c>
      <c r="AD137" s="80"/>
      <c r="AE137" s="80" t="b">
        <v>0</v>
      </c>
      <c r="AF137" s="80">
        <v>1</v>
      </c>
      <c r="AG137" s="88" t="s">
        <v>763</v>
      </c>
      <c r="AH137" s="80" t="b">
        <v>0</v>
      </c>
      <c r="AI137" s="80" t="s">
        <v>764</v>
      </c>
      <c r="AJ137" s="80"/>
      <c r="AK137" s="88" t="s">
        <v>763</v>
      </c>
      <c r="AL137" s="80" t="b">
        <v>0</v>
      </c>
      <c r="AM137" s="80">
        <v>0</v>
      </c>
      <c r="AN137" s="88" t="s">
        <v>763</v>
      </c>
      <c r="AO137" s="80" t="s">
        <v>765</v>
      </c>
      <c r="AP137" s="80" t="b">
        <v>0</v>
      </c>
      <c r="AQ137" s="88" t="s">
        <v>745</v>
      </c>
      <c r="AR137" s="80" t="s">
        <v>197</v>
      </c>
      <c r="AS137" s="80">
        <v>0</v>
      </c>
      <c r="AT137" s="80">
        <v>0</v>
      </c>
      <c r="AU137" s="80"/>
      <c r="AV137" s="80"/>
      <c r="AW137" s="80"/>
      <c r="AX137" s="80"/>
      <c r="AY137" s="80"/>
      <c r="AZ137" s="80"/>
      <c r="BA137" s="80"/>
      <c r="BB137" s="80"/>
      <c r="BC137">
        <v>20</v>
      </c>
      <c r="BD137" s="79" t="str">
        <f>REPLACE(INDEX(GroupVertices[Group],MATCH(Edges25[[#This Row],[Vertex 1]],GroupVertices[Vertex],0)),1,1,"")</f>
        <v>1</v>
      </c>
      <c r="BE137" s="79" t="str">
        <f>REPLACE(INDEX(GroupVertices[Group],MATCH(Edges25[[#This Row],[Vertex 2]],GroupVertices[Vertex],0)),1,1,"")</f>
        <v>1</v>
      </c>
      <c r="BF137" s="49">
        <v>1</v>
      </c>
      <c r="BG137" s="50">
        <v>4</v>
      </c>
      <c r="BH137" s="49">
        <v>0</v>
      </c>
      <c r="BI137" s="50">
        <v>0</v>
      </c>
      <c r="BJ137" s="49">
        <v>0</v>
      </c>
      <c r="BK137" s="50">
        <v>0</v>
      </c>
      <c r="BL137" s="49">
        <v>24</v>
      </c>
      <c r="BM137" s="50">
        <v>96</v>
      </c>
      <c r="BN137" s="49">
        <v>25</v>
      </c>
    </row>
    <row r="138" spans="1:66" ht="15">
      <c r="A138" s="65" t="s">
        <v>271</v>
      </c>
      <c r="B138" s="65" t="s">
        <v>271</v>
      </c>
      <c r="C138" s="66"/>
      <c r="D138" s="67"/>
      <c r="E138" s="66"/>
      <c r="F138" s="69"/>
      <c r="G138" s="66"/>
      <c r="H138" s="70"/>
      <c r="I138" s="71"/>
      <c r="J138" s="71"/>
      <c r="K138" s="35" t="s">
        <v>65</v>
      </c>
      <c r="L138" s="72">
        <v>228</v>
      </c>
      <c r="M138" s="72"/>
      <c r="N138" s="73"/>
      <c r="O138" s="80" t="s">
        <v>197</v>
      </c>
      <c r="P138" s="82">
        <v>44218.60765046296</v>
      </c>
      <c r="Q138" s="80" t="s">
        <v>428</v>
      </c>
      <c r="R138" s="84" t="str">
        <f>HYPERLINK("https://www.tiess.online/registration?utm_source=SM&amp;utm_medium=Pooja&amp;utm_campaign=TIESS&amp;utm_term=041")</f>
        <v>https://www.tiess.online/registration?utm_source=SM&amp;utm_medium=Pooja&amp;utm_campaign=TIESS&amp;utm_term=041</v>
      </c>
      <c r="S138" s="80" t="s">
        <v>444</v>
      </c>
      <c r="T138" s="80" t="s">
        <v>450</v>
      </c>
      <c r="U138" s="84" t="str">
        <f>HYPERLINK("https://pbs.twimg.com/media/EsV-AdpU0AAZHSM.jpg")</f>
        <v>https://pbs.twimg.com/media/EsV-AdpU0AAZHSM.jpg</v>
      </c>
      <c r="V138" s="84" t="str">
        <f>HYPERLINK("https://pbs.twimg.com/media/EsV-AdpU0AAZHSM.jpg")</f>
        <v>https://pbs.twimg.com/media/EsV-AdpU0AAZHSM.jpg</v>
      </c>
      <c r="W138" s="82">
        <v>44218.60765046296</v>
      </c>
      <c r="X138" s="86">
        <v>44218</v>
      </c>
      <c r="Y138" s="88" t="s">
        <v>595</v>
      </c>
      <c r="Z138" s="84" t="str">
        <f>HYPERLINK("https://twitter.com/indiadidac/status/1352625823094763521")</f>
        <v>https://twitter.com/indiadidac/status/1352625823094763521</v>
      </c>
      <c r="AA138" s="80"/>
      <c r="AB138" s="80"/>
      <c r="AC138" s="88" t="s">
        <v>746</v>
      </c>
      <c r="AD138" s="80"/>
      <c r="AE138" s="80" t="b">
        <v>0</v>
      </c>
      <c r="AF138" s="80">
        <v>0</v>
      </c>
      <c r="AG138" s="88" t="s">
        <v>763</v>
      </c>
      <c r="AH138" s="80" t="b">
        <v>0</v>
      </c>
      <c r="AI138" s="80" t="s">
        <v>764</v>
      </c>
      <c r="AJ138" s="80"/>
      <c r="AK138" s="88" t="s">
        <v>763</v>
      </c>
      <c r="AL138" s="80" t="b">
        <v>0</v>
      </c>
      <c r="AM138" s="80">
        <v>0</v>
      </c>
      <c r="AN138" s="88" t="s">
        <v>763</v>
      </c>
      <c r="AO138" s="80" t="s">
        <v>765</v>
      </c>
      <c r="AP138" s="80" t="b">
        <v>0</v>
      </c>
      <c r="AQ138" s="88" t="s">
        <v>746</v>
      </c>
      <c r="AR138" s="80" t="s">
        <v>197</v>
      </c>
      <c r="AS138" s="80">
        <v>0</v>
      </c>
      <c r="AT138" s="80">
        <v>0</v>
      </c>
      <c r="AU138" s="80"/>
      <c r="AV138" s="80"/>
      <c r="AW138" s="80"/>
      <c r="AX138" s="80"/>
      <c r="AY138" s="80"/>
      <c r="AZ138" s="80"/>
      <c r="BA138" s="80"/>
      <c r="BB138" s="80"/>
      <c r="BC138">
        <v>20</v>
      </c>
      <c r="BD138" s="79" t="str">
        <f>REPLACE(INDEX(GroupVertices[Group],MATCH(Edges25[[#This Row],[Vertex 1]],GroupVertices[Vertex],0)),1,1,"")</f>
        <v>1</v>
      </c>
      <c r="BE138" s="79" t="str">
        <f>REPLACE(INDEX(GroupVertices[Group],MATCH(Edges25[[#This Row],[Vertex 2]],GroupVertices[Vertex],0)),1,1,"")</f>
        <v>1</v>
      </c>
      <c r="BF138" s="49">
        <v>0</v>
      </c>
      <c r="BG138" s="50">
        <v>0</v>
      </c>
      <c r="BH138" s="49">
        <v>0</v>
      </c>
      <c r="BI138" s="50">
        <v>0</v>
      </c>
      <c r="BJ138" s="49">
        <v>0</v>
      </c>
      <c r="BK138" s="50">
        <v>0</v>
      </c>
      <c r="BL138" s="49">
        <v>22</v>
      </c>
      <c r="BM138" s="50">
        <v>100</v>
      </c>
      <c r="BN138" s="49">
        <v>22</v>
      </c>
    </row>
    <row r="139" spans="1:66" ht="15">
      <c r="A139" s="65" t="s">
        <v>271</v>
      </c>
      <c r="B139" s="65" t="s">
        <v>271</v>
      </c>
      <c r="C139" s="66"/>
      <c r="D139" s="67"/>
      <c r="E139" s="66"/>
      <c r="F139" s="69"/>
      <c r="G139" s="66"/>
      <c r="H139" s="70"/>
      <c r="I139" s="71"/>
      <c r="J139" s="71"/>
      <c r="K139" s="35" t="s">
        <v>65</v>
      </c>
      <c r="L139" s="72">
        <v>229</v>
      </c>
      <c r="M139" s="72"/>
      <c r="N139" s="73"/>
      <c r="O139" s="80" t="s">
        <v>197</v>
      </c>
      <c r="P139" s="82">
        <v>44219.43148148148</v>
      </c>
      <c r="Q139" s="80" t="s">
        <v>429</v>
      </c>
      <c r="R139" s="84" t="str">
        <f>HYPERLINK("https://www.tiess.online/registration?utm_source=Susan&amp;utm_medium=SM&amp;utm_campaign=TIESS&amp;utm_term=031")</f>
        <v>https://www.tiess.online/registration?utm_source=Susan&amp;utm_medium=SM&amp;utm_campaign=TIESS&amp;utm_term=031</v>
      </c>
      <c r="S139" s="80" t="s">
        <v>444</v>
      </c>
      <c r="T139" s="80" t="s">
        <v>450</v>
      </c>
      <c r="U139" s="84" t="str">
        <f>HYPERLINK("https://pbs.twimg.com/media/EsaNhoDUcAAFxKr.jpg")</f>
        <v>https://pbs.twimg.com/media/EsaNhoDUcAAFxKr.jpg</v>
      </c>
      <c r="V139" s="84" t="str">
        <f>HYPERLINK("https://pbs.twimg.com/media/EsaNhoDUcAAFxKr.jpg")</f>
        <v>https://pbs.twimg.com/media/EsaNhoDUcAAFxKr.jpg</v>
      </c>
      <c r="W139" s="82">
        <v>44219.43148148148</v>
      </c>
      <c r="X139" s="86">
        <v>44219</v>
      </c>
      <c r="Y139" s="88" t="s">
        <v>596</v>
      </c>
      <c r="Z139" s="84" t="str">
        <f>HYPERLINK("https://twitter.com/indiadidac/status/1352924371090776066")</f>
        <v>https://twitter.com/indiadidac/status/1352924371090776066</v>
      </c>
      <c r="AA139" s="80"/>
      <c r="AB139" s="80"/>
      <c r="AC139" s="88" t="s">
        <v>747</v>
      </c>
      <c r="AD139" s="80"/>
      <c r="AE139" s="80" t="b">
        <v>0</v>
      </c>
      <c r="AF139" s="80">
        <v>0</v>
      </c>
      <c r="AG139" s="88" t="s">
        <v>763</v>
      </c>
      <c r="AH139" s="80" t="b">
        <v>0</v>
      </c>
      <c r="AI139" s="80" t="s">
        <v>764</v>
      </c>
      <c r="AJ139" s="80"/>
      <c r="AK139" s="88" t="s">
        <v>763</v>
      </c>
      <c r="AL139" s="80" t="b">
        <v>0</v>
      </c>
      <c r="AM139" s="80">
        <v>0</v>
      </c>
      <c r="AN139" s="88" t="s">
        <v>763</v>
      </c>
      <c r="AO139" s="80" t="s">
        <v>765</v>
      </c>
      <c r="AP139" s="80" t="b">
        <v>0</v>
      </c>
      <c r="AQ139" s="88" t="s">
        <v>747</v>
      </c>
      <c r="AR139" s="80" t="s">
        <v>197</v>
      </c>
      <c r="AS139" s="80">
        <v>0</v>
      </c>
      <c r="AT139" s="80">
        <v>0</v>
      </c>
      <c r="AU139" s="80"/>
      <c r="AV139" s="80"/>
      <c r="AW139" s="80"/>
      <c r="AX139" s="80"/>
      <c r="AY139" s="80"/>
      <c r="AZ139" s="80"/>
      <c r="BA139" s="80"/>
      <c r="BB139" s="80"/>
      <c r="BC139">
        <v>20</v>
      </c>
      <c r="BD139" s="79" t="str">
        <f>REPLACE(INDEX(GroupVertices[Group],MATCH(Edges25[[#This Row],[Vertex 1]],GroupVertices[Vertex],0)),1,1,"")</f>
        <v>1</v>
      </c>
      <c r="BE139" s="79" t="str">
        <f>REPLACE(INDEX(GroupVertices[Group],MATCH(Edges25[[#This Row],[Vertex 2]],GroupVertices[Vertex],0)),1,1,"")</f>
        <v>1</v>
      </c>
      <c r="BF139" s="49">
        <v>3</v>
      </c>
      <c r="BG139" s="50">
        <v>10.344827586206897</v>
      </c>
      <c r="BH139" s="49">
        <v>0</v>
      </c>
      <c r="BI139" s="50">
        <v>0</v>
      </c>
      <c r="BJ139" s="49">
        <v>0</v>
      </c>
      <c r="BK139" s="50">
        <v>0</v>
      </c>
      <c r="BL139" s="49">
        <v>26</v>
      </c>
      <c r="BM139" s="50">
        <v>89.65517241379311</v>
      </c>
      <c r="BN139" s="49">
        <v>29</v>
      </c>
    </row>
    <row r="140" spans="1:66" ht="15">
      <c r="A140" s="65" t="s">
        <v>271</v>
      </c>
      <c r="B140" s="65" t="s">
        <v>271</v>
      </c>
      <c r="C140" s="66"/>
      <c r="D140" s="67"/>
      <c r="E140" s="66"/>
      <c r="F140" s="69"/>
      <c r="G140" s="66"/>
      <c r="H140" s="70"/>
      <c r="I140" s="71"/>
      <c r="J140" s="71"/>
      <c r="K140" s="35" t="s">
        <v>65</v>
      </c>
      <c r="L140" s="72">
        <v>230</v>
      </c>
      <c r="M140" s="72"/>
      <c r="N140" s="73"/>
      <c r="O140" s="80" t="s">
        <v>197</v>
      </c>
      <c r="P140" s="82">
        <v>44219.43320601852</v>
      </c>
      <c r="Q140" s="80" t="s">
        <v>430</v>
      </c>
      <c r="R140" s="84" t="str">
        <f>HYPERLINK("https://www.tiess.online/registration?utm_source=Jim&amp;utm_medium=SM&amp;utm_campaign=TIESS&amp;utm_term=032")</f>
        <v>https://www.tiess.online/registration?utm_source=Jim&amp;utm_medium=SM&amp;utm_campaign=TIESS&amp;utm_term=032</v>
      </c>
      <c r="S140" s="80" t="s">
        <v>444</v>
      </c>
      <c r="T140" s="80" t="s">
        <v>450</v>
      </c>
      <c r="U140" s="84" t="str">
        <f>HYPERLINK("https://pbs.twimg.com/media/EsaOC-PUwAAgHVH.jpg")</f>
        <v>https://pbs.twimg.com/media/EsaOC-PUwAAgHVH.jpg</v>
      </c>
      <c r="V140" s="84" t="str">
        <f>HYPERLINK("https://pbs.twimg.com/media/EsaOC-PUwAAgHVH.jpg")</f>
        <v>https://pbs.twimg.com/media/EsaOC-PUwAAgHVH.jpg</v>
      </c>
      <c r="W140" s="82">
        <v>44219.43320601852</v>
      </c>
      <c r="X140" s="86">
        <v>44219</v>
      </c>
      <c r="Y140" s="88" t="s">
        <v>597</v>
      </c>
      <c r="Z140" s="84" t="str">
        <f>HYPERLINK("https://twitter.com/indiadidac/status/1352924996251729920")</f>
        <v>https://twitter.com/indiadidac/status/1352924996251729920</v>
      </c>
      <c r="AA140" s="80"/>
      <c r="AB140" s="80"/>
      <c r="AC140" s="88" t="s">
        <v>748</v>
      </c>
      <c r="AD140" s="80"/>
      <c r="AE140" s="80" t="b">
        <v>0</v>
      </c>
      <c r="AF140" s="80">
        <v>1</v>
      </c>
      <c r="AG140" s="88" t="s">
        <v>763</v>
      </c>
      <c r="AH140" s="80" t="b">
        <v>0</v>
      </c>
      <c r="AI140" s="80" t="s">
        <v>764</v>
      </c>
      <c r="AJ140" s="80"/>
      <c r="AK140" s="88" t="s">
        <v>763</v>
      </c>
      <c r="AL140" s="80" t="b">
        <v>0</v>
      </c>
      <c r="AM140" s="80">
        <v>0</v>
      </c>
      <c r="AN140" s="88" t="s">
        <v>763</v>
      </c>
      <c r="AO140" s="80" t="s">
        <v>765</v>
      </c>
      <c r="AP140" s="80" t="b">
        <v>0</v>
      </c>
      <c r="AQ140" s="88" t="s">
        <v>748</v>
      </c>
      <c r="AR140" s="80" t="s">
        <v>197</v>
      </c>
      <c r="AS140" s="80">
        <v>0</v>
      </c>
      <c r="AT140" s="80">
        <v>0</v>
      </c>
      <c r="AU140" s="80"/>
      <c r="AV140" s="80"/>
      <c r="AW140" s="80"/>
      <c r="AX140" s="80"/>
      <c r="AY140" s="80"/>
      <c r="AZ140" s="80"/>
      <c r="BA140" s="80"/>
      <c r="BB140" s="80"/>
      <c r="BC140">
        <v>20</v>
      </c>
      <c r="BD140" s="79" t="str">
        <f>REPLACE(INDEX(GroupVertices[Group],MATCH(Edges25[[#This Row],[Vertex 1]],GroupVertices[Vertex],0)),1,1,"")</f>
        <v>1</v>
      </c>
      <c r="BE140" s="79" t="str">
        <f>REPLACE(INDEX(GroupVertices[Group],MATCH(Edges25[[#This Row],[Vertex 2]],GroupVertices[Vertex],0)),1,1,"")</f>
        <v>1</v>
      </c>
      <c r="BF140" s="49">
        <v>1</v>
      </c>
      <c r="BG140" s="50">
        <v>4.545454545454546</v>
      </c>
      <c r="BH140" s="49">
        <v>0</v>
      </c>
      <c r="BI140" s="50">
        <v>0</v>
      </c>
      <c r="BJ140" s="49">
        <v>0</v>
      </c>
      <c r="BK140" s="50">
        <v>0</v>
      </c>
      <c r="BL140" s="49">
        <v>21</v>
      </c>
      <c r="BM140" s="50">
        <v>95.45454545454545</v>
      </c>
      <c r="BN140" s="49">
        <v>22</v>
      </c>
    </row>
    <row r="141" spans="1:66" ht="15">
      <c r="A141" s="65" t="s">
        <v>271</v>
      </c>
      <c r="B141" s="65" t="s">
        <v>350</v>
      </c>
      <c r="C141" s="66"/>
      <c r="D141" s="67"/>
      <c r="E141" s="66"/>
      <c r="F141" s="69"/>
      <c r="G141" s="66"/>
      <c r="H141" s="70"/>
      <c r="I141" s="71"/>
      <c r="J141" s="71"/>
      <c r="K141" s="35" t="s">
        <v>65</v>
      </c>
      <c r="L141" s="72">
        <v>231</v>
      </c>
      <c r="M141" s="72"/>
      <c r="N141" s="73"/>
      <c r="O141" s="80" t="s">
        <v>353</v>
      </c>
      <c r="P141" s="82">
        <v>44219.44295138889</v>
      </c>
      <c r="Q141" s="80" t="s">
        <v>431</v>
      </c>
      <c r="R141" s="84" t="str">
        <f>HYPERLINK("https://www.tiess.online/registration?utm_source=Lucy&amp;utm_medium=SM&amp;utm_campaign=TIESS&amp;utm_term=033")</f>
        <v>https://www.tiess.online/registration?utm_source=Lucy&amp;utm_medium=SM&amp;utm_campaign=TIESS&amp;utm_term=033</v>
      </c>
      <c r="S141" s="80" t="s">
        <v>444</v>
      </c>
      <c r="T141" s="80" t="s">
        <v>451</v>
      </c>
      <c r="U141" s="84" t="str">
        <f>HYPERLINK("https://pbs.twimg.com/media/EsaRNp6VoAE0MPK.jpg")</f>
        <v>https://pbs.twimg.com/media/EsaRNp6VoAE0MPK.jpg</v>
      </c>
      <c r="V141" s="84" t="str">
        <f>HYPERLINK("https://pbs.twimg.com/media/EsaRNp6VoAE0MPK.jpg")</f>
        <v>https://pbs.twimg.com/media/EsaRNp6VoAE0MPK.jpg</v>
      </c>
      <c r="W141" s="82">
        <v>44219.44295138889</v>
      </c>
      <c r="X141" s="86">
        <v>44219</v>
      </c>
      <c r="Y141" s="88" t="s">
        <v>598</v>
      </c>
      <c r="Z141" s="84" t="str">
        <f>HYPERLINK("https://twitter.com/indiadidac/status/1352928524621889537")</f>
        <v>https://twitter.com/indiadidac/status/1352928524621889537</v>
      </c>
      <c r="AA141" s="80"/>
      <c r="AB141" s="80"/>
      <c r="AC141" s="88" t="s">
        <v>749</v>
      </c>
      <c r="AD141" s="80"/>
      <c r="AE141" s="80" t="b">
        <v>0</v>
      </c>
      <c r="AF141" s="80">
        <v>1</v>
      </c>
      <c r="AG141" s="88" t="s">
        <v>763</v>
      </c>
      <c r="AH141" s="80" t="b">
        <v>0</v>
      </c>
      <c r="AI141" s="80" t="s">
        <v>764</v>
      </c>
      <c r="AJ141" s="80"/>
      <c r="AK141" s="88" t="s">
        <v>763</v>
      </c>
      <c r="AL141" s="80" t="b">
        <v>0</v>
      </c>
      <c r="AM141" s="80">
        <v>0</v>
      </c>
      <c r="AN141" s="88" t="s">
        <v>763</v>
      </c>
      <c r="AO141" s="80" t="s">
        <v>765</v>
      </c>
      <c r="AP141" s="80" t="b">
        <v>0</v>
      </c>
      <c r="AQ141" s="88" t="s">
        <v>749</v>
      </c>
      <c r="AR141" s="80" t="s">
        <v>197</v>
      </c>
      <c r="AS141" s="80">
        <v>0</v>
      </c>
      <c r="AT141" s="80">
        <v>0</v>
      </c>
      <c r="AU141" s="80"/>
      <c r="AV141" s="80"/>
      <c r="AW141" s="80"/>
      <c r="AX141" s="80"/>
      <c r="AY141" s="80"/>
      <c r="AZ141" s="80"/>
      <c r="BA141" s="80"/>
      <c r="BB141" s="80"/>
      <c r="BC141">
        <v>1</v>
      </c>
      <c r="BD141" s="79" t="str">
        <f>REPLACE(INDEX(GroupVertices[Group],MATCH(Edges25[[#This Row],[Vertex 1]],GroupVertices[Vertex],0)),1,1,"")</f>
        <v>1</v>
      </c>
      <c r="BE141" s="79" t="str">
        <f>REPLACE(INDEX(GroupVertices[Group],MATCH(Edges25[[#This Row],[Vertex 2]],GroupVertices[Vertex],0)),1,1,"")</f>
        <v>1</v>
      </c>
      <c r="BF141" s="49"/>
      <c r="BG141" s="50"/>
      <c r="BH141" s="49"/>
      <c r="BI141" s="50"/>
      <c r="BJ141" s="49"/>
      <c r="BK141" s="50"/>
      <c r="BL141" s="49"/>
      <c r="BM141" s="50"/>
      <c r="BN141" s="49"/>
    </row>
    <row r="142" spans="1:66" ht="15">
      <c r="A142" s="65" t="s">
        <v>271</v>
      </c>
      <c r="B142" s="65" t="s">
        <v>271</v>
      </c>
      <c r="C142" s="66"/>
      <c r="D142" s="67"/>
      <c r="E142" s="66"/>
      <c r="F142" s="69"/>
      <c r="G142" s="66"/>
      <c r="H142" s="70"/>
      <c r="I142" s="71"/>
      <c r="J142" s="71"/>
      <c r="K142" s="35" t="s">
        <v>65</v>
      </c>
      <c r="L142" s="72">
        <v>233</v>
      </c>
      <c r="M142" s="72"/>
      <c r="N142" s="73"/>
      <c r="O142" s="80" t="s">
        <v>197</v>
      </c>
      <c r="P142" s="82">
        <v>44219.45655092593</v>
      </c>
      <c r="Q142" s="80" t="s">
        <v>432</v>
      </c>
      <c r="R142" s="84" t="str">
        <f>HYPERLINK("https://www.tiess.online/registration?utm_source=Keith&amp;utm_medium=SM&amp;utm_campaign=TIESS&amp;utm_term=034")</f>
        <v>https://www.tiess.online/registration?utm_source=Keith&amp;utm_medium=SM&amp;utm_campaign=TIESS&amp;utm_term=034</v>
      </c>
      <c r="S142" s="80" t="s">
        <v>444</v>
      </c>
      <c r="T142" s="80" t="s">
        <v>450</v>
      </c>
      <c r="U142" s="84" t="str">
        <f>HYPERLINK("https://pbs.twimg.com/media/EsaVyhcUYAE6RSO.jpg")</f>
        <v>https://pbs.twimg.com/media/EsaVyhcUYAE6RSO.jpg</v>
      </c>
      <c r="V142" s="84" t="str">
        <f>HYPERLINK("https://pbs.twimg.com/media/EsaVyhcUYAE6RSO.jpg")</f>
        <v>https://pbs.twimg.com/media/EsaVyhcUYAE6RSO.jpg</v>
      </c>
      <c r="W142" s="82">
        <v>44219.45655092593</v>
      </c>
      <c r="X142" s="86">
        <v>44219</v>
      </c>
      <c r="Y142" s="88" t="s">
        <v>599</v>
      </c>
      <c r="Z142" s="84" t="str">
        <f>HYPERLINK("https://twitter.com/indiadidac/status/1352933456553021440")</f>
        <v>https://twitter.com/indiadidac/status/1352933456553021440</v>
      </c>
      <c r="AA142" s="80"/>
      <c r="AB142" s="80"/>
      <c r="AC142" s="88" t="s">
        <v>750</v>
      </c>
      <c r="AD142" s="80"/>
      <c r="AE142" s="80" t="b">
        <v>0</v>
      </c>
      <c r="AF142" s="80">
        <v>0</v>
      </c>
      <c r="AG142" s="88" t="s">
        <v>763</v>
      </c>
      <c r="AH142" s="80" t="b">
        <v>0</v>
      </c>
      <c r="AI142" s="80" t="s">
        <v>764</v>
      </c>
      <c r="AJ142" s="80"/>
      <c r="AK142" s="88" t="s">
        <v>763</v>
      </c>
      <c r="AL142" s="80" t="b">
        <v>0</v>
      </c>
      <c r="AM142" s="80">
        <v>0</v>
      </c>
      <c r="AN142" s="88" t="s">
        <v>763</v>
      </c>
      <c r="AO142" s="80" t="s">
        <v>765</v>
      </c>
      <c r="AP142" s="80" t="b">
        <v>0</v>
      </c>
      <c r="AQ142" s="88" t="s">
        <v>750</v>
      </c>
      <c r="AR142" s="80" t="s">
        <v>197</v>
      </c>
      <c r="AS142" s="80">
        <v>0</v>
      </c>
      <c r="AT142" s="80">
        <v>0</v>
      </c>
      <c r="AU142" s="80"/>
      <c r="AV142" s="80"/>
      <c r="AW142" s="80"/>
      <c r="AX142" s="80"/>
      <c r="AY142" s="80"/>
      <c r="AZ142" s="80"/>
      <c r="BA142" s="80"/>
      <c r="BB142" s="80"/>
      <c r="BC142">
        <v>20</v>
      </c>
      <c r="BD142" s="79" t="str">
        <f>REPLACE(INDEX(GroupVertices[Group],MATCH(Edges25[[#This Row],[Vertex 1]],GroupVertices[Vertex],0)),1,1,"")</f>
        <v>1</v>
      </c>
      <c r="BE142" s="79" t="str">
        <f>REPLACE(INDEX(GroupVertices[Group],MATCH(Edges25[[#This Row],[Vertex 2]],GroupVertices[Vertex],0)),1,1,"")</f>
        <v>1</v>
      </c>
      <c r="BF142" s="49">
        <v>2</v>
      </c>
      <c r="BG142" s="50">
        <v>5.555555555555555</v>
      </c>
      <c r="BH142" s="49">
        <v>0</v>
      </c>
      <c r="BI142" s="50">
        <v>0</v>
      </c>
      <c r="BJ142" s="49">
        <v>0</v>
      </c>
      <c r="BK142" s="50">
        <v>0</v>
      </c>
      <c r="BL142" s="49">
        <v>34</v>
      </c>
      <c r="BM142" s="50">
        <v>94.44444444444444</v>
      </c>
      <c r="BN142" s="49">
        <v>36</v>
      </c>
    </row>
    <row r="143" spans="1:66" ht="15">
      <c r="A143" s="65" t="s">
        <v>271</v>
      </c>
      <c r="B143" s="65" t="s">
        <v>271</v>
      </c>
      <c r="C143" s="66"/>
      <c r="D143" s="67"/>
      <c r="E143" s="66"/>
      <c r="F143" s="69"/>
      <c r="G143" s="66"/>
      <c r="H143" s="70"/>
      <c r="I143" s="71"/>
      <c r="J143" s="71"/>
      <c r="K143" s="35" t="s">
        <v>65</v>
      </c>
      <c r="L143" s="72">
        <v>234</v>
      </c>
      <c r="M143" s="72"/>
      <c r="N143" s="73"/>
      <c r="O143" s="80" t="s">
        <v>197</v>
      </c>
      <c r="P143" s="82">
        <v>44219.483831018515</v>
      </c>
      <c r="Q143" s="80" t="s">
        <v>433</v>
      </c>
      <c r="R143" s="84" t="str">
        <f>HYPERLINK("https://www.tiess.online/registration?utm_source=Datuk&amp;utm_medium=SM&amp;utm_campaign=TIESS&amp;utm_term=036")</f>
        <v>https://www.tiess.online/registration?utm_source=Datuk&amp;utm_medium=SM&amp;utm_campaign=TIESS&amp;utm_term=036</v>
      </c>
      <c r="S143" s="80" t="s">
        <v>444</v>
      </c>
      <c r="T143" s="80" t="s">
        <v>451</v>
      </c>
      <c r="U143" s="84" t="str">
        <f>HYPERLINK("https://pbs.twimg.com/media/EsaedxxUYAESky6.jpg")</f>
        <v>https://pbs.twimg.com/media/EsaedxxUYAESky6.jpg</v>
      </c>
      <c r="V143" s="84" t="str">
        <f>HYPERLINK("https://pbs.twimg.com/media/EsaedxxUYAESky6.jpg")</f>
        <v>https://pbs.twimg.com/media/EsaedxxUYAESky6.jpg</v>
      </c>
      <c r="W143" s="82">
        <v>44219.483831018515</v>
      </c>
      <c r="X143" s="86">
        <v>44219</v>
      </c>
      <c r="Y143" s="88" t="s">
        <v>600</v>
      </c>
      <c r="Z143" s="84" t="str">
        <f>HYPERLINK("https://twitter.com/indiadidac/status/1352943341902520330")</f>
        <v>https://twitter.com/indiadidac/status/1352943341902520330</v>
      </c>
      <c r="AA143" s="80"/>
      <c r="AB143" s="80"/>
      <c r="AC143" s="88" t="s">
        <v>751</v>
      </c>
      <c r="AD143" s="80"/>
      <c r="AE143" s="80" t="b">
        <v>0</v>
      </c>
      <c r="AF143" s="80">
        <v>0</v>
      </c>
      <c r="AG143" s="88" t="s">
        <v>763</v>
      </c>
      <c r="AH143" s="80" t="b">
        <v>0</v>
      </c>
      <c r="AI143" s="80" t="s">
        <v>764</v>
      </c>
      <c r="AJ143" s="80"/>
      <c r="AK143" s="88" t="s">
        <v>763</v>
      </c>
      <c r="AL143" s="80" t="b">
        <v>0</v>
      </c>
      <c r="AM143" s="80">
        <v>0</v>
      </c>
      <c r="AN143" s="88" t="s">
        <v>763</v>
      </c>
      <c r="AO143" s="80" t="s">
        <v>765</v>
      </c>
      <c r="AP143" s="80" t="b">
        <v>0</v>
      </c>
      <c r="AQ143" s="88" t="s">
        <v>751</v>
      </c>
      <c r="AR143" s="80" t="s">
        <v>197</v>
      </c>
      <c r="AS143" s="80">
        <v>0</v>
      </c>
      <c r="AT143" s="80">
        <v>0</v>
      </c>
      <c r="AU143" s="80"/>
      <c r="AV143" s="80"/>
      <c r="AW143" s="80"/>
      <c r="AX143" s="80"/>
      <c r="AY143" s="80"/>
      <c r="AZ143" s="80"/>
      <c r="BA143" s="80"/>
      <c r="BB143" s="80"/>
      <c r="BC143">
        <v>20</v>
      </c>
      <c r="BD143" s="79" t="str">
        <f>REPLACE(INDEX(GroupVertices[Group],MATCH(Edges25[[#This Row],[Vertex 1]],GroupVertices[Vertex],0)),1,1,"")</f>
        <v>1</v>
      </c>
      <c r="BE143" s="79" t="str">
        <f>REPLACE(INDEX(GroupVertices[Group],MATCH(Edges25[[#This Row],[Vertex 2]],GroupVertices[Vertex],0)),1,1,"")</f>
        <v>1</v>
      </c>
      <c r="BF143" s="49">
        <v>0</v>
      </c>
      <c r="BG143" s="50">
        <v>0</v>
      </c>
      <c r="BH143" s="49">
        <v>0</v>
      </c>
      <c r="BI143" s="50">
        <v>0</v>
      </c>
      <c r="BJ143" s="49">
        <v>0</v>
      </c>
      <c r="BK143" s="50">
        <v>0</v>
      </c>
      <c r="BL143" s="49">
        <v>35</v>
      </c>
      <c r="BM143" s="50">
        <v>100</v>
      </c>
      <c r="BN143" s="49">
        <v>35</v>
      </c>
    </row>
    <row r="144" spans="1:66" ht="15">
      <c r="A144" s="65" t="s">
        <v>271</v>
      </c>
      <c r="B144" s="65" t="s">
        <v>271</v>
      </c>
      <c r="C144" s="66"/>
      <c r="D144" s="67"/>
      <c r="E144" s="66"/>
      <c r="F144" s="69"/>
      <c r="G144" s="66"/>
      <c r="H144" s="70"/>
      <c r="I144" s="71"/>
      <c r="J144" s="71"/>
      <c r="K144" s="35" t="s">
        <v>65</v>
      </c>
      <c r="L144" s="72">
        <v>235</v>
      </c>
      <c r="M144" s="72"/>
      <c r="N144" s="73"/>
      <c r="O144" s="80" t="s">
        <v>197</v>
      </c>
      <c r="P144" s="82">
        <v>44219.5621875</v>
      </c>
      <c r="Q144" s="80" t="s">
        <v>434</v>
      </c>
      <c r="R144" s="84" t="str">
        <f>HYPERLINK("https://www.tiess.online/registration?utm_source=Dominic&amp;utm_medium=SM&amp;utm_campaign=TIESS&amp;utm_term=037")</f>
        <v>https://www.tiess.online/registration?utm_source=Dominic&amp;utm_medium=SM&amp;utm_campaign=TIESS&amp;utm_term=037</v>
      </c>
      <c r="S144" s="80" t="s">
        <v>444</v>
      </c>
      <c r="T144" s="80" t="s">
        <v>450</v>
      </c>
      <c r="U144" s="84" t="str">
        <f>HYPERLINK("https://pbs.twimg.com/media/Esa4kXKU0AAxg2E.jpg")</f>
        <v>https://pbs.twimg.com/media/Esa4kXKU0AAxg2E.jpg</v>
      </c>
      <c r="V144" s="84" t="str">
        <f>HYPERLINK("https://pbs.twimg.com/media/Esa4kXKU0AAxg2E.jpg")</f>
        <v>https://pbs.twimg.com/media/Esa4kXKU0AAxg2E.jpg</v>
      </c>
      <c r="W144" s="82">
        <v>44219.5621875</v>
      </c>
      <c r="X144" s="86">
        <v>44219</v>
      </c>
      <c r="Y144" s="88" t="s">
        <v>601</v>
      </c>
      <c r="Z144" s="84" t="str">
        <f>HYPERLINK("https://twitter.com/indiadidac/status/1352971736552067073")</f>
        <v>https://twitter.com/indiadidac/status/1352971736552067073</v>
      </c>
      <c r="AA144" s="80"/>
      <c r="AB144" s="80"/>
      <c r="AC144" s="88" t="s">
        <v>752</v>
      </c>
      <c r="AD144" s="80"/>
      <c r="AE144" s="80" t="b">
        <v>0</v>
      </c>
      <c r="AF144" s="80">
        <v>0</v>
      </c>
      <c r="AG144" s="88" t="s">
        <v>763</v>
      </c>
      <c r="AH144" s="80" t="b">
        <v>0</v>
      </c>
      <c r="AI144" s="80" t="s">
        <v>764</v>
      </c>
      <c r="AJ144" s="80"/>
      <c r="AK144" s="88" t="s">
        <v>763</v>
      </c>
      <c r="AL144" s="80" t="b">
        <v>0</v>
      </c>
      <c r="AM144" s="80">
        <v>0</v>
      </c>
      <c r="AN144" s="88" t="s">
        <v>763</v>
      </c>
      <c r="AO144" s="80" t="s">
        <v>765</v>
      </c>
      <c r="AP144" s="80" t="b">
        <v>0</v>
      </c>
      <c r="AQ144" s="88" t="s">
        <v>752</v>
      </c>
      <c r="AR144" s="80" t="s">
        <v>197</v>
      </c>
      <c r="AS144" s="80">
        <v>0</v>
      </c>
      <c r="AT144" s="80">
        <v>0</v>
      </c>
      <c r="AU144" s="80"/>
      <c r="AV144" s="80"/>
      <c r="AW144" s="80"/>
      <c r="AX144" s="80"/>
      <c r="AY144" s="80"/>
      <c r="AZ144" s="80"/>
      <c r="BA144" s="80"/>
      <c r="BB144" s="80"/>
      <c r="BC144">
        <v>20</v>
      </c>
      <c r="BD144" s="79" t="str">
        <f>REPLACE(INDEX(GroupVertices[Group],MATCH(Edges25[[#This Row],[Vertex 1]],GroupVertices[Vertex],0)),1,1,"")</f>
        <v>1</v>
      </c>
      <c r="BE144" s="79" t="str">
        <f>REPLACE(INDEX(GroupVertices[Group],MATCH(Edges25[[#This Row],[Vertex 2]],GroupVertices[Vertex],0)),1,1,"")</f>
        <v>1</v>
      </c>
      <c r="BF144" s="49">
        <v>1</v>
      </c>
      <c r="BG144" s="50">
        <v>3.225806451612903</v>
      </c>
      <c r="BH144" s="49">
        <v>1</v>
      </c>
      <c r="BI144" s="50">
        <v>3.225806451612903</v>
      </c>
      <c r="BJ144" s="49">
        <v>0</v>
      </c>
      <c r="BK144" s="50">
        <v>0</v>
      </c>
      <c r="BL144" s="49">
        <v>29</v>
      </c>
      <c r="BM144" s="50">
        <v>93.54838709677419</v>
      </c>
      <c r="BN144" s="49">
        <v>31</v>
      </c>
    </row>
    <row r="145" spans="1:66" ht="15">
      <c r="A145" s="65" t="s">
        <v>271</v>
      </c>
      <c r="B145" s="65" t="s">
        <v>271</v>
      </c>
      <c r="C145" s="66"/>
      <c r="D145" s="67"/>
      <c r="E145" s="66"/>
      <c r="F145" s="69"/>
      <c r="G145" s="66"/>
      <c r="H145" s="70"/>
      <c r="I145" s="71"/>
      <c r="J145" s="71"/>
      <c r="K145" s="35" t="s">
        <v>65</v>
      </c>
      <c r="L145" s="72">
        <v>236</v>
      </c>
      <c r="M145" s="72"/>
      <c r="N145" s="73"/>
      <c r="O145" s="80" t="s">
        <v>197</v>
      </c>
      <c r="P145" s="82">
        <v>44220.60128472222</v>
      </c>
      <c r="Q145" s="80" t="s">
        <v>389</v>
      </c>
      <c r="R145" s="80"/>
      <c r="S145" s="80"/>
      <c r="T145" s="80" t="s">
        <v>450</v>
      </c>
      <c r="U145" s="84" t="str">
        <f>HYPERLINK("https://pbs.twimg.com/media/EsgPDwCUcAYZq66.jpg")</f>
        <v>https://pbs.twimg.com/media/EsgPDwCUcAYZq66.jpg</v>
      </c>
      <c r="V145" s="84" t="str">
        <f>HYPERLINK("https://pbs.twimg.com/media/EsgPDwCUcAYZq66.jpg")</f>
        <v>https://pbs.twimg.com/media/EsgPDwCUcAYZq66.jpg</v>
      </c>
      <c r="W145" s="82">
        <v>44220.60128472222</v>
      </c>
      <c r="X145" s="86">
        <v>44220</v>
      </c>
      <c r="Y145" s="88" t="s">
        <v>602</v>
      </c>
      <c r="Z145" s="84" t="str">
        <f>HYPERLINK("https://twitter.com/indiadidac/status/1353348293070266369")</f>
        <v>https://twitter.com/indiadidac/status/1353348293070266369</v>
      </c>
      <c r="AA145" s="80"/>
      <c r="AB145" s="80"/>
      <c r="AC145" s="88" t="s">
        <v>753</v>
      </c>
      <c r="AD145" s="80"/>
      <c r="AE145" s="80" t="b">
        <v>0</v>
      </c>
      <c r="AF145" s="80">
        <v>2</v>
      </c>
      <c r="AG145" s="88" t="s">
        <v>763</v>
      </c>
      <c r="AH145" s="80" t="b">
        <v>0</v>
      </c>
      <c r="AI145" s="80" t="s">
        <v>764</v>
      </c>
      <c r="AJ145" s="80"/>
      <c r="AK145" s="88" t="s">
        <v>763</v>
      </c>
      <c r="AL145" s="80" t="b">
        <v>0</v>
      </c>
      <c r="AM145" s="80">
        <v>2</v>
      </c>
      <c r="AN145" s="88" t="s">
        <v>763</v>
      </c>
      <c r="AO145" s="80" t="s">
        <v>765</v>
      </c>
      <c r="AP145" s="80" t="b">
        <v>0</v>
      </c>
      <c r="AQ145" s="88" t="s">
        <v>753</v>
      </c>
      <c r="AR145" s="80" t="s">
        <v>197</v>
      </c>
      <c r="AS145" s="80">
        <v>0</v>
      </c>
      <c r="AT145" s="80">
        <v>0</v>
      </c>
      <c r="AU145" s="80"/>
      <c r="AV145" s="80"/>
      <c r="AW145" s="80"/>
      <c r="AX145" s="80"/>
      <c r="AY145" s="80"/>
      <c r="AZ145" s="80"/>
      <c r="BA145" s="80"/>
      <c r="BB145" s="80"/>
      <c r="BC145">
        <v>20</v>
      </c>
      <c r="BD145" s="79" t="str">
        <f>REPLACE(INDEX(GroupVertices[Group],MATCH(Edges25[[#This Row],[Vertex 1]],GroupVertices[Vertex],0)),1,1,"")</f>
        <v>1</v>
      </c>
      <c r="BE145" s="79" t="str">
        <f>REPLACE(INDEX(GroupVertices[Group],MATCH(Edges25[[#This Row],[Vertex 2]],GroupVertices[Vertex],0)),1,1,"")</f>
        <v>1</v>
      </c>
      <c r="BF145" s="49">
        <v>2</v>
      </c>
      <c r="BG145" s="50">
        <v>5.555555555555555</v>
      </c>
      <c r="BH145" s="49">
        <v>0</v>
      </c>
      <c r="BI145" s="50">
        <v>0</v>
      </c>
      <c r="BJ145" s="49">
        <v>0</v>
      </c>
      <c r="BK145" s="50">
        <v>0</v>
      </c>
      <c r="BL145" s="49">
        <v>34</v>
      </c>
      <c r="BM145" s="50">
        <v>94.44444444444444</v>
      </c>
      <c r="BN145" s="49">
        <v>36</v>
      </c>
    </row>
    <row r="146" spans="1:66" ht="15">
      <c r="A146" s="65" t="s">
        <v>271</v>
      </c>
      <c r="B146" s="65" t="s">
        <v>271</v>
      </c>
      <c r="C146" s="66"/>
      <c r="D146" s="67"/>
      <c r="E146" s="66"/>
      <c r="F146" s="69"/>
      <c r="G146" s="66"/>
      <c r="H146" s="70"/>
      <c r="I146" s="71"/>
      <c r="J146" s="71"/>
      <c r="K146" s="35" t="s">
        <v>65</v>
      </c>
      <c r="L146" s="72">
        <v>237</v>
      </c>
      <c r="M146" s="72"/>
      <c r="N146" s="73"/>
      <c r="O146" s="80" t="s">
        <v>197</v>
      </c>
      <c r="P146" s="82">
        <v>44221.436377314814</v>
      </c>
      <c r="Q146" s="80" t="s">
        <v>369</v>
      </c>
      <c r="R146" s="80"/>
      <c r="S146" s="80"/>
      <c r="T146" s="80" t="s">
        <v>454</v>
      </c>
      <c r="U146" s="84" t="str">
        <f>HYPERLINK("https://pbs.twimg.com/media/EskiR9xVEAYLaX3.jpg")</f>
        <v>https://pbs.twimg.com/media/EskiR9xVEAYLaX3.jpg</v>
      </c>
      <c r="V146" s="84" t="str">
        <f>HYPERLINK("https://pbs.twimg.com/media/EskiR9xVEAYLaX3.jpg")</f>
        <v>https://pbs.twimg.com/media/EskiR9xVEAYLaX3.jpg</v>
      </c>
      <c r="W146" s="82">
        <v>44221.436377314814</v>
      </c>
      <c r="X146" s="86">
        <v>44221</v>
      </c>
      <c r="Y146" s="88" t="s">
        <v>603</v>
      </c>
      <c r="Z146" s="84" t="str">
        <f>HYPERLINK("https://twitter.com/indiadidac/status/1353650920182013953")</f>
        <v>https://twitter.com/indiadidac/status/1353650920182013953</v>
      </c>
      <c r="AA146" s="80"/>
      <c r="AB146" s="80"/>
      <c r="AC146" s="88" t="s">
        <v>754</v>
      </c>
      <c r="AD146" s="80"/>
      <c r="AE146" s="80" t="b">
        <v>0</v>
      </c>
      <c r="AF146" s="80">
        <v>3</v>
      </c>
      <c r="AG146" s="88" t="s">
        <v>763</v>
      </c>
      <c r="AH146" s="80" t="b">
        <v>0</v>
      </c>
      <c r="AI146" s="80" t="s">
        <v>764</v>
      </c>
      <c r="AJ146" s="80"/>
      <c r="AK146" s="88" t="s">
        <v>763</v>
      </c>
      <c r="AL146" s="80" t="b">
        <v>0</v>
      </c>
      <c r="AM146" s="80">
        <v>2</v>
      </c>
      <c r="AN146" s="88" t="s">
        <v>763</v>
      </c>
      <c r="AO146" s="80" t="s">
        <v>768</v>
      </c>
      <c r="AP146" s="80" t="b">
        <v>0</v>
      </c>
      <c r="AQ146" s="88" t="s">
        <v>754</v>
      </c>
      <c r="AR146" s="80" t="s">
        <v>197</v>
      </c>
      <c r="AS146" s="80">
        <v>0</v>
      </c>
      <c r="AT146" s="80">
        <v>0</v>
      </c>
      <c r="AU146" s="80"/>
      <c r="AV146" s="80"/>
      <c r="AW146" s="80"/>
      <c r="AX146" s="80"/>
      <c r="AY146" s="80"/>
      <c r="AZ146" s="80"/>
      <c r="BA146" s="80"/>
      <c r="BB146" s="80"/>
      <c r="BC146">
        <v>20</v>
      </c>
      <c r="BD146" s="79" t="str">
        <f>REPLACE(INDEX(GroupVertices[Group],MATCH(Edges25[[#This Row],[Vertex 1]],GroupVertices[Vertex],0)),1,1,"")</f>
        <v>1</v>
      </c>
      <c r="BE146" s="79" t="str">
        <f>REPLACE(INDEX(GroupVertices[Group],MATCH(Edges25[[#This Row],[Vertex 2]],GroupVertices[Vertex],0)),1,1,"")</f>
        <v>1</v>
      </c>
      <c r="BF146" s="49">
        <v>2</v>
      </c>
      <c r="BG146" s="50">
        <v>5.555555555555555</v>
      </c>
      <c r="BH146" s="49">
        <v>0</v>
      </c>
      <c r="BI146" s="50">
        <v>0</v>
      </c>
      <c r="BJ146" s="49">
        <v>0</v>
      </c>
      <c r="BK146" s="50">
        <v>0</v>
      </c>
      <c r="BL146" s="49">
        <v>34</v>
      </c>
      <c r="BM146" s="50">
        <v>94.44444444444444</v>
      </c>
      <c r="BN146" s="49">
        <v>36</v>
      </c>
    </row>
    <row r="147" spans="1:66" ht="15">
      <c r="A147" s="65" t="s">
        <v>271</v>
      </c>
      <c r="B147" s="65" t="s">
        <v>271</v>
      </c>
      <c r="C147" s="66"/>
      <c r="D147" s="67"/>
      <c r="E147" s="66"/>
      <c r="F147" s="69"/>
      <c r="G147" s="66"/>
      <c r="H147" s="70"/>
      <c r="I147" s="71"/>
      <c r="J147" s="71"/>
      <c r="K147" s="35" t="s">
        <v>65</v>
      </c>
      <c r="L147" s="72">
        <v>238</v>
      </c>
      <c r="M147" s="72"/>
      <c r="N147" s="73"/>
      <c r="O147" s="80" t="s">
        <v>197</v>
      </c>
      <c r="P147" s="82">
        <v>44221.43736111111</v>
      </c>
      <c r="Q147" s="80" t="s">
        <v>435</v>
      </c>
      <c r="R147" s="84" t="str">
        <f>HYPERLINK("https://www.tiess.online/registration?utm_source=Mahdi&amp;utm_medium=Dubai&amp;utm_campaign=TIESS&amp;utm_term=042")</f>
        <v>https://www.tiess.online/registration?utm_source=Mahdi&amp;utm_medium=Dubai&amp;utm_campaign=TIESS&amp;utm_term=042</v>
      </c>
      <c r="S147" s="80" t="s">
        <v>444</v>
      </c>
      <c r="T147" s="80" t="s">
        <v>449</v>
      </c>
      <c r="U147" s="84" t="str">
        <f>HYPERLINK("https://pbs.twimg.com/media/Eskio__UwAA967X.jpg")</f>
        <v>https://pbs.twimg.com/media/Eskio__UwAA967X.jpg</v>
      </c>
      <c r="V147" s="84" t="str">
        <f>HYPERLINK("https://pbs.twimg.com/media/Eskio__UwAA967X.jpg")</f>
        <v>https://pbs.twimg.com/media/Eskio__UwAA967X.jpg</v>
      </c>
      <c r="W147" s="82">
        <v>44221.43736111111</v>
      </c>
      <c r="X147" s="86">
        <v>44221</v>
      </c>
      <c r="Y147" s="88" t="s">
        <v>604</v>
      </c>
      <c r="Z147" s="84" t="str">
        <f>HYPERLINK("https://twitter.com/indiadidac/status/1353651277788454914")</f>
        <v>https://twitter.com/indiadidac/status/1353651277788454914</v>
      </c>
      <c r="AA147" s="80"/>
      <c r="AB147" s="80"/>
      <c r="AC147" s="88" t="s">
        <v>755</v>
      </c>
      <c r="AD147" s="80"/>
      <c r="AE147" s="80" t="b">
        <v>0</v>
      </c>
      <c r="AF147" s="80">
        <v>1</v>
      </c>
      <c r="AG147" s="88" t="s">
        <v>763</v>
      </c>
      <c r="AH147" s="80" t="b">
        <v>0</v>
      </c>
      <c r="AI147" s="80" t="s">
        <v>764</v>
      </c>
      <c r="AJ147" s="80"/>
      <c r="AK147" s="88" t="s">
        <v>763</v>
      </c>
      <c r="AL147" s="80" t="b">
        <v>0</v>
      </c>
      <c r="AM147" s="80">
        <v>0</v>
      </c>
      <c r="AN147" s="88" t="s">
        <v>763</v>
      </c>
      <c r="AO147" s="80" t="s">
        <v>765</v>
      </c>
      <c r="AP147" s="80" t="b">
        <v>0</v>
      </c>
      <c r="AQ147" s="88" t="s">
        <v>755</v>
      </c>
      <c r="AR147" s="80" t="s">
        <v>197</v>
      </c>
      <c r="AS147" s="80">
        <v>0</v>
      </c>
      <c r="AT147" s="80">
        <v>0</v>
      </c>
      <c r="AU147" s="80"/>
      <c r="AV147" s="80"/>
      <c r="AW147" s="80"/>
      <c r="AX147" s="80"/>
      <c r="AY147" s="80"/>
      <c r="AZ147" s="80"/>
      <c r="BA147" s="80"/>
      <c r="BB147" s="80"/>
      <c r="BC147">
        <v>20</v>
      </c>
      <c r="BD147" s="79" t="str">
        <f>REPLACE(INDEX(GroupVertices[Group],MATCH(Edges25[[#This Row],[Vertex 1]],GroupVertices[Vertex],0)),1,1,"")</f>
        <v>1</v>
      </c>
      <c r="BE147" s="79" t="str">
        <f>REPLACE(INDEX(GroupVertices[Group],MATCH(Edges25[[#This Row],[Vertex 2]],GroupVertices[Vertex],0)),1,1,"")</f>
        <v>1</v>
      </c>
      <c r="BF147" s="49">
        <v>1</v>
      </c>
      <c r="BG147" s="50">
        <v>2.7777777777777777</v>
      </c>
      <c r="BH147" s="49">
        <v>0</v>
      </c>
      <c r="BI147" s="50">
        <v>0</v>
      </c>
      <c r="BJ147" s="49">
        <v>0</v>
      </c>
      <c r="BK147" s="50">
        <v>0</v>
      </c>
      <c r="BL147" s="49">
        <v>35</v>
      </c>
      <c r="BM147" s="50">
        <v>97.22222222222223</v>
      </c>
      <c r="BN147" s="49">
        <v>36</v>
      </c>
    </row>
    <row r="148" spans="1:66" ht="15">
      <c r="A148" s="65" t="s">
        <v>271</v>
      </c>
      <c r="B148" s="65" t="s">
        <v>271</v>
      </c>
      <c r="C148" s="66"/>
      <c r="D148" s="67"/>
      <c r="E148" s="66"/>
      <c r="F148" s="69"/>
      <c r="G148" s="66"/>
      <c r="H148" s="70"/>
      <c r="I148" s="71"/>
      <c r="J148" s="71"/>
      <c r="K148" s="35" t="s">
        <v>65</v>
      </c>
      <c r="L148" s="72">
        <v>239</v>
      </c>
      <c r="M148" s="72"/>
      <c r="N148" s="73"/>
      <c r="O148" s="80" t="s">
        <v>197</v>
      </c>
      <c r="P148" s="82">
        <v>44222.29608796296</v>
      </c>
      <c r="Q148" s="80" t="s">
        <v>436</v>
      </c>
      <c r="R148" s="84" t="str">
        <f>HYPERLINK("https://www.tiess.online/registration?utm_source=Felicity&amp;utm_medium=SM&amp;utm_campaign=TIESS&amp;utm_term=046")</f>
        <v>https://www.tiess.online/registration?utm_source=Felicity&amp;utm_medium=SM&amp;utm_campaign=TIESS&amp;utm_term=046</v>
      </c>
      <c r="S148" s="80" t="s">
        <v>444</v>
      </c>
      <c r="T148" s="80" t="s">
        <v>450</v>
      </c>
      <c r="U148" s="84" t="str">
        <f>HYPERLINK("https://pbs.twimg.com/media/Eso9qQAVEAILIDU.jpg")</f>
        <v>https://pbs.twimg.com/media/Eso9qQAVEAILIDU.jpg</v>
      </c>
      <c r="V148" s="84" t="str">
        <f>HYPERLINK("https://pbs.twimg.com/media/Eso9qQAVEAILIDU.jpg")</f>
        <v>https://pbs.twimg.com/media/Eso9qQAVEAILIDU.jpg</v>
      </c>
      <c r="W148" s="82">
        <v>44222.29608796296</v>
      </c>
      <c r="X148" s="86">
        <v>44222</v>
      </c>
      <c r="Y148" s="88" t="s">
        <v>605</v>
      </c>
      <c r="Z148" s="84" t="str">
        <f>HYPERLINK("https://twitter.com/indiadidac/status/1353962468263878659")</f>
        <v>https://twitter.com/indiadidac/status/1353962468263878659</v>
      </c>
      <c r="AA148" s="80"/>
      <c r="AB148" s="80"/>
      <c r="AC148" s="88" t="s">
        <v>756</v>
      </c>
      <c r="AD148" s="80"/>
      <c r="AE148" s="80" t="b">
        <v>0</v>
      </c>
      <c r="AF148" s="80">
        <v>2</v>
      </c>
      <c r="AG148" s="88" t="s">
        <v>763</v>
      </c>
      <c r="AH148" s="80" t="b">
        <v>0</v>
      </c>
      <c r="AI148" s="80" t="s">
        <v>764</v>
      </c>
      <c r="AJ148" s="80"/>
      <c r="AK148" s="88" t="s">
        <v>763</v>
      </c>
      <c r="AL148" s="80" t="b">
        <v>0</v>
      </c>
      <c r="AM148" s="80">
        <v>0</v>
      </c>
      <c r="AN148" s="88" t="s">
        <v>763</v>
      </c>
      <c r="AO148" s="80" t="s">
        <v>765</v>
      </c>
      <c r="AP148" s="80" t="b">
        <v>0</v>
      </c>
      <c r="AQ148" s="88" t="s">
        <v>756</v>
      </c>
      <c r="AR148" s="80" t="s">
        <v>197</v>
      </c>
      <c r="AS148" s="80">
        <v>0</v>
      </c>
      <c r="AT148" s="80">
        <v>0</v>
      </c>
      <c r="AU148" s="80"/>
      <c r="AV148" s="80"/>
      <c r="AW148" s="80"/>
      <c r="AX148" s="80"/>
      <c r="AY148" s="80"/>
      <c r="AZ148" s="80"/>
      <c r="BA148" s="80"/>
      <c r="BB148" s="80"/>
      <c r="BC148">
        <v>20</v>
      </c>
      <c r="BD148" s="79" t="str">
        <f>REPLACE(INDEX(GroupVertices[Group],MATCH(Edges25[[#This Row],[Vertex 1]],GroupVertices[Vertex],0)),1,1,"")</f>
        <v>1</v>
      </c>
      <c r="BE148" s="79" t="str">
        <f>REPLACE(INDEX(GroupVertices[Group],MATCH(Edges25[[#This Row],[Vertex 2]],GroupVertices[Vertex],0)),1,1,"")</f>
        <v>1</v>
      </c>
      <c r="BF148" s="49">
        <v>3</v>
      </c>
      <c r="BG148" s="50">
        <v>12</v>
      </c>
      <c r="BH148" s="49">
        <v>0</v>
      </c>
      <c r="BI148" s="50">
        <v>0</v>
      </c>
      <c r="BJ148" s="49">
        <v>0</v>
      </c>
      <c r="BK148" s="50">
        <v>0</v>
      </c>
      <c r="BL148" s="49">
        <v>22</v>
      </c>
      <c r="BM148" s="50">
        <v>88</v>
      </c>
      <c r="BN148" s="49">
        <v>25</v>
      </c>
    </row>
    <row r="149" spans="1:66" ht="15">
      <c r="A149" s="65" t="s">
        <v>271</v>
      </c>
      <c r="B149" s="65" t="s">
        <v>271</v>
      </c>
      <c r="C149" s="66"/>
      <c r="D149" s="67"/>
      <c r="E149" s="66"/>
      <c r="F149" s="69"/>
      <c r="G149" s="66"/>
      <c r="H149" s="70"/>
      <c r="I149" s="71"/>
      <c r="J149" s="71"/>
      <c r="K149" s="35" t="s">
        <v>65</v>
      </c>
      <c r="L149" s="72">
        <v>240</v>
      </c>
      <c r="M149" s="72"/>
      <c r="N149" s="73"/>
      <c r="O149" s="80" t="s">
        <v>197</v>
      </c>
      <c r="P149" s="82">
        <v>44222.357256944444</v>
      </c>
      <c r="Q149" s="80" t="s">
        <v>437</v>
      </c>
      <c r="R149" s="80"/>
      <c r="S149" s="80"/>
      <c r="T149" s="80" t="s">
        <v>450</v>
      </c>
      <c r="U149" s="84" t="str">
        <f>HYPERLINK("https://pbs.twimg.com/media/EspR1JnVEAMMk3C.jpg")</f>
        <v>https://pbs.twimg.com/media/EspR1JnVEAMMk3C.jpg</v>
      </c>
      <c r="V149" s="84" t="str">
        <f>HYPERLINK("https://pbs.twimg.com/media/EspR1JnVEAMMk3C.jpg")</f>
        <v>https://pbs.twimg.com/media/EspR1JnVEAMMk3C.jpg</v>
      </c>
      <c r="W149" s="82">
        <v>44222.357256944444</v>
      </c>
      <c r="X149" s="86">
        <v>44222</v>
      </c>
      <c r="Y149" s="88" t="s">
        <v>606</v>
      </c>
      <c r="Z149" s="84" t="str">
        <f>HYPERLINK("https://twitter.com/indiadidac/status/1353984633231208448")</f>
        <v>https://twitter.com/indiadidac/status/1353984633231208448</v>
      </c>
      <c r="AA149" s="80"/>
      <c r="AB149" s="80"/>
      <c r="AC149" s="88" t="s">
        <v>757</v>
      </c>
      <c r="AD149" s="80"/>
      <c r="AE149" s="80" t="b">
        <v>0</v>
      </c>
      <c r="AF149" s="80">
        <v>1</v>
      </c>
      <c r="AG149" s="88" t="s">
        <v>763</v>
      </c>
      <c r="AH149" s="80" t="b">
        <v>0</v>
      </c>
      <c r="AI149" s="80" t="s">
        <v>764</v>
      </c>
      <c r="AJ149" s="80"/>
      <c r="AK149" s="88" t="s">
        <v>763</v>
      </c>
      <c r="AL149" s="80" t="b">
        <v>0</v>
      </c>
      <c r="AM149" s="80">
        <v>0</v>
      </c>
      <c r="AN149" s="88" t="s">
        <v>763</v>
      </c>
      <c r="AO149" s="80" t="s">
        <v>768</v>
      </c>
      <c r="AP149" s="80" t="b">
        <v>0</v>
      </c>
      <c r="AQ149" s="88" t="s">
        <v>757</v>
      </c>
      <c r="AR149" s="80" t="s">
        <v>197</v>
      </c>
      <c r="AS149" s="80">
        <v>0</v>
      </c>
      <c r="AT149" s="80">
        <v>0</v>
      </c>
      <c r="AU149" s="80"/>
      <c r="AV149" s="80"/>
      <c r="AW149" s="80"/>
      <c r="AX149" s="80"/>
      <c r="AY149" s="80"/>
      <c r="AZ149" s="80"/>
      <c r="BA149" s="80"/>
      <c r="BB149" s="80"/>
      <c r="BC149">
        <v>20</v>
      </c>
      <c r="BD149" s="79" t="str">
        <f>REPLACE(INDEX(GroupVertices[Group],MATCH(Edges25[[#This Row],[Vertex 1]],GroupVertices[Vertex],0)),1,1,"")</f>
        <v>1</v>
      </c>
      <c r="BE149" s="79" t="str">
        <f>REPLACE(INDEX(GroupVertices[Group],MATCH(Edges25[[#This Row],[Vertex 2]],GroupVertices[Vertex],0)),1,1,"")</f>
        <v>1</v>
      </c>
      <c r="BF149" s="49">
        <v>2</v>
      </c>
      <c r="BG149" s="50">
        <v>5</v>
      </c>
      <c r="BH149" s="49">
        <v>0</v>
      </c>
      <c r="BI149" s="50">
        <v>0</v>
      </c>
      <c r="BJ149" s="49">
        <v>0</v>
      </c>
      <c r="BK149" s="50">
        <v>0</v>
      </c>
      <c r="BL149" s="49">
        <v>38</v>
      </c>
      <c r="BM149" s="50">
        <v>95</v>
      </c>
      <c r="BN149" s="49">
        <v>40</v>
      </c>
    </row>
    <row r="150" spans="1:66" ht="15">
      <c r="A150" s="65" t="s">
        <v>300</v>
      </c>
      <c r="B150" s="65" t="s">
        <v>271</v>
      </c>
      <c r="C150" s="66"/>
      <c r="D150" s="67"/>
      <c r="E150" s="66"/>
      <c r="F150" s="69"/>
      <c r="G150" s="66"/>
      <c r="H150" s="70"/>
      <c r="I150" s="71"/>
      <c r="J150" s="71"/>
      <c r="K150" s="35" t="s">
        <v>66</v>
      </c>
      <c r="L150" s="72">
        <v>242</v>
      </c>
      <c r="M150" s="72"/>
      <c r="N150" s="73"/>
      <c r="O150" s="80" t="s">
        <v>353</v>
      </c>
      <c r="P150" s="82">
        <v>44222.96543981481</v>
      </c>
      <c r="Q150" s="80" t="s">
        <v>438</v>
      </c>
      <c r="R150" s="84" t="str">
        <f>HYPERLINK("https://www.tiess.online/registration?utm_source=SM&amp;utm_medium=Swaroop&amp;utm_campaign=TIESS&amp;utm_term=015")</f>
        <v>https://www.tiess.online/registration?utm_source=SM&amp;utm_medium=Swaroop&amp;utm_campaign=TIESS&amp;utm_term=015</v>
      </c>
      <c r="S150" s="80" t="s">
        <v>444</v>
      </c>
      <c r="T150" s="80" t="s">
        <v>450</v>
      </c>
      <c r="U150" s="84" t="str">
        <f>HYPERLINK("https://pbs.twimg.com/media/EssY91zU0AAwEQb.jpg")</f>
        <v>https://pbs.twimg.com/media/EssY91zU0AAwEQb.jpg</v>
      </c>
      <c r="V150" s="84" t="str">
        <f>HYPERLINK("https://pbs.twimg.com/media/EssY91zU0AAwEQb.jpg")</f>
        <v>https://pbs.twimg.com/media/EssY91zU0AAwEQb.jpg</v>
      </c>
      <c r="W150" s="82">
        <v>44222.96543981481</v>
      </c>
      <c r="X150" s="86">
        <v>44222</v>
      </c>
      <c r="Y150" s="88" t="s">
        <v>607</v>
      </c>
      <c r="Z150" s="84" t="str">
        <f>HYPERLINK("https://twitter.com/gen_global_/status/1354205033919770626")</f>
        <v>https://twitter.com/gen_global_/status/1354205033919770626</v>
      </c>
      <c r="AA150" s="80"/>
      <c r="AB150" s="80"/>
      <c r="AC150" s="88" t="s">
        <v>758</v>
      </c>
      <c r="AD150" s="80"/>
      <c r="AE150" s="80" t="b">
        <v>0</v>
      </c>
      <c r="AF150" s="80">
        <v>0</v>
      </c>
      <c r="AG150" s="88" t="s">
        <v>763</v>
      </c>
      <c r="AH150" s="80" t="b">
        <v>0</v>
      </c>
      <c r="AI150" s="80" t="s">
        <v>764</v>
      </c>
      <c r="AJ150" s="80"/>
      <c r="AK150" s="88" t="s">
        <v>763</v>
      </c>
      <c r="AL150" s="80" t="b">
        <v>0</v>
      </c>
      <c r="AM150" s="80">
        <v>0</v>
      </c>
      <c r="AN150" s="88" t="s">
        <v>763</v>
      </c>
      <c r="AO150" s="80" t="s">
        <v>765</v>
      </c>
      <c r="AP150" s="80" t="b">
        <v>0</v>
      </c>
      <c r="AQ150" s="88" t="s">
        <v>758</v>
      </c>
      <c r="AR150" s="80" t="s">
        <v>197</v>
      </c>
      <c r="AS150" s="80">
        <v>0</v>
      </c>
      <c r="AT150" s="80">
        <v>0</v>
      </c>
      <c r="AU150" s="80"/>
      <c r="AV150" s="80"/>
      <c r="AW150" s="80"/>
      <c r="AX150" s="80"/>
      <c r="AY150" s="80"/>
      <c r="AZ150" s="80"/>
      <c r="BA150" s="80"/>
      <c r="BB150" s="80"/>
      <c r="BC150">
        <v>1</v>
      </c>
      <c r="BD150" s="79" t="str">
        <f>REPLACE(INDEX(GroupVertices[Group],MATCH(Edges25[[#This Row],[Vertex 1]],GroupVertices[Vertex],0)),1,1,"")</f>
        <v>1</v>
      </c>
      <c r="BE150" s="79" t="str">
        <f>REPLACE(INDEX(GroupVertices[Group],MATCH(Edges25[[#This Row],[Vertex 2]],GroupVertices[Vertex],0)),1,1,"")</f>
        <v>1</v>
      </c>
      <c r="BF150" s="49"/>
      <c r="BG150" s="50"/>
      <c r="BH150" s="49"/>
      <c r="BI150" s="50"/>
      <c r="BJ150" s="49"/>
      <c r="BK150" s="50"/>
      <c r="BL150" s="49"/>
      <c r="BM150" s="50"/>
      <c r="BN150" s="49"/>
    </row>
    <row r="151" spans="1:66" ht="15">
      <c r="A151" s="65" t="s">
        <v>292</v>
      </c>
      <c r="B151" s="65" t="s">
        <v>292</v>
      </c>
      <c r="C151" s="66"/>
      <c r="D151" s="67"/>
      <c r="E151" s="66"/>
      <c r="F151" s="69"/>
      <c r="G151" s="66"/>
      <c r="H151" s="70"/>
      <c r="I151" s="71"/>
      <c r="J151" s="71"/>
      <c r="K151" s="35" t="s">
        <v>65</v>
      </c>
      <c r="L151" s="72">
        <v>244</v>
      </c>
      <c r="M151" s="72"/>
      <c r="N151" s="73"/>
      <c r="O151" s="80" t="s">
        <v>197</v>
      </c>
      <c r="P151" s="82">
        <v>44222.654502314814</v>
      </c>
      <c r="Q151" s="80" t="s">
        <v>439</v>
      </c>
      <c r="R151" s="84" t="str">
        <f>HYPERLINK("https://www.tiess.online/registration?utm_source=SM&amp;utm_medium=Rashef&amp;utm_campaign=TIESS&amp;utm_term=020")</f>
        <v>https://www.tiess.online/registration?utm_source=SM&amp;utm_medium=Rashef&amp;utm_campaign=TIESS&amp;utm_term=020</v>
      </c>
      <c r="S151" s="80" t="s">
        <v>444</v>
      </c>
      <c r="T151" s="80" t="s">
        <v>460</v>
      </c>
      <c r="U151" s="84" t="str">
        <f>HYPERLINK("https://pbs.twimg.com/media/EsqzzLLWMAAQ7w-.jpg")</f>
        <v>https://pbs.twimg.com/media/EsqzzLLWMAAQ7w-.jpg</v>
      </c>
      <c r="V151" s="84" t="str">
        <f>HYPERLINK("https://pbs.twimg.com/media/EsqzzLLWMAAQ7w-.jpg")</f>
        <v>https://pbs.twimg.com/media/EsqzzLLWMAAQ7w-.jpg</v>
      </c>
      <c r="W151" s="82">
        <v>44222.654502314814</v>
      </c>
      <c r="X151" s="86">
        <v>44222</v>
      </c>
      <c r="Y151" s="88" t="s">
        <v>608</v>
      </c>
      <c r="Z151" s="84" t="str">
        <f>HYPERLINK("https://twitter.com/shaireshef/status/1354092352420327424")</f>
        <v>https://twitter.com/shaireshef/status/1354092352420327424</v>
      </c>
      <c r="AA151" s="80"/>
      <c r="AB151" s="80"/>
      <c r="AC151" s="88" t="s">
        <v>759</v>
      </c>
      <c r="AD151" s="80"/>
      <c r="AE151" s="80" t="b">
        <v>0</v>
      </c>
      <c r="AF151" s="80">
        <v>5</v>
      </c>
      <c r="AG151" s="88" t="s">
        <v>763</v>
      </c>
      <c r="AH151" s="80" t="b">
        <v>0</v>
      </c>
      <c r="AI151" s="80" t="s">
        <v>764</v>
      </c>
      <c r="AJ151" s="80"/>
      <c r="AK151" s="88" t="s">
        <v>763</v>
      </c>
      <c r="AL151" s="80" t="b">
        <v>0</v>
      </c>
      <c r="AM151" s="80">
        <v>2</v>
      </c>
      <c r="AN151" s="88" t="s">
        <v>763</v>
      </c>
      <c r="AO151" s="80" t="s">
        <v>765</v>
      </c>
      <c r="AP151" s="80" t="b">
        <v>0</v>
      </c>
      <c r="AQ151" s="88" t="s">
        <v>759</v>
      </c>
      <c r="AR151" s="80" t="s">
        <v>197</v>
      </c>
      <c r="AS151" s="80">
        <v>0</v>
      </c>
      <c r="AT151" s="80">
        <v>0</v>
      </c>
      <c r="AU151" s="80"/>
      <c r="AV151" s="80"/>
      <c r="AW151" s="80"/>
      <c r="AX151" s="80"/>
      <c r="AY151" s="80"/>
      <c r="AZ151" s="80"/>
      <c r="BA151" s="80"/>
      <c r="BB151" s="80"/>
      <c r="BC151">
        <v>1</v>
      </c>
      <c r="BD151" s="79" t="str">
        <f>REPLACE(INDEX(GroupVertices[Group],MATCH(Edges25[[#This Row],[Vertex 1]],GroupVertices[Vertex],0)),1,1,"")</f>
        <v>2</v>
      </c>
      <c r="BE151" s="79" t="str">
        <f>REPLACE(INDEX(GroupVertices[Group],MATCH(Edges25[[#This Row],[Vertex 2]],GroupVertices[Vertex],0)),1,1,"")</f>
        <v>2</v>
      </c>
      <c r="BF151" s="49">
        <v>0</v>
      </c>
      <c r="BG151" s="50">
        <v>0</v>
      </c>
      <c r="BH151" s="49">
        <v>0</v>
      </c>
      <c r="BI151" s="50">
        <v>0</v>
      </c>
      <c r="BJ151" s="49">
        <v>0</v>
      </c>
      <c r="BK151" s="50">
        <v>0</v>
      </c>
      <c r="BL151" s="49">
        <v>13</v>
      </c>
      <c r="BM151" s="50">
        <v>100</v>
      </c>
      <c r="BN151" s="49">
        <v>13</v>
      </c>
    </row>
    <row r="152" spans="1:66" ht="15">
      <c r="A152" s="65" t="s">
        <v>301</v>
      </c>
      <c r="B152" s="65" t="s">
        <v>292</v>
      </c>
      <c r="C152" s="66"/>
      <c r="D152" s="67"/>
      <c r="E152" s="66"/>
      <c r="F152" s="69"/>
      <c r="G152" s="66"/>
      <c r="H152" s="70"/>
      <c r="I152" s="71"/>
      <c r="J152" s="71"/>
      <c r="K152" s="35" t="s">
        <v>65</v>
      </c>
      <c r="L152" s="72">
        <v>245</v>
      </c>
      <c r="M152" s="72"/>
      <c r="N152" s="73"/>
      <c r="O152" s="80" t="s">
        <v>351</v>
      </c>
      <c r="P152" s="82">
        <v>44223.05483796296</v>
      </c>
      <c r="Q152" s="80" t="s">
        <v>439</v>
      </c>
      <c r="R152" s="84" t="str">
        <f>HYPERLINK("https://www.tiess.online/registration?utm_source=SM&amp;utm_medium=Rashef&amp;utm_campaign=TIESS&amp;utm_term=020")</f>
        <v>https://www.tiess.online/registration?utm_source=SM&amp;utm_medium=Rashef&amp;utm_campaign=TIESS&amp;utm_term=020</v>
      </c>
      <c r="S152" s="80" t="s">
        <v>444</v>
      </c>
      <c r="T152" s="80" t="s">
        <v>460</v>
      </c>
      <c r="U152" s="84" t="str">
        <f>HYPERLINK("https://pbs.twimg.com/media/EsqzzLLWMAAQ7w-.jpg")</f>
        <v>https://pbs.twimg.com/media/EsqzzLLWMAAQ7w-.jpg</v>
      </c>
      <c r="V152" s="84" t="str">
        <f>HYPERLINK("https://pbs.twimg.com/media/EsqzzLLWMAAQ7w-.jpg")</f>
        <v>https://pbs.twimg.com/media/EsqzzLLWMAAQ7w-.jpg</v>
      </c>
      <c r="W152" s="82">
        <v>44223.05483796296</v>
      </c>
      <c r="X152" s="86">
        <v>44223</v>
      </c>
      <c r="Y152" s="88" t="s">
        <v>609</v>
      </c>
      <c r="Z152" s="84" t="str">
        <f>HYPERLINK("https://twitter.com/diakonstefanos/status/1354237429079707650")</f>
        <v>https://twitter.com/diakonstefanos/status/1354237429079707650</v>
      </c>
      <c r="AA152" s="80"/>
      <c r="AB152" s="80"/>
      <c r="AC152" s="88" t="s">
        <v>760</v>
      </c>
      <c r="AD152" s="80"/>
      <c r="AE152" s="80" t="b">
        <v>0</v>
      </c>
      <c r="AF152" s="80">
        <v>0</v>
      </c>
      <c r="AG152" s="88" t="s">
        <v>763</v>
      </c>
      <c r="AH152" s="80" t="b">
        <v>0</v>
      </c>
      <c r="AI152" s="80" t="s">
        <v>764</v>
      </c>
      <c r="AJ152" s="80"/>
      <c r="AK152" s="88" t="s">
        <v>763</v>
      </c>
      <c r="AL152" s="80" t="b">
        <v>0</v>
      </c>
      <c r="AM152" s="80">
        <v>2</v>
      </c>
      <c r="AN152" s="88" t="s">
        <v>759</v>
      </c>
      <c r="AO152" s="80" t="s">
        <v>765</v>
      </c>
      <c r="AP152" s="80" t="b">
        <v>0</v>
      </c>
      <c r="AQ152" s="88" t="s">
        <v>759</v>
      </c>
      <c r="AR152" s="80" t="s">
        <v>197</v>
      </c>
      <c r="AS152" s="80">
        <v>0</v>
      </c>
      <c r="AT152" s="80">
        <v>0</v>
      </c>
      <c r="AU152" s="80"/>
      <c r="AV152" s="80"/>
      <c r="AW152" s="80"/>
      <c r="AX152" s="80"/>
      <c r="AY152" s="80"/>
      <c r="AZ152" s="80"/>
      <c r="BA152" s="80"/>
      <c r="BB152" s="80"/>
      <c r="BC152">
        <v>1</v>
      </c>
      <c r="BD152" s="79" t="str">
        <f>REPLACE(INDEX(GroupVertices[Group],MATCH(Edges25[[#This Row],[Vertex 1]],GroupVertices[Vertex],0)),1,1,"")</f>
        <v>2</v>
      </c>
      <c r="BE152" s="79" t="str">
        <f>REPLACE(INDEX(GroupVertices[Group],MATCH(Edges25[[#This Row],[Vertex 2]],GroupVertices[Vertex],0)),1,1,"")</f>
        <v>2</v>
      </c>
      <c r="BF152" s="49">
        <v>0</v>
      </c>
      <c r="BG152" s="50">
        <v>0</v>
      </c>
      <c r="BH152" s="49">
        <v>0</v>
      </c>
      <c r="BI152" s="50">
        <v>0</v>
      </c>
      <c r="BJ152" s="49">
        <v>0</v>
      </c>
      <c r="BK152" s="50">
        <v>0</v>
      </c>
      <c r="BL152" s="49">
        <v>13</v>
      </c>
      <c r="BM152" s="50">
        <v>100</v>
      </c>
      <c r="BN152" s="49">
        <v>13</v>
      </c>
    </row>
    <row r="153" spans="1:66" ht="15">
      <c r="A153" s="65" t="s">
        <v>302</v>
      </c>
      <c r="B153" s="65" t="s">
        <v>302</v>
      </c>
      <c r="C153" s="66"/>
      <c r="D153" s="67"/>
      <c r="E153" s="66"/>
      <c r="F153" s="69"/>
      <c r="G153" s="66"/>
      <c r="H153" s="70"/>
      <c r="I153" s="71"/>
      <c r="J153" s="71"/>
      <c r="K153" s="35" t="s">
        <v>65</v>
      </c>
      <c r="L153" s="72">
        <v>246</v>
      </c>
      <c r="M153" s="72"/>
      <c r="N153" s="73"/>
      <c r="O153" s="80" t="s">
        <v>197</v>
      </c>
      <c r="P153" s="82">
        <v>44223.07519675926</v>
      </c>
      <c r="Q153" s="80" t="s">
        <v>440</v>
      </c>
      <c r="R153" s="84" t="str">
        <f>HYPERLINK("https://www.tiess.online")</f>
        <v>https://www.tiess.online</v>
      </c>
      <c r="S153" s="80" t="s">
        <v>444</v>
      </c>
      <c r="T153" s="80" t="s">
        <v>451</v>
      </c>
      <c r="U153" s="84" t="str">
        <f>HYPERLINK("https://pbs.twimg.com/media/Ess-ec-W4AAHvDb.jpg")</f>
        <v>https://pbs.twimg.com/media/Ess-ec-W4AAHvDb.jpg</v>
      </c>
      <c r="V153" s="84" t="str">
        <f>HYPERLINK("https://pbs.twimg.com/media/Ess-ec-W4AAHvDb.jpg")</f>
        <v>https://pbs.twimg.com/media/Ess-ec-W4AAHvDb.jpg</v>
      </c>
      <c r="W153" s="82">
        <v>44223.07519675926</v>
      </c>
      <c r="X153" s="86">
        <v>44223</v>
      </c>
      <c r="Y153" s="88" t="s">
        <v>610</v>
      </c>
      <c r="Z153" s="84" t="str">
        <f>HYPERLINK("https://twitter.com/sambeckertweets/status/1354244808706031618")</f>
        <v>https://twitter.com/sambeckertweets/status/1354244808706031618</v>
      </c>
      <c r="AA153" s="80"/>
      <c r="AB153" s="80"/>
      <c r="AC153" s="88" t="s">
        <v>761</v>
      </c>
      <c r="AD153" s="80"/>
      <c r="AE153" s="80" t="b">
        <v>0</v>
      </c>
      <c r="AF153" s="80">
        <v>1</v>
      </c>
      <c r="AG153" s="88" t="s">
        <v>763</v>
      </c>
      <c r="AH153" s="80" t="b">
        <v>0</v>
      </c>
      <c r="AI153" s="80" t="s">
        <v>764</v>
      </c>
      <c r="AJ153" s="80"/>
      <c r="AK153" s="88" t="s">
        <v>763</v>
      </c>
      <c r="AL153" s="80" t="b">
        <v>0</v>
      </c>
      <c r="AM153" s="80">
        <v>0</v>
      </c>
      <c r="AN153" s="88" t="s">
        <v>763</v>
      </c>
      <c r="AO153" s="80" t="s">
        <v>767</v>
      </c>
      <c r="AP153" s="80" t="b">
        <v>0</v>
      </c>
      <c r="AQ153" s="88" t="s">
        <v>761</v>
      </c>
      <c r="AR153" s="80" t="s">
        <v>197</v>
      </c>
      <c r="AS153" s="80">
        <v>0</v>
      </c>
      <c r="AT153" s="80">
        <v>0</v>
      </c>
      <c r="AU153" s="80"/>
      <c r="AV153" s="80"/>
      <c r="AW153" s="80"/>
      <c r="AX153" s="80"/>
      <c r="AY153" s="80"/>
      <c r="AZ153" s="80"/>
      <c r="BA153" s="80"/>
      <c r="BB153" s="80"/>
      <c r="BC153">
        <v>1</v>
      </c>
      <c r="BD153" s="79" t="str">
        <f>REPLACE(INDEX(GroupVertices[Group],MATCH(Edges25[[#This Row],[Vertex 1]],GroupVertices[Vertex],0)),1,1,"")</f>
        <v>1</v>
      </c>
      <c r="BE153" s="79" t="str">
        <f>REPLACE(INDEX(GroupVertices[Group],MATCH(Edges25[[#This Row],[Vertex 2]],GroupVertices[Vertex],0)),1,1,"")</f>
        <v>1</v>
      </c>
      <c r="BF153" s="49">
        <v>0</v>
      </c>
      <c r="BG153" s="50">
        <v>0</v>
      </c>
      <c r="BH153" s="49">
        <v>0</v>
      </c>
      <c r="BI153" s="50">
        <v>0</v>
      </c>
      <c r="BJ153" s="49">
        <v>0</v>
      </c>
      <c r="BK153" s="50">
        <v>0</v>
      </c>
      <c r="BL153" s="49">
        <v>44</v>
      </c>
      <c r="BM153" s="50">
        <v>100</v>
      </c>
      <c r="BN153" s="49">
        <v>44</v>
      </c>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6EA8-C232-47B9-9E89-2DD7A865C55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2117</v>
      </c>
      <c r="B1" s="13" t="s">
        <v>34</v>
      </c>
    </row>
    <row r="2" spans="1:2" ht="15">
      <c r="A2" s="105" t="s">
        <v>271</v>
      </c>
      <c r="B2" s="79">
        <v>11141.166667</v>
      </c>
    </row>
    <row r="3" spans="1:2" ht="15">
      <c r="A3" s="106" t="s">
        <v>264</v>
      </c>
      <c r="B3" s="79">
        <v>636</v>
      </c>
    </row>
    <row r="4" spans="1:2" ht="15">
      <c r="A4" s="106" t="s">
        <v>244</v>
      </c>
      <c r="B4" s="79">
        <v>631</v>
      </c>
    </row>
    <row r="5" spans="1:2" ht="15">
      <c r="A5" s="106" t="s">
        <v>292</v>
      </c>
      <c r="B5" s="79">
        <v>548.333333</v>
      </c>
    </row>
    <row r="6" spans="1:2" ht="15">
      <c r="A6" s="106" t="s">
        <v>287</v>
      </c>
      <c r="B6" s="79">
        <v>214</v>
      </c>
    </row>
    <row r="7" spans="1:2" ht="15">
      <c r="A7" s="106" t="s">
        <v>294</v>
      </c>
      <c r="B7" s="79">
        <v>181.666667</v>
      </c>
    </row>
    <row r="8" spans="1:2" ht="15">
      <c r="A8" s="106" t="s">
        <v>307</v>
      </c>
      <c r="B8" s="79">
        <v>21</v>
      </c>
    </row>
    <row r="9" spans="1:2" ht="15">
      <c r="A9" s="106" t="s">
        <v>304</v>
      </c>
      <c r="B9" s="79">
        <v>7.666667</v>
      </c>
    </row>
    <row r="10" spans="1:2" ht="15">
      <c r="A10" s="106" t="s">
        <v>298</v>
      </c>
      <c r="B10" s="79">
        <v>6</v>
      </c>
    </row>
    <row r="11" spans="1:2" ht="15">
      <c r="A11" s="106" t="s">
        <v>279</v>
      </c>
      <c r="B11" s="7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7D35F-5F7F-4351-870C-64C8526F39A4}">
  <dimension ref="A25:B108"/>
  <sheetViews>
    <sheetView workbookViewId="0" topLeftCell="A1"/>
  </sheetViews>
  <sheetFormatPr defaultColWidth="9.140625" defaultRowHeight="15"/>
  <cols>
    <col min="1" max="1" width="14.28125" style="0" bestFit="1" customWidth="1"/>
    <col min="2" max="2" width="23.7109375" style="0" bestFit="1" customWidth="1"/>
  </cols>
  <sheetData>
    <row r="25" spans="1:2" ht="15">
      <c r="A25" s="115" t="s">
        <v>2119</v>
      </c>
      <c r="B25" t="s">
        <v>2118</v>
      </c>
    </row>
    <row r="26" spans="1:2" ht="15">
      <c r="A26" s="116" t="s">
        <v>2032</v>
      </c>
      <c r="B26" s="3">
        <v>151</v>
      </c>
    </row>
    <row r="27" spans="1:2" ht="15">
      <c r="A27" s="117" t="s">
        <v>2121</v>
      </c>
      <c r="B27" s="3">
        <v>151</v>
      </c>
    </row>
    <row r="28" spans="1:2" ht="15">
      <c r="A28" s="118" t="s">
        <v>2122</v>
      </c>
      <c r="B28" s="3">
        <v>12</v>
      </c>
    </row>
    <row r="29" spans="1:2" ht="15">
      <c r="A29" s="119" t="s">
        <v>2123</v>
      </c>
      <c r="B29" s="3">
        <v>2</v>
      </c>
    </row>
    <row r="30" spans="1:2" ht="15">
      <c r="A30" s="119" t="s">
        <v>2124</v>
      </c>
      <c r="B30" s="3">
        <v>5</v>
      </c>
    </row>
    <row r="31" spans="1:2" ht="15">
      <c r="A31" s="119" t="s">
        <v>2125</v>
      </c>
      <c r="B31" s="3">
        <v>2</v>
      </c>
    </row>
    <row r="32" spans="1:2" ht="15">
      <c r="A32" s="119" t="s">
        <v>2126</v>
      </c>
      <c r="B32" s="3">
        <v>2</v>
      </c>
    </row>
    <row r="33" spans="1:2" ht="15">
      <c r="A33" s="119" t="s">
        <v>2127</v>
      </c>
      <c r="B33" s="3">
        <v>1</v>
      </c>
    </row>
    <row r="34" spans="1:2" ht="15">
      <c r="A34" s="118" t="s">
        <v>2128</v>
      </c>
      <c r="B34" s="3">
        <v>6</v>
      </c>
    </row>
    <row r="35" spans="1:2" ht="15">
      <c r="A35" s="119" t="s">
        <v>2129</v>
      </c>
      <c r="B35" s="3">
        <v>2</v>
      </c>
    </row>
    <row r="36" spans="1:2" ht="15">
      <c r="A36" s="119" t="s">
        <v>2130</v>
      </c>
      <c r="B36" s="3">
        <v>2</v>
      </c>
    </row>
    <row r="37" spans="1:2" ht="15">
      <c r="A37" s="119" t="s">
        <v>2124</v>
      </c>
      <c r="B37" s="3">
        <v>1</v>
      </c>
    </row>
    <row r="38" spans="1:2" ht="15">
      <c r="A38" s="119" t="s">
        <v>2131</v>
      </c>
      <c r="B38" s="3">
        <v>1</v>
      </c>
    </row>
    <row r="39" spans="1:2" ht="15">
      <c r="A39" s="118" t="s">
        <v>2132</v>
      </c>
      <c r="B39" s="3">
        <v>20</v>
      </c>
    </row>
    <row r="40" spans="1:2" ht="15">
      <c r="A40" s="119" t="s">
        <v>2133</v>
      </c>
      <c r="B40" s="3">
        <v>2</v>
      </c>
    </row>
    <row r="41" spans="1:2" ht="15">
      <c r="A41" s="119" t="s">
        <v>2129</v>
      </c>
      <c r="B41" s="3">
        <v>3</v>
      </c>
    </row>
    <row r="42" spans="1:2" ht="15">
      <c r="A42" s="119" t="s">
        <v>2134</v>
      </c>
      <c r="B42" s="3">
        <v>3</v>
      </c>
    </row>
    <row r="43" spans="1:2" ht="15">
      <c r="A43" s="119" t="s">
        <v>2135</v>
      </c>
      <c r="B43" s="3">
        <v>2</v>
      </c>
    </row>
    <row r="44" spans="1:2" ht="15">
      <c r="A44" s="119" t="s">
        <v>2123</v>
      </c>
      <c r="B44" s="3">
        <v>4</v>
      </c>
    </row>
    <row r="45" spans="1:2" ht="15">
      <c r="A45" s="119" t="s">
        <v>2124</v>
      </c>
      <c r="B45" s="3">
        <v>1</v>
      </c>
    </row>
    <row r="46" spans="1:2" ht="15">
      <c r="A46" s="119" t="s">
        <v>2125</v>
      </c>
      <c r="B46" s="3">
        <v>1</v>
      </c>
    </row>
    <row r="47" spans="1:2" ht="15">
      <c r="A47" s="119" t="s">
        <v>2131</v>
      </c>
      <c r="B47" s="3">
        <v>1</v>
      </c>
    </row>
    <row r="48" spans="1:2" ht="15">
      <c r="A48" s="119" t="s">
        <v>2127</v>
      </c>
      <c r="B48" s="3">
        <v>1</v>
      </c>
    </row>
    <row r="49" spans="1:2" ht="15">
      <c r="A49" s="119" t="s">
        <v>2136</v>
      </c>
      <c r="B49" s="3">
        <v>1</v>
      </c>
    </row>
    <row r="50" spans="1:2" ht="15">
      <c r="A50" s="119" t="s">
        <v>2137</v>
      </c>
      <c r="B50" s="3">
        <v>1</v>
      </c>
    </row>
    <row r="51" spans="1:2" ht="15">
      <c r="A51" s="118" t="s">
        <v>2138</v>
      </c>
      <c r="B51" s="3">
        <v>43</v>
      </c>
    </row>
    <row r="52" spans="1:2" ht="15">
      <c r="A52" s="119" t="s">
        <v>2129</v>
      </c>
      <c r="B52" s="3">
        <v>1</v>
      </c>
    </row>
    <row r="53" spans="1:2" ht="15">
      <c r="A53" s="119" t="s">
        <v>2134</v>
      </c>
      <c r="B53" s="3">
        <v>1</v>
      </c>
    </row>
    <row r="54" spans="1:2" ht="15">
      <c r="A54" s="119" t="s">
        <v>2135</v>
      </c>
      <c r="B54" s="3">
        <v>2</v>
      </c>
    </row>
    <row r="55" spans="1:2" ht="15">
      <c r="A55" s="119" t="s">
        <v>2139</v>
      </c>
      <c r="B55" s="3">
        <v>4</v>
      </c>
    </row>
    <row r="56" spans="1:2" ht="15">
      <c r="A56" s="119" t="s">
        <v>2123</v>
      </c>
      <c r="B56" s="3">
        <v>6</v>
      </c>
    </row>
    <row r="57" spans="1:2" ht="15">
      <c r="A57" s="119" t="s">
        <v>2130</v>
      </c>
      <c r="B57" s="3">
        <v>2</v>
      </c>
    </row>
    <row r="58" spans="1:2" ht="15">
      <c r="A58" s="119" t="s">
        <v>2124</v>
      </c>
      <c r="B58" s="3">
        <v>7</v>
      </c>
    </row>
    <row r="59" spans="1:2" ht="15">
      <c r="A59" s="119" t="s">
        <v>2125</v>
      </c>
      <c r="B59" s="3">
        <v>3</v>
      </c>
    </row>
    <row r="60" spans="1:2" ht="15">
      <c r="A60" s="119" t="s">
        <v>2126</v>
      </c>
      <c r="B60" s="3">
        <v>7</v>
      </c>
    </row>
    <row r="61" spans="1:2" ht="15">
      <c r="A61" s="119" t="s">
        <v>2131</v>
      </c>
      <c r="B61" s="3">
        <v>5</v>
      </c>
    </row>
    <row r="62" spans="1:2" ht="15">
      <c r="A62" s="119" t="s">
        <v>2127</v>
      </c>
      <c r="B62" s="3">
        <v>3</v>
      </c>
    </row>
    <row r="63" spans="1:2" ht="15">
      <c r="A63" s="119" t="s">
        <v>2136</v>
      </c>
      <c r="B63" s="3">
        <v>1</v>
      </c>
    </row>
    <row r="64" spans="1:2" ht="15">
      <c r="A64" s="119" t="s">
        <v>2140</v>
      </c>
      <c r="B64" s="3">
        <v>1</v>
      </c>
    </row>
    <row r="65" spans="1:2" ht="15">
      <c r="A65" s="118" t="s">
        <v>2141</v>
      </c>
      <c r="B65" s="3">
        <v>21</v>
      </c>
    </row>
    <row r="66" spans="1:2" ht="15">
      <c r="A66" s="119" t="s">
        <v>2134</v>
      </c>
      <c r="B66" s="3">
        <v>1</v>
      </c>
    </row>
    <row r="67" spans="1:2" ht="15">
      <c r="A67" s="119" t="s">
        <v>2135</v>
      </c>
      <c r="B67" s="3">
        <v>3</v>
      </c>
    </row>
    <row r="68" spans="1:2" ht="15">
      <c r="A68" s="119" t="s">
        <v>2139</v>
      </c>
      <c r="B68" s="3">
        <v>3</v>
      </c>
    </row>
    <row r="69" spans="1:2" ht="15">
      <c r="A69" s="119" t="s">
        <v>2123</v>
      </c>
      <c r="B69" s="3">
        <v>1</v>
      </c>
    </row>
    <row r="70" spans="1:2" ht="15">
      <c r="A70" s="119" t="s">
        <v>2130</v>
      </c>
      <c r="B70" s="3">
        <v>5</v>
      </c>
    </row>
    <row r="71" spans="1:2" ht="15">
      <c r="A71" s="119" t="s">
        <v>2124</v>
      </c>
      <c r="B71" s="3">
        <v>2</v>
      </c>
    </row>
    <row r="72" spans="1:2" ht="15">
      <c r="A72" s="119" t="s">
        <v>2125</v>
      </c>
      <c r="B72" s="3">
        <v>1</v>
      </c>
    </row>
    <row r="73" spans="1:2" ht="15">
      <c r="A73" s="119" t="s">
        <v>2126</v>
      </c>
      <c r="B73" s="3">
        <v>3</v>
      </c>
    </row>
    <row r="74" spans="1:2" ht="15">
      <c r="A74" s="119" t="s">
        <v>2127</v>
      </c>
      <c r="B74" s="3">
        <v>1</v>
      </c>
    </row>
    <row r="75" spans="1:2" ht="15">
      <c r="A75" s="119" t="s">
        <v>2142</v>
      </c>
      <c r="B75" s="3">
        <v>1</v>
      </c>
    </row>
    <row r="76" spans="1:2" ht="15">
      <c r="A76" s="118" t="s">
        <v>2143</v>
      </c>
      <c r="B76" s="3">
        <v>9</v>
      </c>
    </row>
    <row r="77" spans="1:2" ht="15">
      <c r="A77" s="119" t="s">
        <v>2144</v>
      </c>
      <c r="B77" s="3">
        <v>1</v>
      </c>
    </row>
    <row r="78" spans="1:2" ht="15">
      <c r="A78" s="119" t="s">
        <v>2133</v>
      </c>
      <c r="B78" s="3">
        <v>1</v>
      </c>
    </row>
    <row r="79" spans="1:2" ht="15">
      <c r="A79" s="119" t="s">
        <v>2131</v>
      </c>
      <c r="B79" s="3">
        <v>1</v>
      </c>
    </row>
    <row r="80" spans="1:2" ht="15">
      <c r="A80" s="119" t="s">
        <v>2136</v>
      </c>
      <c r="B80" s="3">
        <v>2</v>
      </c>
    </row>
    <row r="81" spans="1:2" ht="15">
      <c r="A81" s="119" t="s">
        <v>2142</v>
      </c>
      <c r="B81" s="3">
        <v>1</v>
      </c>
    </row>
    <row r="82" spans="1:2" ht="15">
      <c r="A82" s="119" t="s">
        <v>2145</v>
      </c>
      <c r="B82" s="3">
        <v>1</v>
      </c>
    </row>
    <row r="83" spans="1:2" ht="15">
      <c r="A83" s="119" t="s">
        <v>2137</v>
      </c>
      <c r="B83" s="3">
        <v>2</v>
      </c>
    </row>
    <row r="84" spans="1:2" ht="15">
      <c r="A84" s="118" t="s">
        <v>2146</v>
      </c>
      <c r="B84" s="3">
        <v>14</v>
      </c>
    </row>
    <row r="85" spans="1:2" ht="15">
      <c r="A85" s="119" t="s">
        <v>2134</v>
      </c>
      <c r="B85" s="3">
        <v>2</v>
      </c>
    </row>
    <row r="86" spans="1:2" ht="15">
      <c r="A86" s="119" t="s">
        <v>2135</v>
      </c>
      <c r="B86" s="3">
        <v>1</v>
      </c>
    </row>
    <row r="87" spans="1:2" ht="15">
      <c r="A87" s="119" t="s">
        <v>2139</v>
      </c>
      <c r="B87" s="3">
        <v>1</v>
      </c>
    </row>
    <row r="88" spans="1:2" ht="15">
      <c r="A88" s="119" t="s">
        <v>2123</v>
      </c>
      <c r="B88" s="3">
        <v>2</v>
      </c>
    </row>
    <row r="89" spans="1:2" ht="15">
      <c r="A89" s="119" t="s">
        <v>2130</v>
      </c>
      <c r="B89" s="3">
        <v>3</v>
      </c>
    </row>
    <row r="90" spans="1:2" ht="15">
      <c r="A90" s="119" t="s">
        <v>2126</v>
      </c>
      <c r="B90" s="3">
        <v>4</v>
      </c>
    </row>
    <row r="91" spans="1:2" ht="15">
      <c r="A91" s="119" t="s">
        <v>2140</v>
      </c>
      <c r="B91" s="3">
        <v>1</v>
      </c>
    </row>
    <row r="92" spans="1:2" ht="15">
      <c r="A92" s="118" t="s">
        <v>2147</v>
      </c>
      <c r="B92" s="3">
        <v>24</v>
      </c>
    </row>
    <row r="93" spans="1:2" ht="15">
      <c r="A93" s="119" t="s">
        <v>2134</v>
      </c>
      <c r="B93" s="3">
        <v>1</v>
      </c>
    </row>
    <row r="94" spans="1:2" ht="15">
      <c r="A94" s="119" t="s">
        <v>2135</v>
      </c>
      <c r="B94" s="3">
        <v>1</v>
      </c>
    </row>
    <row r="95" spans="1:2" ht="15">
      <c r="A95" s="119" t="s">
        <v>2139</v>
      </c>
      <c r="B95" s="3">
        <v>2</v>
      </c>
    </row>
    <row r="96" spans="1:2" ht="15">
      <c r="A96" s="119" t="s">
        <v>2123</v>
      </c>
      <c r="B96" s="3">
        <v>1</v>
      </c>
    </row>
    <row r="97" spans="1:2" ht="15">
      <c r="A97" s="119" t="s">
        <v>2124</v>
      </c>
      <c r="B97" s="3">
        <v>3</v>
      </c>
    </row>
    <row r="98" spans="1:2" ht="15">
      <c r="A98" s="119" t="s">
        <v>2125</v>
      </c>
      <c r="B98" s="3">
        <v>2</v>
      </c>
    </row>
    <row r="99" spans="1:2" ht="15">
      <c r="A99" s="119" t="s">
        <v>2126</v>
      </c>
      <c r="B99" s="3">
        <v>4</v>
      </c>
    </row>
    <row r="100" spans="1:2" ht="15">
      <c r="A100" s="119" t="s">
        <v>2131</v>
      </c>
      <c r="B100" s="3">
        <v>1</v>
      </c>
    </row>
    <row r="101" spans="1:2" ht="15">
      <c r="A101" s="119" t="s">
        <v>2127</v>
      </c>
      <c r="B101" s="3">
        <v>1</v>
      </c>
    </row>
    <row r="102" spans="1:2" ht="15">
      <c r="A102" s="119" t="s">
        <v>2136</v>
      </c>
      <c r="B102" s="3">
        <v>3</v>
      </c>
    </row>
    <row r="103" spans="1:2" ht="15">
      <c r="A103" s="119" t="s">
        <v>2148</v>
      </c>
      <c r="B103" s="3">
        <v>3</v>
      </c>
    </row>
    <row r="104" spans="1:2" ht="15">
      <c r="A104" s="119" t="s">
        <v>2149</v>
      </c>
      <c r="B104" s="3">
        <v>1</v>
      </c>
    </row>
    <row r="105" spans="1:2" ht="15">
      <c r="A105" s="119" t="s">
        <v>2150</v>
      </c>
      <c r="B105" s="3">
        <v>1</v>
      </c>
    </row>
    <row r="106" spans="1:2" ht="15">
      <c r="A106" s="118" t="s">
        <v>2151</v>
      </c>
      <c r="B106" s="3">
        <v>2</v>
      </c>
    </row>
    <row r="107" spans="1:2" ht="15">
      <c r="A107" s="119" t="s">
        <v>2152</v>
      </c>
      <c r="B107" s="3">
        <v>2</v>
      </c>
    </row>
    <row r="108" spans="1:2" ht="15">
      <c r="A108" s="116" t="s">
        <v>2120</v>
      </c>
      <c r="B108"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9.28125" style="3" customWidth="1"/>
    <col min="33" max="33" width="10.7109375" style="3" customWidth="1"/>
    <col min="34" max="34" width="11.140625" style="3" customWidth="1"/>
    <col min="35" max="35" width="9.140625" style="0" customWidth="1"/>
    <col min="36" max="36" width="8.8515625" style="0" customWidth="1"/>
    <col min="37" max="37" width="16.7109375" style="0" customWidth="1"/>
    <col min="38" max="38" width="12.421875" style="0" customWidth="1"/>
    <col min="39" max="39" width="10.28125" style="0" customWidth="1"/>
    <col min="40" max="40" width="7.00390625" style="0" customWidth="1"/>
    <col min="41" max="41" width="7.7109375" style="0" customWidth="1"/>
    <col min="42" max="42" width="15.28125" style="0" customWidth="1"/>
    <col min="43" max="43" width="11.8515625" style="0" customWidth="1"/>
    <col min="44" max="44" width="9.7109375" style="0" customWidth="1"/>
    <col min="45" max="45" width="15.57421875" style="0" customWidth="1"/>
    <col min="46" max="46" width="9.7109375" style="0" customWidth="1"/>
    <col min="47" max="47" width="10.8515625" style="0" customWidth="1"/>
    <col min="48" max="48" width="8.421875" style="0" customWidth="1"/>
    <col min="49" max="49" width="19.140625" style="0" customWidth="1"/>
    <col min="50" max="50" width="9.57421875" style="0" customWidth="1"/>
    <col min="51" max="52" width="15.00390625" style="0" customWidth="1"/>
    <col min="53" max="53" width="14.28125" style="0" customWidth="1"/>
    <col min="54" max="54" width="9.00390625" style="0" customWidth="1"/>
    <col min="55" max="55" width="16.140625" style="0" customWidth="1"/>
    <col min="56" max="56" width="17.8515625" style="0" customWidth="1"/>
    <col min="57" max="57" width="16.28125" style="0" customWidth="1"/>
    <col min="58" max="58" width="17.8515625" style="0" customWidth="1"/>
    <col min="59" max="59" width="16.57421875" style="0" customWidth="1"/>
    <col min="60" max="60" width="17.8515625" style="0" customWidth="1"/>
    <col min="61" max="61" width="16.140625" style="0" customWidth="1"/>
    <col min="62" max="62" width="17.8515625" style="0" customWidth="1"/>
    <col min="63" max="63" width="18.00390625" style="0" customWidth="1"/>
    <col min="64" max="64" width="18.140625" style="0" customWidth="1"/>
    <col min="65" max="65" width="18.28125" style="0" customWidth="1"/>
    <col min="66" max="66" width="22.57421875" style="0" customWidth="1"/>
    <col min="67" max="67" width="18.28125" style="0" customWidth="1"/>
    <col min="68" max="68" width="22.57421875" style="0" customWidth="1"/>
    <col min="69" max="69" width="18.28125" style="0" customWidth="1"/>
    <col min="70" max="70" width="22.57421875" style="0" customWidth="1"/>
    <col min="71" max="71" width="17.28125" style="0" customWidth="1"/>
    <col min="72" max="72" width="20.57421875" style="0" customWidth="1"/>
    <col min="73" max="73" width="16.14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2172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777</v>
      </c>
      <c r="AF2" s="13" t="s">
        <v>778</v>
      </c>
      <c r="AG2" s="13" t="s">
        <v>779</v>
      </c>
      <c r="AH2" s="13" t="s">
        <v>780</v>
      </c>
      <c r="AI2" s="13" t="s">
        <v>781</v>
      </c>
      <c r="AJ2" s="13" t="s">
        <v>782</v>
      </c>
      <c r="AK2" s="13" t="s">
        <v>783</v>
      </c>
      <c r="AL2" s="13" t="s">
        <v>784</v>
      </c>
      <c r="AM2" s="13" t="s">
        <v>785</v>
      </c>
      <c r="AN2" s="13" t="s">
        <v>786</v>
      </c>
      <c r="AO2" s="13" t="s">
        <v>787</v>
      </c>
      <c r="AP2" s="13" t="s">
        <v>788</v>
      </c>
      <c r="AQ2" s="13" t="s">
        <v>789</v>
      </c>
      <c r="AR2" s="13" t="s">
        <v>790</v>
      </c>
      <c r="AS2" s="13" t="s">
        <v>791</v>
      </c>
      <c r="AT2" s="13" t="s">
        <v>792</v>
      </c>
      <c r="AU2" s="13" t="s">
        <v>215</v>
      </c>
      <c r="AV2" s="13" t="s">
        <v>793</v>
      </c>
      <c r="AW2" s="13" t="s">
        <v>794</v>
      </c>
      <c r="AX2" s="13" t="s">
        <v>795</v>
      </c>
      <c r="AY2" s="13" t="s">
        <v>796</v>
      </c>
      <c r="AZ2" s="13" t="s">
        <v>797</v>
      </c>
      <c r="BA2" s="13" t="s">
        <v>798</v>
      </c>
      <c r="BB2" s="13" t="s">
        <v>1355</v>
      </c>
      <c r="BC2" s="107" t="s">
        <v>1706</v>
      </c>
      <c r="BD2" s="107" t="s">
        <v>1716</v>
      </c>
      <c r="BE2" s="107" t="s">
        <v>1717</v>
      </c>
      <c r="BF2" s="107" t="s">
        <v>1719</v>
      </c>
      <c r="BG2" s="107" t="s">
        <v>1721</v>
      </c>
      <c r="BH2" s="107" t="s">
        <v>1724</v>
      </c>
      <c r="BI2" s="107" t="s">
        <v>1733</v>
      </c>
      <c r="BJ2" s="107" t="s">
        <v>1766</v>
      </c>
      <c r="BK2" s="107" t="s">
        <v>1774</v>
      </c>
      <c r="BL2" s="107" t="s">
        <v>1803</v>
      </c>
      <c r="BM2" s="107" t="s">
        <v>2073</v>
      </c>
      <c r="BN2" s="107" t="s">
        <v>2074</v>
      </c>
      <c r="BO2" s="107" t="s">
        <v>2075</v>
      </c>
      <c r="BP2" s="107" t="s">
        <v>2076</v>
      </c>
      <c r="BQ2" s="107" t="s">
        <v>2077</v>
      </c>
      <c r="BR2" s="107" t="s">
        <v>2078</v>
      </c>
      <c r="BS2" s="107" t="s">
        <v>2079</v>
      </c>
      <c r="BT2" s="107" t="s">
        <v>2080</v>
      </c>
      <c r="BU2" s="107" t="s">
        <v>2082</v>
      </c>
      <c r="BV2" s="3"/>
      <c r="BW2" s="3"/>
    </row>
    <row r="3" spans="1:75" ht="34.05" customHeight="1">
      <c r="A3" s="65" t="s">
        <v>303</v>
      </c>
      <c r="C3" s="66"/>
      <c r="D3" s="66" t="s">
        <v>64</v>
      </c>
      <c r="E3" s="67">
        <v>162.14811794414996</v>
      </c>
      <c r="F3" s="69"/>
      <c r="G3" s="103" t="str">
        <f>HYPERLINK("https://pbs.twimg.com/profile_images/1288139189100265472/qF_6lt-A_normal.jpg")</f>
        <v>https://pbs.twimg.com/profile_images/1288139189100265472/qF_6lt-A_normal.jpg</v>
      </c>
      <c r="H3" s="66"/>
      <c r="I3" s="70" t="s">
        <v>303</v>
      </c>
      <c r="J3" s="71"/>
      <c r="K3" s="71"/>
      <c r="L3" s="70" t="s">
        <v>1327</v>
      </c>
      <c r="M3" s="74">
        <v>1.2966626996006592</v>
      </c>
      <c r="N3" s="75">
        <v>8191.48828125</v>
      </c>
      <c r="O3" s="75">
        <v>3140.877685546875</v>
      </c>
      <c r="P3" s="76"/>
      <c r="Q3" s="77"/>
      <c r="R3" s="77"/>
      <c r="S3" s="49"/>
      <c r="T3" s="49">
        <v>0</v>
      </c>
      <c r="U3" s="49">
        <v>1</v>
      </c>
      <c r="V3" s="50">
        <v>0</v>
      </c>
      <c r="W3" s="50">
        <v>0.333333</v>
      </c>
      <c r="X3" s="50">
        <v>0</v>
      </c>
      <c r="Y3" s="50">
        <v>0.638295</v>
      </c>
      <c r="Z3" s="50">
        <v>0</v>
      </c>
      <c r="AA3" s="50">
        <v>0</v>
      </c>
      <c r="AB3" s="72">
        <v>3</v>
      </c>
      <c r="AC3" s="72"/>
      <c r="AD3" s="73"/>
      <c r="AE3" s="79" t="s">
        <v>912</v>
      </c>
      <c r="AF3" s="87" t="s">
        <v>1028</v>
      </c>
      <c r="AG3" s="79">
        <v>524</v>
      </c>
      <c r="AH3" s="79">
        <v>102</v>
      </c>
      <c r="AI3" s="79">
        <v>531</v>
      </c>
      <c r="AJ3" s="79">
        <v>408</v>
      </c>
      <c r="AK3" s="79"/>
      <c r="AL3" s="79" t="s">
        <v>1138</v>
      </c>
      <c r="AM3" s="79" t="s">
        <v>890</v>
      </c>
      <c r="AN3" s="79"/>
      <c r="AO3" s="79"/>
      <c r="AP3" s="81">
        <v>41426.89709490741</v>
      </c>
      <c r="AQ3" s="83" t="str">
        <f>HYPERLINK("https://pbs.twimg.com/profile_banners/1475735804/1523681596")</f>
        <v>https://pbs.twimg.com/profile_banners/1475735804/1523681596</v>
      </c>
      <c r="AR3" s="79" t="b">
        <v>1</v>
      </c>
      <c r="AS3" s="79" t="b">
        <v>0</v>
      </c>
      <c r="AT3" s="79" t="b">
        <v>0</v>
      </c>
      <c r="AU3" s="79"/>
      <c r="AV3" s="79">
        <v>8</v>
      </c>
      <c r="AW3" s="83" t="str">
        <f>HYPERLINK("https://abs.twimg.com/images/themes/theme1/bg.png")</f>
        <v>https://abs.twimg.com/images/themes/theme1/bg.png</v>
      </c>
      <c r="AX3" s="79" t="b">
        <v>0</v>
      </c>
      <c r="AY3" s="79" t="s">
        <v>1211</v>
      </c>
      <c r="AZ3" s="83" t="str">
        <f>HYPERLINK("https://twitter.com/rajeshanni")</f>
        <v>https://twitter.com/rajeshanni</v>
      </c>
      <c r="BA3" s="79" t="s">
        <v>66</v>
      </c>
      <c r="BB3" s="79" t="str">
        <f>REPLACE(INDEX(GroupVertices[Group],MATCH(Vertices[[#This Row],[Vertex]],GroupVertices[Vertex],0)),1,1,"")</f>
        <v>12</v>
      </c>
      <c r="BC3" s="49" t="s">
        <v>1362</v>
      </c>
      <c r="BD3" s="49" t="s">
        <v>1362</v>
      </c>
      <c r="BE3" s="49" t="s">
        <v>444</v>
      </c>
      <c r="BF3" s="49" t="s">
        <v>444</v>
      </c>
      <c r="BG3" s="49" t="s">
        <v>449</v>
      </c>
      <c r="BH3" s="49" t="s">
        <v>449</v>
      </c>
      <c r="BI3" s="108" t="s">
        <v>1734</v>
      </c>
      <c r="BJ3" s="108" t="s">
        <v>1734</v>
      </c>
      <c r="BK3" s="108" t="s">
        <v>1775</v>
      </c>
      <c r="BL3" s="108" t="s">
        <v>1775</v>
      </c>
      <c r="BM3" s="108">
        <v>1</v>
      </c>
      <c r="BN3" s="111">
        <v>2.857142857142857</v>
      </c>
      <c r="BO3" s="108">
        <v>0</v>
      </c>
      <c r="BP3" s="111">
        <v>0</v>
      </c>
      <c r="BQ3" s="108">
        <v>0</v>
      </c>
      <c r="BR3" s="111">
        <v>0</v>
      </c>
      <c r="BS3" s="108">
        <v>34</v>
      </c>
      <c r="BT3" s="111">
        <v>97.14285714285714</v>
      </c>
      <c r="BU3" s="108">
        <v>35</v>
      </c>
      <c r="BV3" s="3"/>
      <c r="BW3" s="3"/>
    </row>
    <row r="4" spans="1:78" ht="34.05" customHeight="1">
      <c r="A4" s="65" t="s">
        <v>268</v>
      </c>
      <c r="C4" s="66"/>
      <c r="D4" s="66" t="s">
        <v>64</v>
      </c>
      <c r="E4" s="67">
        <v>163.34919315463327</v>
      </c>
      <c r="F4" s="69"/>
      <c r="G4" s="103" t="str">
        <f>HYPERLINK("https://pbs.twimg.com/profile_images/1194925382870302720/p0897Ixg_normal.jpg")</f>
        <v>https://pbs.twimg.com/profile_images/1194925382870302720/p0897Ixg_normal.jpg</v>
      </c>
      <c r="H4" s="66"/>
      <c r="I4" s="70" t="s">
        <v>268</v>
      </c>
      <c r="J4" s="71"/>
      <c r="K4" s="71"/>
      <c r="L4" s="70" t="s">
        <v>1212</v>
      </c>
      <c r="M4" s="74">
        <v>3.7022740953723408</v>
      </c>
      <c r="N4" s="75">
        <v>7745.37939453125</v>
      </c>
      <c r="O4" s="75">
        <v>2687.554931640625</v>
      </c>
      <c r="P4" s="76"/>
      <c r="Q4" s="77"/>
      <c r="R4" s="77"/>
      <c r="S4" s="89"/>
      <c r="T4" s="49">
        <v>3</v>
      </c>
      <c r="U4" s="49">
        <v>1</v>
      </c>
      <c r="V4" s="50">
        <v>2</v>
      </c>
      <c r="W4" s="50">
        <v>0.5</v>
      </c>
      <c r="X4" s="50">
        <v>0</v>
      </c>
      <c r="Y4" s="50">
        <v>1.723397</v>
      </c>
      <c r="Z4" s="50">
        <v>0</v>
      </c>
      <c r="AA4" s="50">
        <v>0</v>
      </c>
      <c r="AB4" s="72">
        <v>4</v>
      </c>
      <c r="AC4" s="72"/>
      <c r="AD4" s="73"/>
      <c r="AE4" s="79" t="s">
        <v>268</v>
      </c>
      <c r="AF4" s="87" t="s">
        <v>913</v>
      </c>
      <c r="AG4" s="79">
        <v>155</v>
      </c>
      <c r="AH4" s="79">
        <v>921</v>
      </c>
      <c r="AI4" s="79">
        <v>1944</v>
      </c>
      <c r="AJ4" s="79">
        <v>1098</v>
      </c>
      <c r="AK4" s="79"/>
      <c r="AL4" s="79" t="s">
        <v>1029</v>
      </c>
      <c r="AM4" s="79" t="s">
        <v>890</v>
      </c>
      <c r="AN4" s="83" t="str">
        <f>HYPERLINK("https://t.co/17kh59mZ56")</f>
        <v>https://t.co/17kh59mZ56</v>
      </c>
      <c r="AO4" s="79"/>
      <c r="AP4" s="81">
        <v>41309.52179398148</v>
      </c>
      <c r="AQ4" s="83" t="str">
        <f>HYPERLINK("https://pbs.twimg.com/profile_banners/1147877774/1603353762")</f>
        <v>https://pbs.twimg.com/profile_banners/1147877774/1603353762</v>
      </c>
      <c r="AR4" s="79" t="b">
        <v>0</v>
      </c>
      <c r="AS4" s="79" t="b">
        <v>0</v>
      </c>
      <c r="AT4" s="79" t="b">
        <v>1</v>
      </c>
      <c r="AU4" s="79"/>
      <c r="AV4" s="79">
        <v>19</v>
      </c>
      <c r="AW4" s="83" t="str">
        <f>HYPERLINK("https://abs.twimg.com/images/themes/theme14/bg.gif")</f>
        <v>https://abs.twimg.com/images/themes/theme14/bg.gif</v>
      </c>
      <c r="AX4" s="79" t="b">
        <v>0</v>
      </c>
      <c r="AY4" s="79" t="s">
        <v>1211</v>
      </c>
      <c r="AZ4" s="83" t="str">
        <f>HYPERLINK("https://twitter.com/didacindia")</f>
        <v>https://twitter.com/didacindia</v>
      </c>
      <c r="BA4" s="79" t="s">
        <v>66</v>
      </c>
      <c r="BB4" s="79" t="str">
        <f>REPLACE(INDEX(GroupVertices[Group],MATCH(Vertices[[#This Row],[Vertex]],GroupVertices[Vertex],0)),1,1,"")</f>
        <v>12</v>
      </c>
      <c r="BC4" s="49" t="s">
        <v>1362</v>
      </c>
      <c r="BD4" s="49" t="s">
        <v>1362</v>
      </c>
      <c r="BE4" s="49" t="s">
        <v>444</v>
      </c>
      <c r="BF4" s="49" t="s">
        <v>444</v>
      </c>
      <c r="BG4" s="49" t="s">
        <v>454</v>
      </c>
      <c r="BH4" s="49" t="s">
        <v>1725</v>
      </c>
      <c r="BI4" s="108" t="s">
        <v>1735</v>
      </c>
      <c r="BJ4" s="108" t="s">
        <v>1767</v>
      </c>
      <c r="BK4" s="108" t="s">
        <v>1776</v>
      </c>
      <c r="BL4" s="108" t="s">
        <v>1804</v>
      </c>
      <c r="BM4" s="108">
        <v>5</v>
      </c>
      <c r="BN4" s="111">
        <v>4.504504504504505</v>
      </c>
      <c r="BO4" s="108">
        <v>0</v>
      </c>
      <c r="BP4" s="111">
        <v>0</v>
      </c>
      <c r="BQ4" s="108">
        <v>0</v>
      </c>
      <c r="BR4" s="111">
        <v>0</v>
      </c>
      <c r="BS4" s="108">
        <v>106</v>
      </c>
      <c r="BT4" s="111">
        <v>95.49549549549549</v>
      </c>
      <c r="BU4" s="108">
        <v>111</v>
      </c>
      <c r="BV4" s="2"/>
      <c r="BW4" s="3"/>
      <c r="BX4" s="3"/>
      <c r="BY4" s="3"/>
      <c r="BZ4" s="3"/>
    </row>
    <row r="5" spans="1:78" ht="34.05" customHeight="1">
      <c r="A5" s="65" t="s">
        <v>235</v>
      </c>
      <c r="C5" s="66"/>
      <c r="D5" s="66" t="s">
        <v>64</v>
      </c>
      <c r="E5" s="67">
        <v>162.0806582864183</v>
      </c>
      <c r="F5" s="69"/>
      <c r="G5" s="103" t="str">
        <f>HYPERLINK("https://pbs.twimg.com/profile_images/3216145330/d07361cb75cdbfc5dc5565d847a2ac85_normal.jpeg")</f>
        <v>https://pbs.twimg.com/profile_images/3216145330/d07361cb75cdbfc5dc5565d847a2ac85_normal.jpeg</v>
      </c>
      <c r="H5" s="66"/>
      <c r="I5" s="70" t="s">
        <v>235</v>
      </c>
      <c r="J5" s="71"/>
      <c r="K5" s="71"/>
      <c r="L5" s="70" t="s">
        <v>1213</v>
      </c>
      <c r="M5" s="74">
        <v>1.161548994832042</v>
      </c>
      <c r="N5" s="75">
        <v>7745.37939453125</v>
      </c>
      <c r="O5" s="75">
        <v>3140.877685546875</v>
      </c>
      <c r="P5" s="76"/>
      <c r="Q5" s="77"/>
      <c r="R5" s="77"/>
      <c r="S5" s="89"/>
      <c r="T5" s="49">
        <v>0</v>
      </c>
      <c r="U5" s="49">
        <v>1</v>
      </c>
      <c r="V5" s="50">
        <v>0</v>
      </c>
      <c r="W5" s="50">
        <v>0.333333</v>
      </c>
      <c r="X5" s="50">
        <v>0</v>
      </c>
      <c r="Y5" s="50">
        <v>0.638295</v>
      </c>
      <c r="Z5" s="50">
        <v>0</v>
      </c>
      <c r="AA5" s="50">
        <v>0</v>
      </c>
      <c r="AB5" s="72">
        <v>5</v>
      </c>
      <c r="AC5" s="72"/>
      <c r="AD5" s="73"/>
      <c r="AE5" s="79" t="s">
        <v>799</v>
      </c>
      <c r="AF5" s="87" t="s">
        <v>914</v>
      </c>
      <c r="AG5" s="79">
        <v>54</v>
      </c>
      <c r="AH5" s="79">
        <v>56</v>
      </c>
      <c r="AI5" s="79">
        <v>70</v>
      </c>
      <c r="AJ5" s="79">
        <v>292</v>
      </c>
      <c r="AK5" s="79"/>
      <c r="AL5" s="79" t="s">
        <v>1030</v>
      </c>
      <c r="AM5" s="79" t="s">
        <v>1139</v>
      </c>
      <c r="AN5" s="83" t="str">
        <f>HYPERLINK("https://t.co/md8hMbbj6J")</f>
        <v>https://t.co/md8hMbbj6J</v>
      </c>
      <c r="AO5" s="79"/>
      <c r="AP5" s="81">
        <v>41310.53283564815</v>
      </c>
      <c r="AQ5" s="79"/>
      <c r="AR5" s="79" t="b">
        <v>0</v>
      </c>
      <c r="AS5" s="79" t="b">
        <v>0</v>
      </c>
      <c r="AT5" s="79" t="b">
        <v>0</v>
      </c>
      <c r="AU5" s="79"/>
      <c r="AV5" s="79">
        <v>1</v>
      </c>
      <c r="AW5" s="83" t="str">
        <f>HYPERLINK("https://abs.twimg.com/images/themes/theme5/bg.gif")</f>
        <v>https://abs.twimg.com/images/themes/theme5/bg.gif</v>
      </c>
      <c r="AX5" s="79" t="b">
        <v>0</v>
      </c>
      <c r="AY5" s="79" t="s">
        <v>1211</v>
      </c>
      <c r="AZ5" s="83" t="str">
        <f>HYPERLINK("https://twitter.com/mohitsparihar")</f>
        <v>https://twitter.com/mohitsparihar</v>
      </c>
      <c r="BA5" s="79" t="s">
        <v>66</v>
      </c>
      <c r="BB5" s="79" t="str">
        <f>REPLACE(INDEX(GroupVertices[Group],MATCH(Vertices[[#This Row],[Vertex]],GroupVertices[Vertex],0)),1,1,"")</f>
        <v>12</v>
      </c>
      <c r="BC5" s="49" t="s">
        <v>1362</v>
      </c>
      <c r="BD5" s="49" t="s">
        <v>1362</v>
      </c>
      <c r="BE5" s="49" t="s">
        <v>444</v>
      </c>
      <c r="BF5" s="49" t="s">
        <v>444</v>
      </c>
      <c r="BG5" s="49" t="s">
        <v>449</v>
      </c>
      <c r="BH5" s="49" t="s">
        <v>449</v>
      </c>
      <c r="BI5" s="108" t="s">
        <v>1734</v>
      </c>
      <c r="BJ5" s="108" t="s">
        <v>1734</v>
      </c>
      <c r="BK5" s="108" t="s">
        <v>1775</v>
      </c>
      <c r="BL5" s="108" t="s">
        <v>1775</v>
      </c>
      <c r="BM5" s="108">
        <v>1</v>
      </c>
      <c r="BN5" s="111">
        <v>2.857142857142857</v>
      </c>
      <c r="BO5" s="108">
        <v>0</v>
      </c>
      <c r="BP5" s="111">
        <v>0</v>
      </c>
      <c r="BQ5" s="108">
        <v>0</v>
      </c>
      <c r="BR5" s="111">
        <v>0</v>
      </c>
      <c r="BS5" s="108">
        <v>34</v>
      </c>
      <c r="BT5" s="111">
        <v>97.14285714285714</v>
      </c>
      <c r="BU5" s="108">
        <v>35</v>
      </c>
      <c r="BV5" s="2"/>
      <c r="BW5" s="3"/>
      <c r="BX5" s="3"/>
      <c r="BY5" s="3"/>
      <c r="BZ5" s="3"/>
    </row>
    <row r="6" spans="1:78" ht="34.05" customHeight="1">
      <c r="A6" s="65" t="s">
        <v>236</v>
      </c>
      <c r="C6" s="66"/>
      <c r="D6" s="66" t="s">
        <v>64</v>
      </c>
      <c r="E6" s="67">
        <v>165.29379111446337</v>
      </c>
      <c r="F6" s="69"/>
      <c r="G6" s="103" t="str">
        <f>HYPERLINK("https://pbs.twimg.com/profile_images/1254687214040223744/hyxfqETc_normal.png")</f>
        <v>https://pbs.twimg.com/profile_images/1254687214040223744/hyxfqETc_normal.png</v>
      </c>
      <c r="H6" s="66"/>
      <c r="I6" s="70" t="s">
        <v>236</v>
      </c>
      <c r="J6" s="71"/>
      <c r="K6" s="71"/>
      <c r="L6" s="70" t="s">
        <v>1214</v>
      </c>
      <c r="M6" s="74">
        <v>7.597073498050301</v>
      </c>
      <c r="N6" s="75">
        <v>9149.0166015625</v>
      </c>
      <c r="O6" s="75">
        <v>6605.55712890625</v>
      </c>
      <c r="P6" s="76"/>
      <c r="Q6" s="77"/>
      <c r="R6" s="77"/>
      <c r="S6" s="89"/>
      <c r="T6" s="49">
        <v>0</v>
      </c>
      <c r="U6" s="49">
        <v>3</v>
      </c>
      <c r="V6" s="50">
        <v>0</v>
      </c>
      <c r="W6" s="50">
        <v>0.004484</v>
      </c>
      <c r="X6" s="50">
        <v>0.009834</v>
      </c>
      <c r="Y6" s="50">
        <v>0.866116</v>
      </c>
      <c r="Z6" s="50">
        <v>0.8333333333333334</v>
      </c>
      <c r="AA6" s="50">
        <v>0</v>
      </c>
      <c r="AB6" s="72">
        <v>6</v>
      </c>
      <c r="AC6" s="72"/>
      <c r="AD6" s="73"/>
      <c r="AE6" s="79" t="s">
        <v>800</v>
      </c>
      <c r="AF6" s="87" t="s">
        <v>915</v>
      </c>
      <c r="AG6" s="79">
        <v>601</v>
      </c>
      <c r="AH6" s="79">
        <v>2247</v>
      </c>
      <c r="AI6" s="79">
        <v>6958</v>
      </c>
      <c r="AJ6" s="79">
        <v>3972</v>
      </c>
      <c r="AK6" s="79"/>
      <c r="AL6" s="79" t="s">
        <v>1031</v>
      </c>
      <c r="AM6" s="79" t="s">
        <v>1140</v>
      </c>
      <c r="AN6" s="83" t="str">
        <f>HYPERLINK("https://t.co/k142bQjAip")</f>
        <v>https://t.co/k142bQjAip</v>
      </c>
      <c r="AO6" s="79"/>
      <c r="AP6" s="81">
        <v>42905.337789351855</v>
      </c>
      <c r="AQ6" s="83" t="str">
        <f>HYPERLINK("https://pbs.twimg.com/profile_banners/876712760918380544/1563436436")</f>
        <v>https://pbs.twimg.com/profile_banners/876712760918380544/1563436436</v>
      </c>
      <c r="AR6" s="79" t="b">
        <v>0</v>
      </c>
      <c r="AS6" s="79" t="b">
        <v>0</v>
      </c>
      <c r="AT6" s="79" t="b">
        <v>0</v>
      </c>
      <c r="AU6" s="79"/>
      <c r="AV6" s="79">
        <v>31</v>
      </c>
      <c r="AW6" s="83" t="str">
        <f>HYPERLINK("https://abs.twimg.com/images/themes/theme1/bg.png")</f>
        <v>https://abs.twimg.com/images/themes/theme1/bg.png</v>
      </c>
      <c r="AX6" s="79" t="b">
        <v>0</v>
      </c>
      <c r="AY6" s="79" t="s">
        <v>1211</v>
      </c>
      <c r="AZ6" s="83" t="str">
        <f>HYPERLINK("https://twitter.com/fachportalpaed")</f>
        <v>https://twitter.com/fachportalpaed</v>
      </c>
      <c r="BA6" s="79" t="s">
        <v>66</v>
      </c>
      <c r="BB6" s="79" t="str">
        <f>REPLACE(INDEX(GroupVertices[Group],MATCH(Vertices[[#This Row],[Vertex]],GroupVertices[Vertex],0)),1,1,"")</f>
        <v>3</v>
      </c>
      <c r="BC6" s="49" t="s">
        <v>1368</v>
      </c>
      <c r="BD6" s="49" t="s">
        <v>1368</v>
      </c>
      <c r="BE6" s="49" t="s">
        <v>444</v>
      </c>
      <c r="BF6" s="49" t="s">
        <v>444</v>
      </c>
      <c r="BG6" s="49" t="s">
        <v>450</v>
      </c>
      <c r="BH6" s="49" t="s">
        <v>450</v>
      </c>
      <c r="BI6" s="108" t="s">
        <v>1736</v>
      </c>
      <c r="BJ6" s="108" t="s">
        <v>1736</v>
      </c>
      <c r="BK6" s="108" t="s">
        <v>1777</v>
      </c>
      <c r="BL6" s="108" t="s">
        <v>1777</v>
      </c>
      <c r="BM6" s="108">
        <v>1</v>
      </c>
      <c r="BN6" s="111">
        <v>3.4482758620689653</v>
      </c>
      <c r="BO6" s="108">
        <v>0</v>
      </c>
      <c r="BP6" s="111">
        <v>0</v>
      </c>
      <c r="BQ6" s="108">
        <v>0</v>
      </c>
      <c r="BR6" s="111">
        <v>0</v>
      </c>
      <c r="BS6" s="108">
        <v>28</v>
      </c>
      <c r="BT6" s="111">
        <v>96.55172413793103</v>
      </c>
      <c r="BU6" s="108">
        <v>29</v>
      </c>
      <c r="BV6" s="2"/>
      <c r="BW6" s="3"/>
      <c r="BX6" s="3"/>
      <c r="BY6" s="3"/>
      <c r="BZ6" s="3"/>
    </row>
    <row r="7" spans="1:78" ht="34.05" customHeight="1">
      <c r="A7" s="65" t="s">
        <v>273</v>
      </c>
      <c r="C7" s="66"/>
      <c r="D7" s="66" t="s">
        <v>64</v>
      </c>
      <c r="E7" s="67">
        <v>318.1412438771278</v>
      </c>
      <c r="F7" s="69"/>
      <c r="G7" s="103" t="str">
        <f>HYPERLINK("https://pbs.twimg.com/profile_images/907972216566042624/-hgL_lsB_normal.jpg")</f>
        <v>https://pbs.twimg.com/profile_images/907972216566042624/-hgL_lsB_normal.jpg</v>
      </c>
      <c r="H7" s="66"/>
      <c r="I7" s="70" t="s">
        <v>273</v>
      </c>
      <c r="J7" s="71"/>
      <c r="K7" s="71"/>
      <c r="L7" s="70" t="s">
        <v>1215</v>
      </c>
      <c r="M7" s="74">
        <v>313.7324187047701</v>
      </c>
      <c r="N7" s="75">
        <v>9027.10546875</v>
      </c>
      <c r="O7" s="75">
        <v>7401.82080078125</v>
      </c>
      <c r="P7" s="76"/>
      <c r="Q7" s="77"/>
      <c r="R7" s="77"/>
      <c r="S7" s="89"/>
      <c r="T7" s="49">
        <v>4</v>
      </c>
      <c r="U7" s="49">
        <v>2</v>
      </c>
      <c r="V7" s="50">
        <v>3.666667</v>
      </c>
      <c r="W7" s="50">
        <v>0.004525</v>
      </c>
      <c r="X7" s="50">
        <v>0.011515</v>
      </c>
      <c r="Y7" s="50">
        <v>1.366694</v>
      </c>
      <c r="Z7" s="50">
        <v>0.35</v>
      </c>
      <c r="AA7" s="50">
        <v>0.2</v>
      </c>
      <c r="AB7" s="72">
        <v>7</v>
      </c>
      <c r="AC7" s="72"/>
      <c r="AD7" s="73"/>
      <c r="AE7" s="79" t="s">
        <v>801</v>
      </c>
      <c r="AF7" s="87" t="s">
        <v>916</v>
      </c>
      <c r="AG7" s="79">
        <v>1617</v>
      </c>
      <c r="AH7" s="79">
        <v>106472</v>
      </c>
      <c r="AI7" s="79">
        <v>16597</v>
      </c>
      <c r="AJ7" s="79">
        <v>1345</v>
      </c>
      <c r="AK7" s="79"/>
      <c r="AL7" s="79" t="s">
        <v>1032</v>
      </c>
      <c r="AM7" s="79" t="s">
        <v>1141</v>
      </c>
      <c r="AN7" s="83" t="str">
        <f>HYPERLINK("https://t.co/t8RG6brQIm")</f>
        <v>https://t.co/t8RG6brQIm</v>
      </c>
      <c r="AO7" s="79"/>
      <c r="AP7" s="81">
        <v>40226.6737037037</v>
      </c>
      <c r="AQ7" s="83" t="str">
        <f>HYPERLINK("https://pbs.twimg.com/profile_banners/115097756/1553099894")</f>
        <v>https://pbs.twimg.com/profile_banners/115097756/1553099894</v>
      </c>
      <c r="AR7" s="79" t="b">
        <v>0</v>
      </c>
      <c r="AS7" s="79" t="b">
        <v>0</v>
      </c>
      <c r="AT7" s="79" t="b">
        <v>1</v>
      </c>
      <c r="AU7" s="79"/>
      <c r="AV7" s="79">
        <v>2446</v>
      </c>
      <c r="AW7" s="83" t="str">
        <f>HYPERLINK("https://abs.twimg.com/images/themes/theme1/bg.png")</f>
        <v>https://abs.twimg.com/images/themes/theme1/bg.png</v>
      </c>
      <c r="AX7" s="79" t="b">
        <v>1</v>
      </c>
      <c r="AY7" s="79" t="s">
        <v>1211</v>
      </c>
      <c r="AZ7" s="83" t="str">
        <f>HYPERLINK("https://twitter.com/oecdeduskills")</f>
        <v>https://twitter.com/oecdeduskills</v>
      </c>
      <c r="BA7" s="79" t="s">
        <v>66</v>
      </c>
      <c r="BB7" s="79" t="str">
        <f>REPLACE(INDEX(GroupVertices[Group],MATCH(Vertices[[#This Row],[Vertex]],GroupVertices[Vertex],0)),1,1,"")</f>
        <v>3</v>
      </c>
      <c r="BC7" s="49" t="s">
        <v>1366</v>
      </c>
      <c r="BD7" s="49" t="s">
        <v>1366</v>
      </c>
      <c r="BE7" s="49" t="s">
        <v>444</v>
      </c>
      <c r="BF7" s="49" t="s">
        <v>444</v>
      </c>
      <c r="BG7" s="49" t="s">
        <v>450</v>
      </c>
      <c r="BH7" s="49" t="s">
        <v>450</v>
      </c>
      <c r="BI7" s="108" t="s">
        <v>1737</v>
      </c>
      <c r="BJ7" s="108" t="s">
        <v>1737</v>
      </c>
      <c r="BK7" s="108" t="s">
        <v>1778</v>
      </c>
      <c r="BL7" s="108" t="s">
        <v>1778</v>
      </c>
      <c r="BM7" s="108">
        <v>0</v>
      </c>
      <c r="BN7" s="111">
        <v>0</v>
      </c>
      <c r="BO7" s="108">
        <v>0</v>
      </c>
      <c r="BP7" s="111">
        <v>0</v>
      </c>
      <c r="BQ7" s="108">
        <v>0</v>
      </c>
      <c r="BR7" s="111">
        <v>0</v>
      </c>
      <c r="BS7" s="108">
        <v>30</v>
      </c>
      <c r="BT7" s="111">
        <v>100</v>
      </c>
      <c r="BU7" s="108">
        <v>30</v>
      </c>
      <c r="BV7" s="2"/>
      <c r="BW7" s="3"/>
      <c r="BX7" s="3"/>
      <c r="BY7" s="3"/>
      <c r="BZ7" s="3"/>
    </row>
    <row r="8" spans="1:78" ht="34.05" customHeight="1">
      <c r="A8" s="65" t="s">
        <v>272</v>
      </c>
      <c r="C8" s="66"/>
      <c r="D8" s="66" t="s">
        <v>64</v>
      </c>
      <c r="E8" s="67">
        <v>207.21556885179632</v>
      </c>
      <c r="F8" s="69"/>
      <c r="G8" s="103" t="str">
        <f>HYPERLINK("https://pbs.twimg.com/profile_images/657458615037599748/rvFR0IKM_normal.jpg")</f>
        <v>https://pbs.twimg.com/profile_images/657458615037599748/rvFR0IKM_normal.jpg</v>
      </c>
      <c r="H8" s="66"/>
      <c r="I8" s="70" t="s">
        <v>272</v>
      </c>
      <c r="J8" s="71"/>
      <c r="K8" s="71"/>
      <c r="L8" s="70" t="s">
        <v>1216</v>
      </c>
      <c r="M8" s="74">
        <v>91.5614292483913</v>
      </c>
      <c r="N8" s="75">
        <v>9430.8974609375</v>
      </c>
      <c r="O8" s="75">
        <v>7062.24755859375</v>
      </c>
      <c r="P8" s="76"/>
      <c r="Q8" s="77"/>
      <c r="R8" s="77"/>
      <c r="S8" s="89"/>
      <c r="T8" s="49">
        <v>3</v>
      </c>
      <c r="U8" s="49">
        <v>2</v>
      </c>
      <c r="V8" s="50">
        <v>0.666667</v>
      </c>
      <c r="W8" s="50">
        <v>0.004505</v>
      </c>
      <c r="X8" s="50">
        <v>0.01064</v>
      </c>
      <c r="Y8" s="50">
        <v>1.119105</v>
      </c>
      <c r="Z8" s="50">
        <v>0.5</v>
      </c>
      <c r="AA8" s="50">
        <v>0.25</v>
      </c>
      <c r="AB8" s="72">
        <v>8</v>
      </c>
      <c r="AC8" s="72"/>
      <c r="AD8" s="73"/>
      <c r="AE8" s="79" t="s">
        <v>802</v>
      </c>
      <c r="AF8" s="87" t="s">
        <v>917</v>
      </c>
      <c r="AG8" s="79">
        <v>283</v>
      </c>
      <c r="AH8" s="79">
        <v>30833</v>
      </c>
      <c r="AI8" s="79">
        <v>4072</v>
      </c>
      <c r="AJ8" s="79">
        <v>110</v>
      </c>
      <c r="AK8" s="79"/>
      <c r="AL8" s="79" t="s">
        <v>1033</v>
      </c>
      <c r="AM8" s="79" t="s">
        <v>1142</v>
      </c>
      <c r="AN8" s="83" t="str">
        <f>HYPERLINK("http://t.co/oFKfG56Qbr")</f>
        <v>http://t.co/oFKfG56Qbr</v>
      </c>
      <c r="AO8" s="79"/>
      <c r="AP8" s="81">
        <v>40224.626759259256</v>
      </c>
      <c r="AQ8" s="83" t="str">
        <f>HYPERLINK("https://pbs.twimg.com/profile_banners/114476497/1445601178")</f>
        <v>https://pbs.twimg.com/profile_banners/114476497/1445601178</v>
      </c>
      <c r="AR8" s="79" t="b">
        <v>0</v>
      </c>
      <c r="AS8" s="79" t="b">
        <v>0</v>
      </c>
      <c r="AT8" s="79" t="b">
        <v>1</v>
      </c>
      <c r="AU8" s="79"/>
      <c r="AV8" s="79">
        <v>752</v>
      </c>
      <c r="AW8" s="83" t="str">
        <f>HYPERLINK("https://abs.twimg.com/images/themes/theme18/bg.gif")</f>
        <v>https://abs.twimg.com/images/themes/theme18/bg.gif</v>
      </c>
      <c r="AX8" s="79" t="b">
        <v>0</v>
      </c>
      <c r="AY8" s="79" t="s">
        <v>1211</v>
      </c>
      <c r="AZ8" s="83" t="str">
        <f>HYPERLINK("https://twitter.com/schleicheroecd")</f>
        <v>https://twitter.com/schleicheroecd</v>
      </c>
      <c r="BA8" s="79" t="s">
        <v>66</v>
      </c>
      <c r="BB8" s="79" t="str">
        <f>REPLACE(INDEX(GroupVertices[Group],MATCH(Vertices[[#This Row],[Vertex]],GroupVertices[Vertex],0)),1,1,"")</f>
        <v>3</v>
      </c>
      <c r="BC8" s="49" t="s">
        <v>1368</v>
      </c>
      <c r="BD8" s="49" t="s">
        <v>1368</v>
      </c>
      <c r="BE8" s="49" t="s">
        <v>444</v>
      </c>
      <c r="BF8" s="49" t="s">
        <v>444</v>
      </c>
      <c r="BG8" s="49" t="s">
        <v>450</v>
      </c>
      <c r="BH8" s="49" t="s">
        <v>450</v>
      </c>
      <c r="BI8" s="108" t="s">
        <v>1736</v>
      </c>
      <c r="BJ8" s="108" t="s">
        <v>1736</v>
      </c>
      <c r="BK8" s="108" t="s">
        <v>1777</v>
      </c>
      <c r="BL8" s="108" t="s">
        <v>1777</v>
      </c>
      <c r="BM8" s="108">
        <v>1</v>
      </c>
      <c r="BN8" s="111">
        <v>3.4482758620689653</v>
      </c>
      <c r="BO8" s="108">
        <v>0</v>
      </c>
      <c r="BP8" s="111">
        <v>0</v>
      </c>
      <c r="BQ8" s="108">
        <v>0</v>
      </c>
      <c r="BR8" s="111">
        <v>0</v>
      </c>
      <c r="BS8" s="108">
        <v>28</v>
      </c>
      <c r="BT8" s="111">
        <v>96.55172413793103</v>
      </c>
      <c r="BU8" s="108">
        <v>29</v>
      </c>
      <c r="BV8" s="2"/>
      <c r="BW8" s="3"/>
      <c r="BX8" s="3"/>
      <c r="BY8" s="3"/>
      <c r="BZ8" s="3"/>
    </row>
    <row r="9" spans="1:78" ht="34.05" customHeight="1">
      <c r="A9" s="65" t="s">
        <v>271</v>
      </c>
      <c r="C9" s="66"/>
      <c r="D9" s="66" t="s">
        <v>64</v>
      </c>
      <c r="E9" s="67">
        <v>164.27163064839883</v>
      </c>
      <c r="F9" s="69"/>
      <c r="G9" s="103" t="str">
        <f>HYPERLINK("https://pbs.twimg.com/profile_images/740098508875833344/6nLHLTxJ_normal.jpg")</f>
        <v>https://pbs.twimg.com/profile_images/740098508875833344/6nLHLTxJ_normal.jpg</v>
      </c>
      <c r="H9" s="66"/>
      <c r="I9" s="70" t="s">
        <v>271</v>
      </c>
      <c r="J9" s="71"/>
      <c r="K9" s="71"/>
      <c r="L9" s="70" t="s">
        <v>1217</v>
      </c>
      <c r="M9" s="74">
        <v>5.549807145360604</v>
      </c>
      <c r="N9" s="75">
        <v>2332.6904296875</v>
      </c>
      <c r="O9" s="75">
        <v>4985.6845703125</v>
      </c>
      <c r="P9" s="76"/>
      <c r="Q9" s="77"/>
      <c r="R9" s="77"/>
      <c r="S9" s="89"/>
      <c r="T9" s="49">
        <v>50</v>
      </c>
      <c r="U9" s="49">
        <v>70</v>
      </c>
      <c r="V9" s="50">
        <v>11141.166667</v>
      </c>
      <c r="W9" s="50">
        <v>0.008475</v>
      </c>
      <c r="X9" s="50">
        <v>0.088005</v>
      </c>
      <c r="Y9" s="50">
        <v>28.648111</v>
      </c>
      <c r="Z9" s="50">
        <v>0.006522196507468967</v>
      </c>
      <c r="AA9" s="50">
        <v>0.20408163265306123</v>
      </c>
      <c r="AB9" s="72">
        <v>9</v>
      </c>
      <c r="AC9" s="72"/>
      <c r="AD9" s="73"/>
      <c r="AE9" s="79" t="s">
        <v>271</v>
      </c>
      <c r="AF9" s="87" t="s">
        <v>918</v>
      </c>
      <c r="AG9" s="79">
        <v>250</v>
      </c>
      <c r="AH9" s="79">
        <v>1550</v>
      </c>
      <c r="AI9" s="79">
        <v>4883</v>
      </c>
      <c r="AJ9" s="79">
        <v>2611</v>
      </c>
      <c r="AK9" s="79"/>
      <c r="AL9" s="79" t="s">
        <v>1034</v>
      </c>
      <c r="AM9" s="79" t="s">
        <v>890</v>
      </c>
      <c r="AN9" s="83" t="str">
        <f>HYPERLINK("http://t.co/EYloCGj20L")</f>
        <v>http://t.co/EYloCGj20L</v>
      </c>
      <c r="AO9" s="79"/>
      <c r="AP9" s="81">
        <v>40940.20181712963</v>
      </c>
      <c r="AQ9" s="83" t="str">
        <f>HYPERLINK("https://pbs.twimg.com/profile_banners/480135019/1608280130")</f>
        <v>https://pbs.twimg.com/profile_banners/480135019/1608280130</v>
      </c>
      <c r="AR9" s="79" t="b">
        <v>0</v>
      </c>
      <c r="AS9" s="79" t="b">
        <v>0</v>
      </c>
      <c r="AT9" s="79" t="b">
        <v>1</v>
      </c>
      <c r="AU9" s="79"/>
      <c r="AV9" s="79">
        <v>42</v>
      </c>
      <c r="AW9" s="83" t="str">
        <f>HYPERLINK("https://abs.twimg.com/images/themes/theme15/bg.png")</f>
        <v>https://abs.twimg.com/images/themes/theme15/bg.png</v>
      </c>
      <c r="AX9" s="79" t="b">
        <v>0</v>
      </c>
      <c r="AY9" s="79" t="s">
        <v>1211</v>
      </c>
      <c r="AZ9" s="83" t="str">
        <f>HYPERLINK("https://twitter.com/indiadidac")</f>
        <v>https://twitter.com/indiadidac</v>
      </c>
      <c r="BA9" s="79" t="s">
        <v>66</v>
      </c>
      <c r="BB9" s="79" t="str">
        <f>REPLACE(INDEX(GroupVertices[Group],MATCH(Vertices[[#This Row],[Vertex]],GroupVertices[Vertex],0)),1,1,"")</f>
        <v>1</v>
      </c>
      <c r="BC9" s="49" t="s">
        <v>1707</v>
      </c>
      <c r="BD9" s="49" t="s">
        <v>1707</v>
      </c>
      <c r="BE9" s="49" t="s">
        <v>447</v>
      </c>
      <c r="BF9" s="49" t="s">
        <v>1720</v>
      </c>
      <c r="BG9" s="49" t="s">
        <v>454</v>
      </c>
      <c r="BH9" s="49" t="s">
        <v>1726</v>
      </c>
      <c r="BI9" s="108" t="s">
        <v>1738</v>
      </c>
      <c r="BJ9" s="108" t="s">
        <v>1768</v>
      </c>
      <c r="BK9" s="108" t="s">
        <v>1779</v>
      </c>
      <c r="BL9" s="108" t="s">
        <v>1805</v>
      </c>
      <c r="BM9" s="108">
        <v>74</v>
      </c>
      <c r="BN9" s="111">
        <v>3.3318325078793336</v>
      </c>
      <c r="BO9" s="108">
        <v>4</v>
      </c>
      <c r="BP9" s="111">
        <v>0.180099054479964</v>
      </c>
      <c r="BQ9" s="108">
        <v>0</v>
      </c>
      <c r="BR9" s="111">
        <v>0</v>
      </c>
      <c r="BS9" s="108">
        <v>2143</v>
      </c>
      <c r="BT9" s="111">
        <v>96.4880684376407</v>
      </c>
      <c r="BU9" s="108">
        <v>2221</v>
      </c>
      <c r="BV9" s="2"/>
      <c r="BW9" s="3"/>
      <c r="BX9" s="3"/>
      <c r="BY9" s="3"/>
      <c r="BZ9" s="3"/>
    </row>
    <row r="10" spans="1:78" ht="34.05" customHeight="1">
      <c r="A10" s="65" t="s">
        <v>237</v>
      </c>
      <c r="C10" s="66"/>
      <c r="D10" s="66" t="s">
        <v>64</v>
      </c>
      <c r="E10" s="67">
        <v>162.69659429179436</v>
      </c>
      <c r="F10" s="69"/>
      <c r="G10" s="103" t="str">
        <f>HYPERLINK("https://pbs.twimg.com/profile_images/1313522597724852225/M-54lR9u_normal.jpg")</f>
        <v>https://pbs.twimg.com/profile_images/1313522597724852225/M-54lR9u_normal.jpg</v>
      </c>
      <c r="H10" s="66"/>
      <c r="I10" s="70" t="s">
        <v>237</v>
      </c>
      <c r="J10" s="71"/>
      <c r="K10" s="71"/>
      <c r="L10" s="70" t="s">
        <v>1218</v>
      </c>
      <c r="M10" s="74">
        <v>2.3951958644585454</v>
      </c>
      <c r="N10" s="75">
        <v>9537.5078125</v>
      </c>
      <c r="O10" s="75">
        <v>7658.23779296875</v>
      </c>
      <c r="P10" s="76"/>
      <c r="Q10" s="77"/>
      <c r="R10" s="77"/>
      <c r="S10" s="89"/>
      <c r="T10" s="49">
        <v>0</v>
      </c>
      <c r="U10" s="49">
        <v>3</v>
      </c>
      <c r="V10" s="50">
        <v>0</v>
      </c>
      <c r="W10" s="50">
        <v>0.004484</v>
      </c>
      <c r="X10" s="50">
        <v>0.009834</v>
      </c>
      <c r="Y10" s="50">
        <v>0.866116</v>
      </c>
      <c r="Z10" s="50">
        <v>0.8333333333333334</v>
      </c>
      <c r="AA10" s="50">
        <v>0</v>
      </c>
      <c r="AB10" s="72">
        <v>10</v>
      </c>
      <c r="AC10" s="72"/>
      <c r="AD10" s="73"/>
      <c r="AE10" s="79" t="s">
        <v>803</v>
      </c>
      <c r="AF10" s="87" t="s">
        <v>919</v>
      </c>
      <c r="AG10" s="79">
        <v>2369</v>
      </c>
      <c r="AH10" s="79">
        <v>476</v>
      </c>
      <c r="AI10" s="79">
        <v>11384</v>
      </c>
      <c r="AJ10" s="79">
        <v>6394</v>
      </c>
      <c r="AK10" s="79"/>
      <c r="AL10" s="79" t="s">
        <v>1035</v>
      </c>
      <c r="AM10" s="79" t="s">
        <v>1143</v>
      </c>
      <c r="AN10" s="83" t="str">
        <f>HYPERLINK("https://t.co/Tgge558Kce")</f>
        <v>https://t.co/Tgge558Kce</v>
      </c>
      <c r="AO10" s="79"/>
      <c r="AP10" s="81">
        <v>40514.58064814815</v>
      </c>
      <c r="AQ10" s="79"/>
      <c r="AR10" s="79" t="b">
        <v>0</v>
      </c>
      <c r="AS10" s="79" t="b">
        <v>0</v>
      </c>
      <c r="AT10" s="79" t="b">
        <v>0</v>
      </c>
      <c r="AU10" s="79"/>
      <c r="AV10" s="79">
        <v>7</v>
      </c>
      <c r="AW10" s="83" t="str">
        <f>HYPERLINK("https://abs.twimg.com/images/themes/theme14/bg.gif")</f>
        <v>https://abs.twimg.com/images/themes/theme14/bg.gif</v>
      </c>
      <c r="AX10" s="79" t="b">
        <v>0</v>
      </c>
      <c r="AY10" s="79" t="s">
        <v>1211</v>
      </c>
      <c r="AZ10" s="83" t="str">
        <f>HYPERLINK("https://twitter.com/untiporaro")</f>
        <v>https://twitter.com/untiporaro</v>
      </c>
      <c r="BA10" s="79" t="s">
        <v>66</v>
      </c>
      <c r="BB10" s="79" t="str">
        <f>REPLACE(INDEX(GroupVertices[Group],MATCH(Vertices[[#This Row],[Vertex]],GroupVertices[Vertex],0)),1,1,"")</f>
        <v>3</v>
      </c>
      <c r="BC10" s="49" t="s">
        <v>1368</v>
      </c>
      <c r="BD10" s="49" t="s">
        <v>1368</v>
      </c>
      <c r="BE10" s="49" t="s">
        <v>444</v>
      </c>
      <c r="BF10" s="49" t="s">
        <v>444</v>
      </c>
      <c r="BG10" s="49" t="s">
        <v>450</v>
      </c>
      <c r="BH10" s="49" t="s">
        <v>450</v>
      </c>
      <c r="BI10" s="108" t="s">
        <v>1736</v>
      </c>
      <c r="BJ10" s="108" t="s">
        <v>1736</v>
      </c>
      <c r="BK10" s="108" t="s">
        <v>1777</v>
      </c>
      <c r="BL10" s="108" t="s">
        <v>1777</v>
      </c>
      <c r="BM10" s="108">
        <v>1</v>
      </c>
      <c r="BN10" s="111">
        <v>3.4482758620689653</v>
      </c>
      <c r="BO10" s="108">
        <v>0</v>
      </c>
      <c r="BP10" s="111">
        <v>0</v>
      </c>
      <c r="BQ10" s="108">
        <v>0</v>
      </c>
      <c r="BR10" s="111">
        <v>0</v>
      </c>
      <c r="BS10" s="108">
        <v>28</v>
      </c>
      <c r="BT10" s="111">
        <v>96.55172413793103</v>
      </c>
      <c r="BU10" s="108">
        <v>29</v>
      </c>
      <c r="BV10" s="2"/>
      <c r="BW10" s="3"/>
      <c r="BX10" s="3"/>
      <c r="BY10" s="3"/>
      <c r="BZ10" s="3"/>
    </row>
    <row r="11" spans="1:78" ht="34.05" customHeight="1">
      <c r="A11" s="65" t="s">
        <v>238</v>
      </c>
      <c r="C11" s="66"/>
      <c r="D11" s="66" t="s">
        <v>64</v>
      </c>
      <c r="E11" s="67">
        <v>162.03666285746286</v>
      </c>
      <c r="F11" s="69"/>
      <c r="G11" s="103" t="str">
        <f>HYPERLINK("https://pbs.twimg.com/profile_images/428096838730649600/p6B0n5So_normal.jpeg")</f>
        <v>https://pbs.twimg.com/profile_images/428096838730649600/p6B0n5So_normal.jpeg</v>
      </c>
      <c r="H11" s="66"/>
      <c r="I11" s="70" t="s">
        <v>238</v>
      </c>
      <c r="J11" s="71"/>
      <c r="K11" s="71"/>
      <c r="L11" s="70" t="s">
        <v>1219</v>
      </c>
      <c r="M11" s="74">
        <v>1.0734313612872919</v>
      </c>
      <c r="N11" s="75">
        <v>7745.37939453125</v>
      </c>
      <c r="O11" s="75">
        <v>1457.108154296875</v>
      </c>
      <c r="P11" s="76"/>
      <c r="Q11" s="77"/>
      <c r="R11" s="77"/>
      <c r="S11" s="89"/>
      <c r="T11" s="49">
        <v>0</v>
      </c>
      <c r="U11" s="49">
        <v>2</v>
      </c>
      <c r="V11" s="50">
        <v>0</v>
      </c>
      <c r="W11" s="50">
        <v>0.004464</v>
      </c>
      <c r="X11" s="50">
        <v>0.008869</v>
      </c>
      <c r="Y11" s="50">
        <v>0.646039</v>
      </c>
      <c r="Z11" s="50">
        <v>0.5</v>
      </c>
      <c r="AA11" s="50">
        <v>0</v>
      </c>
      <c r="AB11" s="72">
        <v>11</v>
      </c>
      <c r="AC11" s="72"/>
      <c r="AD11" s="73"/>
      <c r="AE11" s="79" t="s">
        <v>804</v>
      </c>
      <c r="AF11" s="87" t="s">
        <v>920</v>
      </c>
      <c r="AG11" s="79">
        <v>68</v>
      </c>
      <c r="AH11" s="79">
        <v>26</v>
      </c>
      <c r="AI11" s="79">
        <v>311</v>
      </c>
      <c r="AJ11" s="79">
        <v>664</v>
      </c>
      <c r="AK11" s="79"/>
      <c r="AL11" s="79" t="s">
        <v>1036</v>
      </c>
      <c r="AM11" s="79"/>
      <c r="AN11" s="79"/>
      <c r="AO11" s="79"/>
      <c r="AP11" s="81">
        <v>41667.380219907405</v>
      </c>
      <c r="AQ11" s="79"/>
      <c r="AR11" s="79" t="b">
        <v>1</v>
      </c>
      <c r="AS11" s="79" t="b">
        <v>0</v>
      </c>
      <c r="AT11" s="79" t="b">
        <v>0</v>
      </c>
      <c r="AU11" s="79"/>
      <c r="AV11" s="79">
        <v>0</v>
      </c>
      <c r="AW11" s="83" t="str">
        <f>HYPERLINK("https://abs.twimg.com/images/themes/theme1/bg.png")</f>
        <v>https://abs.twimg.com/images/themes/theme1/bg.png</v>
      </c>
      <c r="AX11" s="79" t="b">
        <v>0</v>
      </c>
      <c r="AY11" s="79" t="s">
        <v>1211</v>
      </c>
      <c r="AZ11" s="83" t="str">
        <f>HYPERLINK("https://twitter.com/hinabhagwani")</f>
        <v>https://twitter.com/hinabhagwani</v>
      </c>
      <c r="BA11" s="79" t="s">
        <v>66</v>
      </c>
      <c r="BB11" s="79" t="str">
        <f>REPLACE(INDEX(GroupVertices[Group],MATCH(Vertices[[#This Row],[Vertex]],GroupVertices[Vertex],0)),1,1,"")</f>
        <v>11</v>
      </c>
      <c r="BC11" s="49" t="s">
        <v>1412</v>
      </c>
      <c r="BD11" s="49" t="s">
        <v>1412</v>
      </c>
      <c r="BE11" s="49" t="s">
        <v>444</v>
      </c>
      <c r="BF11" s="49" t="s">
        <v>444</v>
      </c>
      <c r="BG11" s="49" t="s">
        <v>450</v>
      </c>
      <c r="BH11" s="49" t="s">
        <v>450</v>
      </c>
      <c r="BI11" s="108" t="s">
        <v>1739</v>
      </c>
      <c r="BJ11" s="108" t="s">
        <v>1739</v>
      </c>
      <c r="BK11" s="108" t="s">
        <v>1646</v>
      </c>
      <c r="BL11" s="108" t="s">
        <v>1646</v>
      </c>
      <c r="BM11" s="108">
        <v>2</v>
      </c>
      <c r="BN11" s="111">
        <v>6.451612903225806</v>
      </c>
      <c r="BO11" s="108">
        <v>1</v>
      </c>
      <c r="BP11" s="111">
        <v>3.225806451612903</v>
      </c>
      <c r="BQ11" s="108">
        <v>0</v>
      </c>
      <c r="BR11" s="111">
        <v>0</v>
      </c>
      <c r="BS11" s="108">
        <v>28</v>
      </c>
      <c r="BT11" s="111">
        <v>90.3225806451613</v>
      </c>
      <c r="BU11" s="108">
        <v>31</v>
      </c>
      <c r="BV11" s="2"/>
      <c r="BW11" s="3"/>
      <c r="BX11" s="3"/>
      <c r="BY11" s="3"/>
      <c r="BZ11" s="3"/>
    </row>
    <row r="12" spans="1:78" ht="34.05" customHeight="1">
      <c r="A12" s="65" t="s">
        <v>304</v>
      </c>
      <c r="C12" s="66"/>
      <c r="D12" s="66" t="s">
        <v>64</v>
      </c>
      <c r="E12" s="67">
        <v>1000</v>
      </c>
      <c r="F12" s="69"/>
      <c r="G12" s="103" t="str">
        <f>HYPERLINK("https://pbs.twimg.com/profile_images/1353425576770433024/j-HiDx_O_normal.jpg")</f>
        <v>https://pbs.twimg.com/profile_images/1353425576770433024/j-HiDx_O_normal.jpg</v>
      </c>
      <c r="H12" s="66"/>
      <c r="I12" s="70" t="s">
        <v>304</v>
      </c>
      <c r="J12" s="71"/>
      <c r="K12" s="71"/>
      <c r="L12" s="70" t="s">
        <v>1220</v>
      </c>
      <c r="M12" s="74">
        <v>5523.282160923822</v>
      </c>
      <c r="N12" s="75">
        <v>7745.37939453125</v>
      </c>
      <c r="O12" s="75">
        <v>1003.78564453125</v>
      </c>
      <c r="P12" s="76"/>
      <c r="Q12" s="77"/>
      <c r="R12" s="77"/>
      <c r="S12" s="89"/>
      <c r="T12" s="49">
        <v>4</v>
      </c>
      <c r="U12" s="49">
        <v>0</v>
      </c>
      <c r="V12" s="50">
        <v>7.666667</v>
      </c>
      <c r="W12" s="50">
        <v>0.004566</v>
      </c>
      <c r="X12" s="50">
        <v>0.011349</v>
      </c>
      <c r="Y12" s="50">
        <v>1.176803</v>
      </c>
      <c r="Z12" s="50">
        <v>0.3333333333333333</v>
      </c>
      <c r="AA12" s="50">
        <v>0</v>
      </c>
      <c r="AB12" s="72">
        <v>12</v>
      </c>
      <c r="AC12" s="72"/>
      <c r="AD12" s="73"/>
      <c r="AE12" s="79" t="s">
        <v>805</v>
      </c>
      <c r="AF12" s="87" t="s">
        <v>921</v>
      </c>
      <c r="AG12" s="79">
        <v>868</v>
      </c>
      <c r="AH12" s="79">
        <v>1880084</v>
      </c>
      <c r="AI12" s="79">
        <v>34876</v>
      </c>
      <c r="AJ12" s="79">
        <v>2283</v>
      </c>
      <c r="AK12" s="79"/>
      <c r="AL12" s="79" t="s">
        <v>1037</v>
      </c>
      <c r="AM12" s="79" t="s">
        <v>1144</v>
      </c>
      <c r="AN12" s="83" t="str">
        <f>HYPERLINK("https://t.co/U4UrovnUta")</f>
        <v>https://t.co/U4UrovnUta</v>
      </c>
      <c r="AO12" s="79"/>
      <c r="AP12" s="81">
        <v>40043.82796296296</v>
      </c>
      <c r="AQ12" s="83" t="str">
        <f>HYPERLINK("https://pbs.twimg.com/profile_banners/66780587/1610754852")</f>
        <v>https://pbs.twimg.com/profile_banners/66780587/1610754852</v>
      </c>
      <c r="AR12" s="79" t="b">
        <v>0</v>
      </c>
      <c r="AS12" s="79" t="b">
        <v>0</v>
      </c>
      <c r="AT12" s="79" t="b">
        <v>1</v>
      </c>
      <c r="AU12" s="79"/>
      <c r="AV12" s="79">
        <v>8400</v>
      </c>
      <c r="AW12" s="83" t="str">
        <f>HYPERLINK("https://abs.twimg.com/images/themes/theme1/bg.png")</f>
        <v>https://abs.twimg.com/images/themes/theme1/bg.png</v>
      </c>
      <c r="AX12" s="79" t="b">
        <v>1</v>
      </c>
      <c r="AY12" s="79" t="s">
        <v>1211</v>
      </c>
      <c r="AZ12" s="83" t="str">
        <f>HYPERLINK("https://twitter.com/awscloud")</f>
        <v>https://twitter.com/awscloud</v>
      </c>
      <c r="BA12" s="79" t="s">
        <v>65</v>
      </c>
      <c r="BB12" s="79" t="str">
        <f>REPLACE(INDEX(GroupVertices[Group],MATCH(Vertices[[#This Row],[Vertex]],GroupVertices[Vertex],0)),1,1,"")</f>
        <v>11</v>
      </c>
      <c r="BC12" s="49"/>
      <c r="BD12" s="49"/>
      <c r="BE12" s="49"/>
      <c r="BF12" s="49"/>
      <c r="BG12" s="49"/>
      <c r="BH12" s="49"/>
      <c r="BI12" s="49"/>
      <c r="BJ12" s="49"/>
      <c r="BK12" s="49"/>
      <c r="BL12" s="49"/>
      <c r="BM12" s="49"/>
      <c r="BN12" s="50"/>
      <c r="BO12" s="49"/>
      <c r="BP12" s="50"/>
      <c r="BQ12" s="49"/>
      <c r="BR12" s="50"/>
      <c r="BS12" s="49"/>
      <c r="BT12" s="50"/>
      <c r="BU12" s="49"/>
      <c r="BV12" s="2"/>
      <c r="BW12" s="3"/>
      <c r="BX12" s="3"/>
      <c r="BY12" s="3"/>
      <c r="BZ12" s="3"/>
    </row>
    <row r="13" spans="1:78" ht="34.05" customHeight="1">
      <c r="A13" s="65" t="s">
        <v>239</v>
      </c>
      <c r="C13" s="66"/>
      <c r="D13" s="66" t="s">
        <v>64</v>
      </c>
      <c r="E13" s="67">
        <v>162.11585462958263</v>
      </c>
      <c r="F13" s="69"/>
      <c r="G13" s="103" t="str">
        <f>HYPERLINK("https://pbs.twimg.com/profile_images/791960051422375936/6g1qm-JC_normal.jpg")</f>
        <v>https://pbs.twimg.com/profile_images/791960051422375936/6g1qm-JC_normal.jpg</v>
      </c>
      <c r="H13" s="66"/>
      <c r="I13" s="70" t="s">
        <v>239</v>
      </c>
      <c r="J13" s="71"/>
      <c r="K13" s="71"/>
      <c r="L13" s="70" t="s">
        <v>1221</v>
      </c>
      <c r="M13" s="74">
        <v>1.2320431016678424</v>
      </c>
      <c r="N13" s="75">
        <v>8191.48828125</v>
      </c>
      <c r="O13" s="75">
        <v>1457.108154296875</v>
      </c>
      <c r="P13" s="76"/>
      <c r="Q13" s="77"/>
      <c r="R13" s="77"/>
      <c r="S13" s="89"/>
      <c r="T13" s="49">
        <v>0</v>
      </c>
      <c r="U13" s="49">
        <v>2</v>
      </c>
      <c r="V13" s="50">
        <v>0</v>
      </c>
      <c r="W13" s="50">
        <v>0.004464</v>
      </c>
      <c r="X13" s="50">
        <v>0.008869</v>
      </c>
      <c r="Y13" s="50">
        <v>0.646039</v>
      </c>
      <c r="Z13" s="50">
        <v>0.5</v>
      </c>
      <c r="AA13" s="50">
        <v>0</v>
      </c>
      <c r="AB13" s="72">
        <v>13</v>
      </c>
      <c r="AC13" s="72"/>
      <c r="AD13" s="73"/>
      <c r="AE13" s="79" t="s">
        <v>806</v>
      </c>
      <c r="AF13" s="87" t="s">
        <v>922</v>
      </c>
      <c r="AG13" s="79">
        <v>30</v>
      </c>
      <c r="AH13" s="79">
        <v>80</v>
      </c>
      <c r="AI13" s="79">
        <v>90</v>
      </c>
      <c r="AJ13" s="79">
        <v>248</v>
      </c>
      <c r="AK13" s="79"/>
      <c r="AL13" s="79" t="s">
        <v>1038</v>
      </c>
      <c r="AM13" s="79" t="s">
        <v>1145</v>
      </c>
      <c r="AN13" s="79"/>
      <c r="AO13" s="79"/>
      <c r="AP13" s="81">
        <v>39819.41071759259</v>
      </c>
      <c r="AQ13" s="83" t="str">
        <f>HYPERLINK("https://pbs.twimg.com/profile_banners/18668836/1477653503")</f>
        <v>https://pbs.twimg.com/profile_banners/18668836/1477653503</v>
      </c>
      <c r="AR13" s="79" t="b">
        <v>1</v>
      </c>
      <c r="AS13" s="79" t="b">
        <v>0</v>
      </c>
      <c r="AT13" s="79" t="b">
        <v>1</v>
      </c>
      <c r="AU13" s="79"/>
      <c r="AV13" s="79">
        <v>6</v>
      </c>
      <c r="AW13" s="83" t="str">
        <f>HYPERLINK("https://abs.twimg.com/images/themes/theme1/bg.png")</f>
        <v>https://abs.twimg.com/images/themes/theme1/bg.png</v>
      </c>
      <c r="AX13" s="79" t="b">
        <v>0</v>
      </c>
      <c r="AY13" s="79" t="s">
        <v>1211</v>
      </c>
      <c r="AZ13" s="83" t="str">
        <f>HYPERLINK("https://twitter.com/sarka003")</f>
        <v>https://twitter.com/sarka003</v>
      </c>
      <c r="BA13" s="79" t="s">
        <v>66</v>
      </c>
      <c r="BB13" s="79" t="str">
        <f>REPLACE(INDEX(GroupVertices[Group],MATCH(Vertices[[#This Row],[Vertex]],GroupVertices[Vertex],0)),1,1,"")</f>
        <v>11</v>
      </c>
      <c r="BC13" s="49" t="s">
        <v>1412</v>
      </c>
      <c r="BD13" s="49" t="s">
        <v>1412</v>
      </c>
      <c r="BE13" s="49" t="s">
        <v>444</v>
      </c>
      <c r="BF13" s="49" t="s">
        <v>444</v>
      </c>
      <c r="BG13" s="49" t="s">
        <v>450</v>
      </c>
      <c r="BH13" s="49" t="s">
        <v>450</v>
      </c>
      <c r="BI13" s="108" t="s">
        <v>1739</v>
      </c>
      <c r="BJ13" s="108" t="s">
        <v>1739</v>
      </c>
      <c r="BK13" s="108" t="s">
        <v>1646</v>
      </c>
      <c r="BL13" s="108" t="s">
        <v>1646</v>
      </c>
      <c r="BM13" s="108">
        <v>2</v>
      </c>
      <c r="BN13" s="111">
        <v>6.451612903225806</v>
      </c>
      <c r="BO13" s="108">
        <v>1</v>
      </c>
      <c r="BP13" s="111">
        <v>3.225806451612903</v>
      </c>
      <c r="BQ13" s="108">
        <v>0</v>
      </c>
      <c r="BR13" s="111">
        <v>0</v>
      </c>
      <c r="BS13" s="108">
        <v>28</v>
      </c>
      <c r="BT13" s="111">
        <v>90.3225806451613</v>
      </c>
      <c r="BU13" s="108">
        <v>31</v>
      </c>
      <c r="BV13" s="2"/>
      <c r="BW13" s="3"/>
      <c r="BX13" s="3"/>
      <c r="BY13" s="3"/>
      <c r="BZ13" s="3"/>
    </row>
    <row r="14" spans="1:78" ht="34.05" customHeight="1">
      <c r="A14" s="65" t="s">
        <v>240</v>
      </c>
      <c r="C14" s="66"/>
      <c r="D14" s="66" t="s">
        <v>64</v>
      </c>
      <c r="E14" s="67">
        <v>163.33892755454366</v>
      </c>
      <c r="F14" s="69"/>
      <c r="G14" s="103" t="str">
        <f>HYPERLINK("https://abs.twimg.com/sticky/default_profile_images/default_profile_normal.png")</f>
        <v>https://abs.twimg.com/sticky/default_profile_images/default_profile_normal.png</v>
      </c>
      <c r="H14" s="66"/>
      <c r="I14" s="70" t="s">
        <v>240</v>
      </c>
      <c r="J14" s="71"/>
      <c r="K14" s="71"/>
      <c r="L14" s="70" t="s">
        <v>1222</v>
      </c>
      <c r="M14" s="74">
        <v>3.681713314211899</v>
      </c>
      <c r="N14" s="75">
        <v>1118.6468505859375</v>
      </c>
      <c r="O14" s="75">
        <v>6455.19873046875</v>
      </c>
      <c r="P14" s="76"/>
      <c r="Q14" s="77"/>
      <c r="R14" s="77"/>
      <c r="S14" s="89"/>
      <c r="T14" s="49">
        <v>0</v>
      </c>
      <c r="U14" s="49">
        <v>2</v>
      </c>
      <c r="V14" s="50">
        <v>0</v>
      </c>
      <c r="W14" s="50">
        <v>0.004464</v>
      </c>
      <c r="X14" s="50">
        <v>0.008839</v>
      </c>
      <c r="Y14" s="50">
        <v>0.651593</v>
      </c>
      <c r="Z14" s="50">
        <v>1</v>
      </c>
      <c r="AA14" s="50">
        <v>0</v>
      </c>
      <c r="AB14" s="72">
        <v>14</v>
      </c>
      <c r="AC14" s="72"/>
      <c r="AD14" s="73"/>
      <c r="AE14" s="79" t="s">
        <v>807</v>
      </c>
      <c r="AF14" s="87" t="s">
        <v>923</v>
      </c>
      <c r="AG14" s="79">
        <v>64</v>
      </c>
      <c r="AH14" s="79">
        <v>914</v>
      </c>
      <c r="AI14" s="79">
        <v>301918</v>
      </c>
      <c r="AJ14" s="79">
        <v>285915</v>
      </c>
      <c r="AK14" s="79"/>
      <c r="AL14" s="79"/>
      <c r="AM14" s="79"/>
      <c r="AN14" s="79"/>
      <c r="AO14" s="79"/>
      <c r="AP14" s="81">
        <v>42889.44501157408</v>
      </c>
      <c r="AQ14" s="79"/>
      <c r="AR14" s="79" t="b">
        <v>1</v>
      </c>
      <c r="AS14" s="79" t="b">
        <v>1</v>
      </c>
      <c r="AT14" s="79" t="b">
        <v>1</v>
      </c>
      <c r="AU14" s="79"/>
      <c r="AV14" s="79">
        <v>2</v>
      </c>
      <c r="AW14" s="79"/>
      <c r="AX14" s="79" t="b">
        <v>0</v>
      </c>
      <c r="AY14" s="79" t="s">
        <v>1211</v>
      </c>
      <c r="AZ14" s="83" t="str">
        <f>HYPERLINK("https://twitter.com/shail67330119")</f>
        <v>https://twitter.com/shail67330119</v>
      </c>
      <c r="BA14" s="79" t="s">
        <v>66</v>
      </c>
      <c r="BB14" s="79" t="str">
        <f>REPLACE(INDEX(GroupVertices[Group],MATCH(Vertices[[#This Row],[Vertex]],GroupVertices[Vertex],0)),1,1,"")</f>
        <v>1</v>
      </c>
      <c r="BC14" s="49" t="s">
        <v>1360</v>
      </c>
      <c r="BD14" s="49" t="s">
        <v>1360</v>
      </c>
      <c r="BE14" s="49" t="s">
        <v>444</v>
      </c>
      <c r="BF14" s="49" t="s">
        <v>444</v>
      </c>
      <c r="BG14" s="49" t="s">
        <v>450</v>
      </c>
      <c r="BH14" s="49" t="s">
        <v>450</v>
      </c>
      <c r="BI14" s="108" t="s">
        <v>1740</v>
      </c>
      <c r="BJ14" s="108" t="s">
        <v>1740</v>
      </c>
      <c r="BK14" s="108" t="s">
        <v>1780</v>
      </c>
      <c r="BL14" s="108" t="s">
        <v>1780</v>
      </c>
      <c r="BM14" s="108">
        <v>1</v>
      </c>
      <c r="BN14" s="111">
        <v>3.0303030303030303</v>
      </c>
      <c r="BO14" s="108">
        <v>0</v>
      </c>
      <c r="BP14" s="111">
        <v>0</v>
      </c>
      <c r="BQ14" s="108">
        <v>0</v>
      </c>
      <c r="BR14" s="111">
        <v>0</v>
      </c>
      <c r="BS14" s="108">
        <v>32</v>
      </c>
      <c r="BT14" s="111">
        <v>96.96969696969697</v>
      </c>
      <c r="BU14" s="108">
        <v>33</v>
      </c>
      <c r="BV14" s="2"/>
      <c r="BW14" s="3"/>
      <c r="BX14" s="3"/>
      <c r="BY14" s="3"/>
      <c r="BZ14" s="3"/>
    </row>
    <row r="15" spans="1:78" ht="34.05" customHeight="1">
      <c r="A15" s="65" t="s">
        <v>279</v>
      </c>
      <c r="C15" s="66"/>
      <c r="D15" s="66" t="s">
        <v>64</v>
      </c>
      <c r="E15" s="67">
        <v>221.68419892093948</v>
      </c>
      <c r="F15" s="69"/>
      <c r="G15" s="103" t="str">
        <f>HYPERLINK("https://pbs.twimg.com/profile_images/1327950754846367745/rJDTMQm-_normal.jpg")</f>
        <v>https://pbs.twimg.com/profile_images/1327950754846367745/rJDTMQm-_normal.jpg</v>
      </c>
      <c r="H15" s="66"/>
      <c r="I15" s="70" t="s">
        <v>279</v>
      </c>
      <c r="J15" s="71"/>
      <c r="K15" s="71"/>
      <c r="L15" s="70" t="s">
        <v>1223</v>
      </c>
      <c r="M15" s="74">
        <v>120.54038166680817</v>
      </c>
      <c r="N15" s="75">
        <v>1649.9742431640625</v>
      </c>
      <c r="O15" s="75">
        <v>6410.26513671875</v>
      </c>
      <c r="P15" s="76"/>
      <c r="Q15" s="77"/>
      <c r="R15" s="77"/>
      <c r="S15" s="89"/>
      <c r="T15" s="49">
        <v>5</v>
      </c>
      <c r="U15" s="49">
        <v>1</v>
      </c>
      <c r="V15" s="50">
        <v>6</v>
      </c>
      <c r="W15" s="50">
        <v>0.004525</v>
      </c>
      <c r="X15" s="50">
        <v>0.011013</v>
      </c>
      <c r="Y15" s="50">
        <v>1.503676</v>
      </c>
      <c r="Z15" s="50">
        <v>0.2</v>
      </c>
      <c r="AA15" s="50">
        <v>0.2</v>
      </c>
      <c r="AB15" s="72">
        <v>15</v>
      </c>
      <c r="AC15" s="72"/>
      <c r="AD15" s="73"/>
      <c r="AE15" s="79" t="s">
        <v>808</v>
      </c>
      <c r="AF15" s="87" t="s">
        <v>924</v>
      </c>
      <c r="AG15" s="79">
        <v>883</v>
      </c>
      <c r="AH15" s="79">
        <v>40699</v>
      </c>
      <c r="AI15" s="79">
        <v>11402</v>
      </c>
      <c r="AJ15" s="79">
        <v>18179</v>
      </c>
      <c r="AK15" s="79"/>
      <c r="AL15" s="79" t="s">
        <v>1039</v>
      </c>
      <c r="AM15" s="79" t="s">
        <v>1146</v>
      </c>
      <c r="AN15" s="83" t="str">
        <f>HYPERLINK("https://t.co/8xpKIvn6BC")</f>
        <v>https://t.co/8xpKIvn6BC</v>
      </c>
      <c r="AO15" s="79"/>
      <c r="AP15" s="81">
        <v>42706.52967592593</v>
      </c>
      <c r="AQ15" s="83" t="str">
        <f>HYPERLINK("https://pbs.twimg.com/profile_banners/804667111851356160/1598435093")</f>
        <v>https://pbs.twimg.com/profile_banners/804667111851356160/1598435093</v>
      </c>
      <c r="AR15" s="79" t="b">
        <v>1</v>
      </c>
      <c r="AS15" s="79" t="b">
        <v>0</v>
      </c>
      <c r="AT15" s="79" t="b">
        <v>0</v>
      </c>
      <c r="AU15" s="79"/>
      <c r="AV15" s="79">
        <v>40</v>
      </c>
      <c r="AW15" s="79"/>
      <c r="AX15" s="79" t="b">
        <v>1</v>
      </c>
      <c r="AY15" s="79" t="s">
        <v>1211</v>
      </c>
      <c r="AZ15" s="83" t="str">
        <f>HYPERLINK("https://twitter.com/yoswaroop")</f>
        <v>https://twitter.com/yoswaroop</v>
      </c>
      <c r="BA15" s="79" t="s">
        <v>66</v>
      </c>
      <c r="BB15" s="79" t="str">
        <f>REPLACE(INDEX(GroupVertices[Group],MATCH(Vertices[[#This Row],[Vertex]],GroupVertices[Vertex],0)),1,1,"")</f>
        <v>1</v>
      </c>
      <c r="BC15" s="49" t="s">
        <v>1360</v>
      </c>
      <c r="BD15" s="49" t="s">
        <v>1360</v>
      </c>
      <c r="BE15" s="49" t="s">
        <v>444</v>
      </c>
      <c r="BF15" s="49" t="s">
        <v>444</v>
      </c>
      <c r="BG15" s="49" t="s">
        <v>450</v>
      </c>
      <c r="BH15" s="49" t="s">
        <v>450</v>
      </c>
      <c r="BI15" s="108" t="s">
        <v>1740</v>
      </c>
      <c r="BJ15" s="108" t="s">
        <v>1740</v>
      </c>
      <c r="BK15" s="108" t="s">
        <v>1780</v>
      </c>
      <c r="BL15" s="108" t="s">
        <v>1780</v>
      </c>
      <c r="BM15" s="108">
        <v>1</v>
      </c>
      <c r="BN15" s="111">
        <v>3.0303030303030303</v>
      </c>
      <c r="BO15" s="108">
        <v>0</v>
      </c>
      <c r="BP15" s="111">
        <v>0</v>
      </c>
      <c r="BQ15" s="108">
        <v>0</v>
      </c>
      <c r="BR15" s="111">
        <v>0</v>
      </c>
      <c r="BS15" s="108">
        <v>32</v>
      </c>
      <c r="BT15" s="111">
        <v>96.96969696969697</v>
      </c>
      <c r="BU15" s="108">
        <v>33</v>
      </c>
      <c r="BV15" s="2"/>
      <c r="BW15" s="3"/>
      <c r="BX15" s="3"/>
      <c r="BY15" s="3"/>
      <c r="BZ15" s="3"/>
    </row>
    <row r="16" spans="1:78" ht="34.05" customHeight="1">
      <c r="A16" s="65" t="s">
        <v>241</v>
      </c>
      <c r="C16" s="66"/>
      <c r="D16" s="66" t="s">
        <v>64</v>
      </c>
      <c r="E16" s="67">
        <v>165.7777408329731</v>
      </c>
      <c r="F16" s="69"/>
      <c r="G16" s="103" t="str">
        <f>HYPERLINK("https://pbs.twimg.com/profile_images/1353988638690877441/8jbdFGEU_normal.jpg")</f>
        <v>https://pbs.twimg.com/profile_images/1353988638690877441/8jbdFGEU_normal.jpg</v>
      </c>
      <c r="H16" s="66"/>
      <c r="I16" s="70" t="s">
        <v>241</v>
      </c>
      <c r="J16" s="71"/>
      <c r="K16" s="71"/>
      <c r="L16" s="70" t="s">
        <v>1224</v>
      </c>
      <c r="M16" s="74">
        <v>8.566367467042554</v>
      </c>
      <c r="N16" s="75">
        <v>2200.611328125</v>
      </c>
      <c r="O16" s="75">
        <v>6281.8525390625</v>
      </c>
      <c r="P16" s="76"/>
      <c r="Q16" s="77"/>
      <c r="R16" s="77"/>
      <c r="S16" s="89"/>
      <c r="T16" s="49">
        <v>0</v>
      </c>
      <c r="U16" s="49">
        <v>2</v>
      </c>
      <c r="V16" s="50">
        <v>0</v>
      </c>
      <c r="W16" s="50">
        <v>0.004464</v>
      </c>
      <c r="X16" s="50">
        <v>0.008839</v>
      </c>
      <c r="Y16" s="50">
        <v>0.651593</v>
      </c>
      <c r="Z16" s="50">
        <v>1</v>
      </c>
      <c r="AA16" s="50">
        <v>0</v>
      </c>
      <c r="AB16" s="72">
        <v>16</v>
      </c>
      <c r="AC16" s="72"/>
      <c r="AD16" s="73"/>
      <c r="AE16" s="79" t="s">
        <v>809</v>
      </c>
      <c r="AF16" s="87" t="s">
        <v>925</v>
      </c>
      <c r="AG16" s="79">
        <v>211</v>
      </c>
      <c r="AH16" s="79">
        <v>2577</v>
      </c>
      <c r="AI16" s="79">
        <v>81581</v>
      </c>
      <c r="AJ16" s="79">
        <v>82907</v>
      </c>
      <c r="AK16" s="79"/>
      <c r="AL16" s="79" t="s">
        <v>1040</v>
      </c>
      <c r="AM16" s="79" t="s">
        <v>1147</v>
      </c>
      <c r="AN16" s="83" t="str">
        <f>HYPERLINK("https://t.co/soclHcSQxA")</f>
        <v>https://t.co/soclHcSQxA</v>
      </c>
      <c r="AO16" s="79"/>
      <c r="AP16" s="81">
        <v>40652.55196759259</v>
      </c>
      <c r="AQ16" s="83" t="str">
        <f>HYPERLINK("https://pbs.twimg.com/profile_banners/284530476/1609598480")</f>
        <v>https://pbs.twimg.com/profile_banners/284530476/1609598480</v>
      </c>
      <c r="AR16" s="79" t="b">
        <v>1</v>
      </c>
      <c r="AS16" s="79" t="b">
        <v>0</v>
      </c>
      <c r="AT16" s="79" t="b">
        <v>1</v>
      </c>
      <c r="AU16" s="79"/>
      <c r="AV16" s="79">
        <v>35</v>
      </c>
      <c r="AW16" s="83" t="str">
        <f>HYPERLINK("https://abs.twimg.com/images/themes/theme1/bg.png")</f>
        <v>https://abs.twimg.com/images/themes/theme1/bg.png</v>
      </c>
      <c r="AX16" s="79" t="b">
        <v>0</v>
      </c>
      <c r="AY16" s="79" t="s">
        <v>1211</v>
      </c>
      <c r="AZ16" s="83" t="str">
        <f>HYPERLINK("https://twitter.com/meenakshipai")</f>
        <v>https://twitter.com/meenakshipai</v>
      </c>
      <c r="BA16" s="79" t="s">
        <v>66</v>
      </c>
      <c r="BB16" s="79" t="str">
        <f>REPLACE(INDEX(GroupVertices[Group],MATCH(Vertices[[#This Row],[Vertex]],GroupVertices[Vertex],0)),1,1,"")</f>
        <v>1</v>
      </c>
      <c r="BC16" s="49" t="s">
        <v>1360</v>
      </c>
      <c r="BD16" s="49" t="s">
        <v>1360</v>
      </c>
      <c r="BE16" s="49" t="s">
        <v>444</v>
      </c>
      <c r="BF16" s="49" t="s">
        <v>444</v>
      </c>
      <c r="BG16" s="49" t="s">
        <v>450</v>
      </c>
      <c r="BH16" s="49" t="s">
        <v>450</v>
      </c>
      <c r="BI16" s="108" t="s">
        <v>1740</v>
      </c>
      <c r="BJ16" s="108" t="s">
        <v>1740</v>
      </c>
      <c r="BK16" s="108" t="s">
        <v>1780</v>
      </c>
      <c r="BL16" s="108" t="s">
        <v>1780</v>
      </c>
      <c r="BM16" s="108">
        <v>1</v>
      </c>
      <c r="BN16" s="111">
        <v>3.0303030303030303</v>
      </c>
      <c r="BO16" s="108">
        <v>0</v>
      </c>
      <c r="BP16" s="111">
        <v>0</v>
      </c>
      <c r="BQ16" s="108">
        <v>0</v>
      </c>
      <c r="BR16" s="111">
        <v>0</v>
      </c>
      <c r="BS16" s="108">
        <v>32</v>
      </c>
      <c r="BT16" s="111">
        <v>96.96969696969697</v>
      </c>
      <c r="BU16" s="108">
        <v>33</v>
      </c>
      <c r="BV16" s="2"/>
      <c r="BW16" s="3"/>
      <c r="BX16" s="3"/>
      <c r="BY16" s="3"/>
      <c r="BZ16" s="3"/>
    </row>
    <row r="17" spans="1:78" ht="34.05" customHeight="1">
      <c r="A17" s="65" t="s">
        <v>242</v>
      </c>
      <c r="C17" s="66"/>
      <c r="D17" s="66" t="s">
        <v>64</v>
      </c>
      <c r="E17" s="67">
        <v>163.21427383916992</v>
      </c>
      <c r="F17" s="69"/>
      <c r="G17" s="103" t="str">
        <f>HYPERLINK("https://pbs.twimg.com/profile_images/1292806327341690886/ZDauGxVQ_normal.jpg")</f>
        <v>https://pbs.twimg.com/profile_images/1292806327341690886/ZDauGxVQ_normal.jpg</v>
      </c>
      <c r="H17" s="66"/>
      <c r="I17" s="70" t="s">
        <v>242</v>
      </c>
      <c r="J17" s="71"/>
      <c r="K17" s="71"/>
      <c r="L17" s="70" t="s">
        <v>1225</v>
      </c>
      <c r="M17" s="74">
        <v>3.4320466858351066</v>
      </c>
      <c r="N17" s="75">
        <v>1381.052734375</v>
      </c>
      <c r="O17" s="75">
        <v>5253.6728515625</v>
      </c>
      <c r="P17" s="76"/>
      <c r="Q17" s="77"/>
      <c r="R17" s="77"/>
      <c r="S17" s="89"/>
      <c r="T17" s="49">
        <v>0</v>
      </c>
      <c r="U17" s="49">
        <v>2</v>
      </c>
      <c r="V17" s="50">
        <v>0</v>
      </c>
      <c r="W17" s="50">
        <v>0.004464</v>
      </c>
      <c r="X17" s="50">
        <v>0.008839</v>
      </c>
      <c r="Y17" s="50">
        <v>0.651593</v>
      </c>
      <c r="Z17" s="50">
        <v>1</v>
      </c>
      <c r="AA17" s="50">
        <v>0</v>
      </c>
      <c r="AB17" s="72">
        <v>17</v>
      </c>
      <c r="AC17" s="72"/>
      <c r="AD17" s="73"/>
      <c r="AE17" s="79" t="s">
        <v>810</v>
      </c>
      <c r="AF17" s="87" t="s">
        <v>926</v>
      </c>
      <c r="AG17" s="79">
        <v>533</v>
      </c>
      <c r="AH17" s="79">
        <v>829</v>
      </c>
      <c r="AI17" s="79">
        <v>4453</v>
      </c>
      <c r="AJ17" s="79">
        <v>19749</v>
      </c>
      <c r="AK17" s="79"/>
      <c r="AL17" s="79" t="s">
        <v>1041</v>
      </c>
      <c r="AM17" s="79" t="s">
        <v>1148</v>
      </c>
      <c r="AN17" s="83" t="str">
        <f>HYPERLINK("https://t.co/rBhEX6Wln9")</f>
        <v>https://t.co/rBhEX6Wln9</v>
      </c>
      <c r="AO17" s="79"/>
      <c r="AP17" s="81">
        <v>41477.08399305555</v>
      </c>
      <c r="AQ17" s="83" t="str">
        <f>HYPERLINK("https://pbs.twimg.com/profile_banners/1611809881/1605491773")</f>
        <v>https://pbs.twimg.com/profile_banners/1611809881/1605491773</v>
      </c>
      <c r="AR17" s="79" t="b">
        <v>1</v>
      </c>
      <c r="AS17" s="79" t="b">
        <v>0</v>
      </c>
      <c r="AT17" s="79" t="b">
        <v>1</v>
      </c>
      <c r="AU17" s="79"/>
      <c r="AV17" s="79">
        <v>2</v>
      </c>
      <c r="AW17" s="83" t="str">
        <f>HYPERLINK("https://abs.twimg.com/images/themes/theme1/bg.png")</f>
        <v>https://abs.twimg.com/images/themes/theme1/bg.png</v>
      </c>
      <c r="AX17" s="79" t="b">
        <v>0</v>
      </c>
      <c r="AY17" s="79" t="s">
        <v>1211</v>
      </c>
      <c r="AZ17" s="83" t="str">
        <f>HYPERLINK("https://twitter.com/shivanikdmishra")</f>
        <v>https://twitter.com/shivanikdmishra</v>
      </c>
      <c r="BA17" s="79" t="s">
        <v>66</v>
      </c>
      <c r="BB17" s="79" t="str">
        <f>REPLACE(INDEX(GroupVertices[Group],MATCH(Vertices[[#This Row],[Vertex]],GroupVertices[Vertex],0)),1,1,"")</f>
        <v>1</v>
      </c>
      <c r="BC17" s="49" t="s">
        <v>1360</v>
      </c>
      <c r="BD17" s="49" t="s">
        <v>1360</v>
      </c>
      <c r="BE17" s="49" t="s">
        <v>444</v>
      </c>
      <c r="BF17" s="49" t="s">
        <v>444</v>
      </c>
      <c r="BG17" s="49" t="s">
        <v>450</v>
      </c>
      <c r="BH17" s="49" t="s">
        <v>450</v>
      </c>
      <c r="BI17" s="108" t="s">
        <v>1740</v>
      </c>
      <c r="BJ17" s="108" t="s">
        <v>1740</v>
      </c>
      <c r="BK17" s="108" t="s">
        <v>1780</v>
      </c>
      <c r="BL17" s="108" t="s">
        <v>1780</v>
      </c>
      <c r="BM17" s="108">
        <v>1</v>
      </c>
      <c r="BN17" s="111">
        <v>3.0303030303030303</v>
      </c>
      <c r="BO17" s="108">
        <v>0</v>
      </c>
      <c r="BP17" s="111">
        <v>0</v>
      </c>
      <c r="BQ17" s="108">
        <v>0</v>
      </c>
      <c r="BR17" s="111">
        <v>0</v>
      </c>
      <c r="BS17" s="108">
        <v>32</v>
      </c>
      <c r="BT17" s="111">
        <v>96.96969696969697</v>
      </c>
      <c r="BU17" s="108">
        <v>33</v>
      </c>
      <c r="BV17" s="2"/>
      <c r="BW17" s="3"/>
      <c r="BX17" s="3"/>
      <c r="BY17" s="3"/>
      <c r="BZ17" s="3"/>
    </row>
    <row r="18" spans="1:78" ht="34.05" customHeight="1">
      <c r="A18" s="65" t="s">
        <v>243</v>
      </c>
      <c r="C18" s="66"/>
      <c r="D18" s="66" t="s">
        <v>64</v>
      </c>
      <c r="E18" s="67">
        <v>170.38699527320392</v>
      </c>
      <c r="F18" s="69"/>
      <c r="G18" s="103" t="str">
        <f>HYPERLINK("https://pbs.twimg.com/profile_images/1339644491565834244/lWHEVHjr_normal.jpg")</f>
        <v>https://pbs.twimg.com/profile_images/1339644491565834244/lWHEVHjr_normal.jpg</v>
      </c>
      <c r="H18" s="66"/>
      <c r="I18" s="70" t="s">
        <v>243</v>
      </c>
      <c r="J18" s="71"/>
      <c r="K18" s="71"/>
      <c r="L18" s="70" t="s">
        <v>1226</v>
      </c>
      <c r="M18" s="74">
        <v>17.79815820808089</v>
      </c>
      <c r="N18" s="75">
        <v>6918.916015625</v>
      </c>
      <c r="O18" s="75">
        <v>5828.4326171875</v>
      </c>
      <c r="P18" s="76"/>
      <c r="Q18" s="77"/>
      <c r="R18" s="77"/>
      <c r="S18" s="89"/>
      <c r="T18" s="49">
        <v>0</v>
      </c>
      <c r="U18" s="49">
        <v>2</v>
      </c>
      <c r="V18" s="50">
        <v>0</v>
      </c>
      <c r="W18" s="50">
        <v>0.003086</v>
      </c>
      <c r="X18" s="50">
        <v>0.000876</v>
      </c>
      <c r="Y18" s="50">
        <v>0.701992</v>
      </c>
      <c r="Z18" s="50">
        <v>0.5</v>
      </c>
      <c r="AA18" s="50">
        <v>0</v>
      </c>
      <c r="AB18" s="72">
        <v>18</v>
      </c>
      <c r="AC18" s="72"/>
      <c r="AD18" s="73"/>
      <c r="AE18" s="79" t="s">
        <v>811</v>
      </c>
      <c r="AF18" s="87" t="s">
        <v>927</v>
      </c>
      <c r="AG18" s="79">
        <v>4837</v>
      </c>
      <c r="AH18" s="79">
        <v>5720</v>
      </c>
      <c r="AI18" s="79">
        <v>33543</v>
      </c>
      <c r="AJ18" s="79">
        <v>135</v>
      </c>
      <c r="AK18" s="79"/>
      <c r="AL18" s="79" t="s">
        <v>1042</v>
      </c>
      <c r="AM18" s="79" t="s">
        <v>1149</v>
      </c>
      <c r="AN18" s="83" t="str">
        <f>HYPERLINK("https://t.co/y3IrwnftBH")</f>
        <v>https://t.co/y3IrwnftBH</v>
      </c>
      <c r="AO18" s="79"/>
      <c r="AP18" s="81">
        <v>41540.79775462963</v>
      </c>
      <c r="AQ18" s="83" t="str">
        <f>HYPERLINK("https://pbs.twimg.com/profile_banners/1898160470/1607782551")</f>
        <v>https://pbs.twimg.com/profile_banners/1898160470/1607782551</v>
      </c>
      <c r="AR18" s="79" t="b">
        <v>1</v>
      </c>
      <c r="AS18" s="79" t="b">
        <v>0</v>
      </c>
      <c r="AT18" s="79" t="b">
        <v>0</v>
      </c>
      <c r="AU18" s="79"/>
      <c r="AV18" s="79">
        <v>93</v>
      </c>
      <c r="AW18" s="83" t="str">
        <f>HYPERLINK("https://abs.twimg.com/images/themes/theme1/bg.png")</f>
        <v>https://abs.twimg.com/images/themes/theme1/bg.png</v>
      </c>
      <c r="AX18" s="79" t="b">
        <v>0</v>
      </c>
      <c r="AY18" s="79" t="s">
        <v>1211</v>
      </c>
      <c r="AZ18" s="83" t="str">
        <f>HYPERLINK("https://twitter.com/christallaj")</f>
        <v>https://twitter.com/christallaj</v>
      </c>
      <c r="BA18" s="79" t="s">
        <v>66</v>
      </c>
      <c r="BB18" s="79" t="str">
        <f>REPLACE(INDEX(GroupVertices[Group],MATCH(Vertices[[#This Row],[Vertex]],GroupVertices[Vertex],0)),1,1,"")</f>
        <v>5</v>
      </c>
      <c r="BC18" s="49" t="s">
        <v>1390</v>
      </c>
      <c r="BD18" s="49" t="s">
        <v>1390</v>
      </c>
      <c r="BE18" s="49" t="s">
        <v>445</v>
      </c>
      <c r="BF18" s="49" t="s">
        <v>445</v>
      </c>
      <c r="BG18" s="49" t="s">
        <v>451</v>
      </c>
      <c r="BH18" s="49" t="s">
        <v>451</v>
      </c>
      <c r="BI18" s="108" t="s">
        <v>1741</v>
      </c>
      <c r="BJ18" s="108" t="s">
        <v>1741</v>
      </c>
      <c r="BK18" s="108" t="s">
        <v>1640</v>
      </c>
      <c r="BL18" s="108" t="s">
        <v>1640</v>
      </c>
      <c r="BM18" s="108">
        <v>1</v>
      </c>
      <c r="BN18" s="111">
        <v>3.225806451612903</v>
      </c>
      <c r="BO18" s="108">
        <v>0</v>
      </c>
      <c r="BP18" s="111">
        <v>0</v>
      </c>
      <c r="BQ18" s="108">
        <v>0</v>
      </c>
      <c r="BR18" s="111">
        <v>0</v>
      </c>
      <c r="BS18" s="108">
        <v>30</v>
      </c>
      <c r="BT18" s="111">
        <v>96.7741935483871</v>
      </c>
      <c r="BU18" s="108">
        <v>31</v>
      </c>
      <c r="BV18" s="2"/>
      <c r="BW18" s="3"/>
      <c r="BX18" s="3"/>
      <c r="BY18" s="3"/>
      <c r="BZ18" s="3"/>
    </row>
    <row r="19" spans="1:78" ht="34.05" customHeight="1">
      <c r="A19" s="65" t="s">
        <v>305</v>
      </c>
      <c r="C19" s="66"/>
      <c r="D19" s="66" t="s">
        <v>64</v>
      </c>
      <c r="E19" s="67">
        <v>163.64396252863466</v>
      </c>
      <c r="F19" s="69"/>
      <c r="G19" s="103" t="str">
        <f>HYPERLINK("https://pbs.twimg.com/profile_images/1222561208433364992/t6JeZS9e_normal.jpg")</f>
        <v>https://pbs.twimg.com/profile_images/1222561208433364992/t6JeZS9e_normal.jpg</v>
      </c>
      <c r="H19" s="66"/>
      <c r="I19" s="70" t="s">
        <v>305</v>
      </c>
      <c r="J19" s="71"/>
      <c r="K19" s="71"/>
      <c r="L19" s="70" t="s">
        <v>1227</v>
      </c>
      <c r="M19" s="74">
        <v>4.2926622401221675</v>
      </c>
      <c r="N19" s="75">
        <v>7060.83251953125</v>
      </c>
      <c r="O19" s="75">
        <v>4607.0966796875</v>
      </c>
      <c r="P19" s="76"/>
      <c r="Q19" s="77"/>
      <c r="R19" s="77"/>
      <c r="S19" s="89"/>
      <c r="T19" s="49">
        <v>3</v>
      </c>
      <c r="U19" s="49">
        <v>0</v>
      </c>
      <c r="V19" s="50">
        <v>1</v>
      </c>
      <c r="W19" s="50">
        <v>0.003096</v>
      </c>
      <c r="X19" s="50">
        <v>0.000948</v>
      </c>
      <c r="Y19" s="50">
        <v>1.011962</v>
      </c>
      <c r="Z19" s="50">
        <v>0.3333333333333333</v>
      </c>
      <c r="AA19" s="50">
        <v>0</v>
      </c>
      <c r="AB19" s="72">
        <v>19</v>
      </c>
      <c r="AC19" s="72"/>
      <c r="AD19" s="73"/>
      <c r="AE19" s="79" t="s">
        <v>812</v>
      </c>
      <c r="AF19" s="87" t="s">
        <v>928</v>
      </c>
      <c r="AG19" s="79">
        <v>1390</v>
      </c>
      <c r="AH19" s="79">
        <v>1122</v>
      </c>
      <c r="AI19" s="79">
        <v>681</v>
      </c>
      <c r="AJ19" s="79">
        <v>490</v>
      </c>
      <c r="AK19" s="79"/>
      <c r="AL19" s="79" t="s">
        <v>1043</v>
      </c>
      <c r="AM19" s="79" t="s">
        <v>1150</v>
      </c>
      <c r="AN19" s="83" t="str">
        <f>HYPERLINK("https://t.co/vLXnoFsuZp")</f>
        <v>https://t.co/vLXnoFsuZp</v>
      </c>
      <c r="AO19" s="79"/>
      <c r="AP19" s="81">
        <v>39949.4037962963</v>
      </c>
      <c r="AQ19" s="83" t="str">
        <f>HYPERLINK("https://pbs.twimg.com/profile_banners/40439437/1498730779")</f>
        <v>https://pbs.twimg.com/profile_banners/40439437/1498730779</v>
      </c>
      <c r="AR19" s="79" t="b">
        <v>0</v>
      </c>
      <c r="AS19" s="79" t="b">
        <v>0</v>
      </c>
      <c r="AT19" s="79" t="b">
        <v>1</v>
      </c>
      <c r="AU19" s="79"/>
      <c r="AV19" s="79">
        <v>48</v>
      </c>
      <c r="AW19" s="83" t="str">
        <f>HYPERLINK("https://abs.twimg.com/images/themes/theme11/bg.gif")</f>
        <v>https://abs.twimg.com/images/themes/theme11/bg.gif</v>
      </c>
      <c r="AX19" s="79" t="b">
        <v>0</v>
      </c>
      <c r="AY19" s="79" t="s">
        <v>1211</v>
      </c>
      <c r="AZ19" s="83" t="str">
        <f>HYPERLINK("https://twitter.com/paulinatervo")</f>
        <v>https://twitter.com/paulinatervo</v>
      </c>
      <c r="BA19" s="79" t="s">
        <v>65</v>
      </c>
      <c r="BB19" s="79" t="str">
        <f>REPLACE(INDEX(GroupVertices[Group],MATCH(Vertices[[#This Row],[Vertex]],GroupVertices[Vertex],0)),1,1,"")</f>
        <v>5</v>
      </c>
      <c r="BC19" s="49"/>
      <c r="BD19" s="49"/>
      <c r="BE19" s="49"/>
      <c r="BF19" s="49"/>
      <c r="BG19" s="49"/>
      <c r="BH19" s="49"/>
      <c r="BI19" s="49"/>
      <c r="BJ19" s="49"/>
      <c r="BK19" s="49"/>
      <c r="BL19" s="49"/>
      <c r="BM19" s="49"/>
      <c r="BN19" s="50"/>
      <c r="BO19" s="49"/>
      <c r="BP19" s="50"/>
      <c r="BQ19" s="49"/>
      <c r="BR19" s="50"/>
      <c r="BS19" s="49"/>
      <c r="BT19" s="50"/>
      <c r="BU19" s="49"/>
      <c r="BV19" s="2"/>
      <c r="BW19" s="3"/>
      <c r="BX19" s="3"/>
      <c r="BY19" s="3"/>
      <c r="BZ19" s="3"/>
    </row>
    <row r="20" spans="1:78" ht="34.05" customHeight="1">
      <c r="A20" s="65" t="s">
        <v>244</v>
      </c>
      <c r="C20" s="66"/>
      <c r="D20" s="66" t="s">
        <v>64</v>
      </c>
      <c r="E20" s="67">
        <v>165.6032256314499</v>
      </c>
      <c r="F20" s="69"/>
      <c r="G20" s="103" t="str">
        <f>HYPERLINK("https://pbs.twimg.com/profile_images/1343572385761533956/4K1t9qHf_normal.jpg")</f>
        <v>https://pbs.twimg.com/profile_images/1343572385761533956/4K1t9qHf_normal.jpg</v>
      </c>
      <c r="H20" s="66"/>
      <c r="I20" s="70" t="s">
        <v>244</v>
      </c>
      <c r="J20" s="71"/>
      <c r="K20" s="71"/>
      <c r="L20" s="70" t="s">
        <v>1228</v>
      </c>
      <c r="M20" s="74">
        <v>8.216834187315044</v>
      </c>
      <c r="N20" s="75">
        <v>6724.64697265625</v>
      </c>
      <c r="O20" s="75">
        <v>4584.61376953125</v>
      </c>
      <c r="P20" s="76"/>
      <c r="Q20" s="77"/>
      <c r="R20" s="77"/>
      <c r="S20" s="89"/>
      <c r="T20" s="49">
        <v>4</v>
      </c>
      <c r="U20" s="49">
        <v>1</v>
      </c>
      <c r="V20" s="50">
        <v>631</v>
      </c>
      <c r="W20" s="50">
        <v>0.004587</v>
      </c>
      <c r="X20" s="50">
        <v>0.008869</v>
      </c>
      <c r="Y20" s="50">
        <v>1.560409</v>
      </c>
      <c r="Z20" s="50">
        <v>0.2</v>
      </c>
      <c r="AA20" s="50">
        <v>0</v>
      </c>
      <c r="AB20" s="72">
        <v>20</v>
      </c>
      <c r="AC20" s="72"/>
      <c r="AD20" s="73"/>
      <c r="AE20" s="79" t="s">
        <v>813</v>
      </c>
      <c r="AF20" s="87" t="s">
        <v>929</v>
      </c>
      <c r="AG20" s="79">
        <v>3853</v>
      </c>
      <c r="AH20" s="79">
        <v>2458</v>
      </c>
      <c r="AI20" s="79">
        <v>4045</v>
      </c>
      <c r="AJ20" s="79">
        <v>11807</v>
      </c>
      <c r="AK20" s="79"/>
      <c r="AL20" s="79" t="s">
        <v>1044</v>
      </c>
      <c r="AM20" s="79" t="s">
        <v>1151</v>
      </c>
      <c r="AN20" s="83" t="str">
        <f>HYPERLINK("https://t.co/dCjjGlKFet")</f>
        <v>https://t.co/dCjjGlKFet</v>
      </c>
      <c r="AO20" s="79"/>
      <c r="AP20" s="81">
        <v>40238.44383101852</v>
      </c>
      <c r="AQ20" s="83" t="str">
        <f>HYPERLINK("https://pbs.twimg.com/profile_banners/118653864/1398140179")</f>
        <v>https://pbs.twimg.com/profile_banners/118653864/1398140179</v>
      </c>
      <c r="AR20" s="79" t="b">
        <v>1</v>
      </c>
      <c r="AS20" s="79" t="b">
        <v>0</v>
      </c>
      <c r="AT20" s="79" t="b">
        <v>0</v>
      </c>
      <c r="AU20" s="79"/>
      <c r="AV20" s="79">
        <v>27</v>
      </c>
      <c r="AW20" s="83" t="str">
        <f>HYPERLINK("https://abs.twimg.com/images/themes/theme1/bg.png")</f>
        <v>https://abs.twimg.com/images/themes/theme1/bg.png</v>
      </c>
      <c r="AX20" s="79" t="b">
        <v>0</v>
      </c>
      <c r="AY20" s="79" t="s">
        <v>1211</v>
      </c>
      <c r="AZ20" s="83" t="str">
        <f>HYPERLINK("https://twitter.com/serdarferit")</f>
        <v>https://twitter.com/serdarferit</v>
      </c>
      <c r="BA20" s="79" t="s">
        <v>66</v>
      </c>
      <c r="BB20" s="79" t="str">
        <f>REPLACE(INDEX(GroupVertices[Group],MATCH(Vertices[[#This Row],[Vertex]],GroupVertices[Vertex],0)),1,1,"")</f>
        <v>5</v>
      </c>
      <c r="BC20" s="49" t="s">
        <v>1390</v>
      </c>
      <c r="BD20" s="49" t="s">
        <v>1390</v>
      </c>
      <c r="BE20" s="49" t="s">
        <v>445</v>
      </c>
      <c r="BF20" s="49" t="s">
        <v>445</v>
      </c>
      <c r="BG20" s="49" t="s">
        <v>451</v>
      </c>
      <c r="BH20" s="49" t="s">
        <v>451</v>
      </c>
      <c r="BI20" s="108" t="s">
        <v>1741</v>
      </c>
      <c r="BJ20" s="108" t="s">
        <v>1741</v>
      </c>
      <c r="BK20" s="108" t="s">
        <v>1640</v>
      </c>
      <c r="BL20" s="108" t="s">
        <v>1640</v>
      </c>
      <c r="BM20" s="108">
        <v>1</v>
      </c>
      <c r="BN20" s="111">
        <v>3.225806451612903</v>
      </c>
      <c r="BO20" s="108">
        <v>0</v>
      </c>
      <c r="BP20" s="111">
        <v>0</v>
      </c>
      <c r="BQ20" s="108">
        <v>0</v>
      </c>
      <c r="BR20" s="111">
        <v>0</v>
      </c>
      <c r="BS20" s="108">
        <v>30</v>
      </c>
      <c r="BT20" s="111">
        <v>96.7741935483871</v>
      </c>
      <c r="BU20" s="108">
        <v>31</v>
      </c>
      <c r="BV20" s="2"/>
      <c r="BW20" s="3"/>
      <c r="BX20" s="3"/>
      <c r="BY20" s="3"/>
      <c r="BZ20" s="3"/>
    </row>
    <row r="21" spans="1:78" ht="34.05" customHeight="1">
      <c r="A21" s="65" t="s">
        <v>245</v>
      </c>
      <c r="C21" s="66"/>
      <c r="D21" s="66" t="s">
        <v>64</v>
      </c>
      <c r="E21" s="67">
        <v>162.4780836613157</v>
      </c>
      <c r="F21" s="69"/>
      <c r="G21" s="103" t="str">
        <f>HYPERLINK("https://pbs.twimg.com/profile_images/1126111500538732544/BWUjbMA3_normal.jpg")</f>
        <v>https://pbs.twimg.com/profile_images/1126111500538732544/BWUjbMA3_normal.jpg</v>
      </c>
      <c r="H21" s="66"/>
      <c r="I21" s="70" t="s">
        <v>245</v>
      </c>
      <c r="J21" s="71"/>
      <c r="K21" s="71"/>
      <c r="L21" s="70" t="s">
        <v>1229</v>
      </c>
      <c r="M21" s="74">
        <v>1.957544951186286</v>
      </c>
      <c r="N21" s="75">
        <v>6930.2783203125</v>
      </c>
      <c r="O21" s="75">
        <v>3367.538818359375</v>
      </c>
      <c r="P21" s="76"/>
      <c r="Q21" s="77"/>
      <c r="R21" s="77"/>
      <c r="S21" s="89"/>
      <c r="T21" s="49">
        <v>0</v>
      </c>
      <c r="U21" s="49">
        <v>2</v>
      </c>
      <c r="V21" s="50">
        <v>0</v>
      </c>
      <c r="W21" s="50">
        <v>0.003086</v>
      </c>
      <c r="X21" s="50">
        <v>0.000876</v>
      </c>
      <c r="Y21" s="50">
        <v>0.701992</v>
      </c>
      <c r="Z21" s="50">
        <v>0.5</v>
      </c>
      <c r="AA21" s="50">
        <v>0</v>
      </c>
      <c r="AB21" s="72">
        <v>21</v>
      </c>
      <c r="AC21" s="72"/>
      <c r="AD21" s="73"/>
      <c r="AE21" s="79" t="s">
        <v>814</v>
      </c>
      <c r="AF21" s="87" t="s">
        <v>930</v>
      </c>
      <c r="AG21" s="79">
        <v>368</v>
      </c>
      <c r="AH21" s="79">
        <v>327</v>
      </c>
      <c r="AI21" s="79">
        <v>744</v>
      </c>
      <c r="AJ21" s="79">
        <v>74</v>
      </c>
      <c r="AK21" s="79"/>
      <c r="AL21" s="79" t="s">
        <v>1045</v>
      </c>
      <c r="AM21" s="79" t="s">
        <v>1152</v>
      </c>
      <c r="AN21" s="83" t="str">
        <f>HYPERLINK("https://t.co/n1ovoYY0b3")</f>
        <v>https://t.co/n1ovoYY0b3</v>
      </c>
      <c r="AO21" s="79"/>
      <c r="AP21" s="81">
        <v>40059.443506944444</v>
      </c>
      <c r="AQ21" s="83" t="str">
        <f>HYPERLINK("https://pbs.twimg.com/profile_banners/71223415/1352878494")</f>
        <v>https://pbs.twimg.com/profile_banners/71223415/1352878494</v>
      </c>
      <c r="AR21" s="79" t="b">
        <v>0</v>
      </c>
      <c r="AS21" s="79" t="b">
        <v>0</v>
      </c>
      <c r="AT21" s="79" t="b">
        <v>0</v>
      </c>
      <c r="AU21" s="79"/>
      <c r="AV21" s="79">
        <v>20</v>
      </c>
      <c r="AW21" s="83" t="str">
        <f>HYPERLINK("https://abs.twimg.com/images/themes/theme13/bg.gif")</f>
        <v>https://abs.twimg.com/images/themes/theme13/bg.gif</v>
      </c>
      <c r="AX21" s="79" t="b">
        <v>0</v>
      </c>
      <c r="AY21" s="79" t="s">
        <v>1211</v>
      </c>
      <c r="AZ21" s="83" t="str">
        <f>HYPERLINK("https://twitter.com/patisseriefilm")</f>
        <v>https://twitter.com/patisseriefilm</v>
      </c>
      <c r="BA21" s="79" t="s">
        <v>66</v>
      </c>
      <c r="BB21" s="79" t="str">
        <f>REPLACE(INDEX(GroupVertices[Group],MATCH(Vertices[[#This Row],[Vertex]],GroupVertices[Vertex],0)),1,1,"")</f>
        <v>5</v>
      </c>
      <c r="BC21" s="49" t="s">
        <v>1390</v>
      </c>
      <c r="BD21" s="49" t="s">
        <v>1390</v>
      </c>
      <c r="BE21" s="49" t="s">
        <v>445</v>
      </c>
      <c r="BF21" s="49" t="s">
        <v>445</v>
      </c>
      <c r="BG21" s="49" t="s">
        <v>451</v>
      </c>
      <c r="BH21" s="49" t="s">
        <v>451</v>
      </c>
      <c r="BI21" s="108" t="s">
        <v>1741</v>
      </c>
      <c r="BJ21" s="108" t="s">
        <v>1741</v>
      </c>
      <c r="BK21" s="108" t="s">
        <v>1640</v>
      </c>
      <c r="BL21" s="108" t="s">
        <v>1640</v>
      </c>
      <c r="BM21" s="108">
        <v>1</v>
      </c>
      <c r="BN21" s="111">
        <v>3.225806451612903</v>
      </c>
      <c r="BO21" s="108">
        <v>0</v>
      </c>
      <c r="BP21" s="111">
        <v>0</v>
      </c>
      <c r="BQ21" s="108">
        <v>0</v>
      </c>
      <c r="BR21" s="111">
        <v>0</v>
      </c>
      <c r="BS21" s="108">
        <v>30</v>
      </c>
      <c r="BT21" s="111">
        <v>96.7741935483871</v>
      </c>
      <c r="BU21" s="108">
        <v>31</v>
      </c>
      <c r="BV21" s="2"/>
      <c r="BW21" s="3"/>
      <c r="BX21" s="3"/>
      <c r="BY21" s="3"/>
      <c r="BZ21" s="3"/>
    </row>
    <row r="22" spans="1:78" ht="34.05" customHeight="1">
      <c r="A22" s="65" t="s">
        <v>246</v>
      </c>
      <c r="C22" s="66"/>
      <c r="D22" s="66" t="s">
        <v>64</v>
      </c>
      <c r="E22" s="67">
        <v>162.53381120465926</v>
      </c>
      <c r="F22" s="69"/>
      <c r="G22" s="103" t="str">
        <f>HYPERLINK("https://pbs.twimg.com/profile_images/1324445824416419840/du_At_k7_normal.jpg")</f>
        <v>https://pbs.twimg.com/profile_images/1324445824416419840/du_At_k7_normal.jpg</v>
      </c>
      <c r="H22" s="66"/>
      <c r="I22" s="70" t="s">
        <v>246</v>
      </c>
      <c r="J22" s="71"/>
      <c r="K22" s="71"/>
      <c r="L22" s="70" t="s">
        <v>1230</v>
      </c>
      <c r="M22" s="74">
        <v>2.0691606203429695</v>
      </c>
      <c r="N22" s="75">
        <v>822.2571411132812</v>
      </c>
      <c r="O22" s="75">
        <v>4781.40087890625</v>
      </c>
      <c r="P22" s="76"/>
      <c r="Q22" s="77"/>
      <c r="R22" s="77"/>
      <c r="S22" s="89"/>
      <c r="T22" s="49">
        <v>0</v>
      </c>
      <c r="U22" s="49">
        <v>1</v>
      </c>
      <c r="V22" s="50">
        <v>0</v>
      </c>
      <c r="W22" s="50">
        <v>0.004444</v>
      </c>
      <c r="X22" s="50">
        <v>0.007856</v>
      </c>
      <c r="Y22" s="50">
        <v>0.395968</v>
      </c>
      <c r="Z22" s="50">
        <v>0</v>
      </c>
      <c r="AA22" s="50">
        <v>0</v>
      </c>
      <c r="AB22" s="72">
        <v>22</v>
      </c>
      <c r="AC22" s="72"/>
      <c r="AD22" s="73"/>
      <c r="AE22" s="79" t="s">
        <v>815</v>
      </c>
      <c r="AF22" s="87" t="s">
        <v>931</v>
      </c>
      <c r="AG22" s="79">
        <v>593</v>
      </c>
      <c r="AH22" s="79">
        <v>365</v>
      </c>
      <c r="AI22" s="79">
        <v>305</v>
      </c>
      <c r="AJ22" s="79">
        <v>646</v>
      </c>
      <c r="AK22" s="79"/>
      <c r="AL22" s="79" t="s">
        <v>1046</v>
      </c>
      <c r="AM22" s="79" t="s">
        <v>1153</v>
      </c>
      <c r="AN22" s="83" t="str">
        <f>HYPERLINK("https://t.co/jLib6Vy8FK")</f>
        <v>https://t.co/jLib6Vy8FK</v>
      </c>
      <c r="AO22" s="79"/>
      <c r="AP22" s="81">
        <v>43795.206458333334</v>
      </c>
      <c r="AQ22" s="83" t="str">
        <f>HYPERLINK("https://pbs.twimg.com/profile_banners/1199190354571993088/1607443491")</f>
        <v>https://pbs.twimg.com/profile_banners/1199190354571993088/1607443491</v>
      </c>
      <c r="AR22" s="79" t="b">
        <v>1</v>
      </c>
      <c r="AS22" s="79" t="b">
        <v>0</v>
      </c>
      <c r="AT22" s="79" t="b">
        <v>0</v>
      </c>
      <c r="AU22" s="79"/>
      <c r="AV22" s="79">
        <v>9</v>
      </c>
      <c r="AW22" s="79"/>
      <c r="AX22" s="79" t="b">
        <v>0</v>
      </c>
      <c r="AY22" s="79" t="s">
        <v>1211</v>
      </c>
      <c r="AZ22" s="83" t="str">
        <f>HYPERLINK("https://twitter.com/estoniaedu")</f>
        <v>https://twitter.com/estoniaedu</v>
      </c>
      <c r="BA22" s="79" t="s">
        <v>66</v>
      </c>
      <c r="BB22" s="79" t="str">
        <f>REPLACE(INDEX(GroupVertices[Group],MATCH(Vertices[[#This Row],[Vertex]],GroupVertices[Vertex],0)),1,1,"")</f>
        <v>1</v>
      </c>
      <c r="BC22" s="49" t="s">
        <v>1373</v>
      </c>
      <c r="BD22" s="49" t="s">
        <v>1373</v>
      </c>
      <c r="BE22" s="49" t="s">
        <v>444</v>
      </c>
      <c r="BF22" s="49" t="s">
        <v>444</v>
      </c>
      <c r="BG22" s="49" t="s">
        <v>449</v>
      </c>
      <c r="BH22" s="49" t="s">
        <v>449</v>
      </c>
      <c r="BI22" s="108" t="s">
        <v>1742</v>
      </c>
      <c r="BJ22" s="108" t="s">
        <v>1742</v>
      </c>
      <c r="BK22" s="108" t="s">
        <v>1781</v>
      </c>
      <c r="BL22" s="108" t="s">
        <v>1781</v>
      </c>
      <c r="BM22" s="108">
        <v>2</v>
      </c>
      <c r="BN22" s="111">
        <v>6.451612903225806</v>
      </c>
      <c r="BO22" s="108">
        <v>0</v>
      </c>
      <c r="BP22" s="111">
        <v>0</v>
      </c>
      <c r="BQ22" s="108">
        <v>0</v>
      </c>
      <c r="BR22" s="111">
        <v>0</v>
      </c>
      <c r="BS22" s="108">
        <v>29</v>
      </c>
      <c r="BT22" s="111">
        <v>93.54838709677419</v>
      </c>
      <c r="BU22" s="108">
        <v>31</v>
      </c>
      <c r="BV22" s="2"/>
      <c r="BW22" s="3"/>
      <c r="BX22" s="3"/>
      <c r="BY22" s="3"/>
      <c r="BZ22" s="3"/>
    </row>
    <row r="23" spans="1:78" ht="34.05" customHeight="1">
      <c r="A23" s="65" t="s">
        <v>247</v>
      </c>
      <c r="C23" s="66"/>
      <c r="D23" s="66" t="s">
        <v>64</v>
      </c>
      <c r="E23" s="67">
        <v>162.10852205809007</v>
      </c>
      <c r="F23" s="69"/>
      <c r="G23" s="103" t="str">
        <f>HYPERLINK("https://pbs.twimg.com/profile_images/854309253200400384/GsNKo69h_normal.jpg")</f>
        <v>https://pbs.twimg.com/profile_images/854309253200400384/GsNKo69h_normal.jpg</v>
      </c>
      <c r="H23" s="66"/>
      <c r="I23" s="70" t="s">
        <v>247</v>
      </c>
      <c r="J23" s="71"/>
      <c r="K23" s="71"/>
      <c r="L23" s="70" t="s">
        <v>1231</v>
      </c>
      <c r="M23" s="74">
        <v>1.217356829410384</v>
      </c>
      <c r="N23" s="75">
        <v>8170.3408203125</v>
      </c>
      <c r="O23" s="75">
        <v>7025.4794921875</v>
      </c>
      <c r="P23" s="76"/>
      <c r="Q23" s="77"/>
      <c r="R23" s="77"/>
      <c r="S23" s="89"/>
      <c r="T23" s="49">
        <v>0</v>
      </c>
      <c r="U23" s="49">
        <v>2</v>
      </c>
      <c r="V23" s="50">
        <v>0</v>
      </c>
      <c r="W23" s="50">
        <v>0.004464</v>
      </c>
      <c r="X23" s="50">
        <v>0.00881</v>
      </c>
      <c r="Y23" s="50">
        <v>0.638086</v>
      </c>
      <c r="Z23" s="50">
        <v>0.5</v>
      </c>
      <c r="AA23" s="50">
        <v>0</v>
      </c>
      <c r="AB23" s="72">
        <v>23</v>
      </c>
      <c r="AC23" s="72"/>
      <c r="AD23" s="73"/>
      <c r="AE23" s="79" t="s">
        <v>816</v>
      </c>
      <c r="AF23" s="87" t="s">
        <v>932</v>
      </c>
      <c r="AG23" s="79">
        <v>182</v>
      </c>
      <c r="AH23" s="79">
        <v>75</v>
      </c>
      <c r="AI23" s="79">
        <v>284</v>
      </c>
      <c r="AJ23" s="79">
        <v>295</v>
      </c>
      <c r="AK23" s="79"/>
      <c r="AL23" s="79" t="s">
        <v>1047</v>
      </c>
      <c r="AM23" s="79" t="s">
        <v>1154</v>
      </c>
      <c r="AN23" s="83" t="str">
        <f>HYPERLINK("https://t.co/j8vbCnkYNr")</f>
        <v>https://t.co/j8vbCnkYNr</v>
      </c>
      <c r="AO23" s="79"/>
      <c r="AP23" s="81">
        <v>42415.59473379629</v>
      </c>
      <c r="AQ23" s="79"/>
      <c r="AR23" s="79" t="b">
        <v>0</v>
      </c>
      <c r="AS23" s="79" t="b">
        <v>0</v>
      </c>
      <c r="AT23" s="79" t="b">
        <v>0</v>
      </c>
      <c r="AU23" s="79"/>
      <c r="AV23" s="79">
        <v>4</v>
      </c>
      <c r="AW23" s="83" t="str">
        <f>HYPERLINK("https://abs.twimg.com/images/themes/theme1/bg.png")</f>
        <v>https://abs.twimg.com/images/themes/theme1/bg.png</v>
      </c>
      <c r="AX23" s="79" t="b">
        <v>0</v>
      </c>
      <c r="AY23" s="79" t="s">
        <v>1211</v>
      </c>
      <c r="AZ23" s="83" t="str">
        <f>HYPERLINK("https://twitter.com/m_rueth")</f>
        <v>https://twitter.com/m_rueth</v>
      </c>
      <c r="BA23" s="79" t="s">
        <v>66</v>
      </c>
      <c r="BB23" s="79" t="str">
        <f>REPLACE(INDEX(GroupVertices[Group],MATCH(Vertices[[#This Row],[Vertex]],GroupVertices[Vertex],0)),1,1,"")</f>
        <v>3</v>
      </c>
      <c r="BC23" s="49" t="s">
        <v>1366</v>
      </c>
      <c r="BD23" s="49" t="s">
        <v>1366</v>
      </c>
      <c r="BE23" s="49" t="s">
        <v>444</v>
      </c>
      <c r="BF23" s="49" t="s">
        <v>444</v>
      </c>
      <c r="BG23" s="49" t="s">
        <v>450</v>
      </c>
      <c r="BH23" s="49" t="s">
        <v>450</v>
      </c>
      <c r="BI23" s="108" t="s">
        <v>1737</v>
      </c>
      <c r="BJ23" s="108" t="s">
        <v>1737</v>
      </c>
      <c r="BK23" s="108" t="s">
        <v>1778</v>
      </c>
      <c r="BL23" s="108" t="s">
        <v>1778</v>
      </c>
      <c r="BM23" s="108">
        <v>0</v>
      </c>
      <c r="BN23" s="111">
        <v>0</v>
      </c>
      <c r="BO23" s="108">
        <v>0</v>
      </c>
      <c r="BP23" s="111">
        <v>0</v>
      </c>
      <c r="BQ23" s="108">
        <v>0</v>
      </c>
      <c r="BR23" s="111">
        <v>0</v>
      </c>
      <c r="BS23" s="108">
        <v>30</v>
      </c>
      <c r="BT23" s="111">
        <v>100</v>
      </c>
      <c r="BU23" s="108">
        <v>30</v>
      </c>
      <c r="BV23" s="2"/>
      <c r="BW23" s="3"/>
      <c r="BX23" s="3"/>
      <c r="BY23" s="3"/>
      <c r="BZ23" s="3"/>
    </row>
    <row r="24" spans="1:78" ht="34.05" customHeight="1">
      <c r="A24" s="65" t="s">
        <v>306</v>
      </c>
      <c r="C24" s="66"/>
      <c r="D24" s="66" t="s">
        <v>64</v>
      </c>
      <c r="E24" s="67">
        <v>1000</v>
      </c>
      <c r="F24" s="69"/>
      <c r="G24" s="103" t="str">
        <f>HYPERLINK("https://pbs.twimg.com/profile_images/1336674338880319493/S0UMmjq4_normal.jpg")</f>
        <v>https://pbs.twimg.com/profile_images/1336674338880319493/S0UMmjq4_normal.jpg</v>
      </c>
      <c r="H24" s="66"/>
      <c r="I24" s="70" t="s">
        <v>306</v>
      </c>
      <c r="J24" s="71"/>
      <c r="K24" s="71"/>
      <c r="L24" s="70" t="s">
        <v>1232</v>
      </c>
      <c r="M24" s="74">
        <v>1901.9646457153483</v>
      </c>
      <c r="N24" s="75">
        <v>8544.7783203125</v>
      </c>
      <c r="O24" s="75">
        <v>7693.87890625</v>
      </c>
      <c r="P24" s="76"/>
      <c r="Q24" s="77"/>
      <c r="R24" s="77"/>
      <c r="S24" s="89"/>
      <c r="T24" s="49">
        <v>4</v>
      </c>
      <c r="U24" s="49">
        <v>0</v>
      </c>
      <c r="V24" s="50">
        <v>3</v>
      </c>
      <c r="W24" s="50">
        <v>0.004505</v>
      </c>
      <c r="X24" s="50">
        <v>0.010683</v>
      </c>
      <c r="Y24" s="50">
        <v>1.139378</v>
      </c>
      <c r="Z24" s="50">
        <v>0.4166666666666667</v>
      </c>
      <c r="AA24" s="50">
        <v>0</v>
      </c>
      <c r="AB24" s="72">
        <v>24</v>
      </c>
      <c r="AC24" s="72"/>
      <c r="AD24" s="73"/>
      <c r="AE24" s="79" t="s">
        <v>817</v>
      </c>
      <c r="AF24" s="87" t="s">
        <v>933</v>
      </c>
      <c r="AG24" s="79">
        <v>928</v>
      </c>
      <c r="AH24" s="79">
        <v>647192</v>
      </c>
      <c r="AI24" s="79">
        <v>17034</v>
      </c>
      <c r="AJ24" s="79">
        <v>2563</v>
      </c>
      <c r="AK24" s="79"/>
      <c r="AL24" s="79" t="s">
        <v>1048</v>
      </c>
      <c r="AM24" s="79" t="s">
        <v>1142</v>
      </c>
      <c r="AN24" s="83" t="str">
        <f>HYPERLINK("https://t.co/YnfpOzrPmW")</f>
        <v>https://t.co/YnfpOzrPmW</v>
      </c>
      <c r="AO24" s="79"/>
      <c r="AP24" s="81">
        <v>39891.8975462963</v>
      </c>
      <c r="AQ24" s="83" t="str">
        <f>HYPERLINK("https://pbs.twimg.com/profile_banners/25390350/1586184129")</f>
        <v>https://pbs.twimg.com/profile_banners/25390350/1586184129</v>
      </c>
      <c r="AR24" s="79" t="b">
        <v>0</v>
      </c>
      <c r="AS24" s="79" t="b">
        <v>0</v>
      </c>
      <c r="AT24" s="79" t="b">
        <v>1</v>
      </c>
      <c r="AU24" s="79"/>
      <c r="AV24" s="79">
        <v>7475</v>
      </c>
      <c r="AW24" s="83" t="str">
        <f>HYPERLINK("https://abs.twimg.com/images/themes/theme2/bg.gif")</f>
        <v>https://abs.twimg.com/images/themes/theme2/bg.gif</v>
      </c>
      <c r="AX24" s="79" t="b">
        <v>1</v>
      </c>
      <c r="AY24" s="79" t="s">
        <v>1211</v>
      </c>
      <c r="AZ24" s="83" t="str">
        <f>HYPERLINK("https://twitter.com/oecd")</f>
        <v>https://twitter.com/oecd</v>
      </c>
      <c r="BA24" s="79" t="s">
        <v>65</v>
      </c>
      <c r="BB24" s="79" t="str">
        <f>REPLACE(INDEX(GroupVertices[Group],MATCH(Vertices[[#This Row],[Vertex]],GroupVertices[Vertex],0)),1,1,"")</f>
        <v>3</v>
      </c>
      <c r="BC24" s="49"/>
      <c r="BD24" s="49"/>
      <c r="BE24" s="49"/>
      <c r="BF24" s="49"/>
      <c r="BG24" s="49"/>
      <c r="BH24" s="49"/>
      <c r="BI24" s="49"/>
      <c r="BJ24" s="49"/>
      <c r="BK24" s="49"/>
      <c r="BL24" s="49"/>
      <c r="BM24" s="49"/>
      <c r="BN24" s="50"/>
      <c r="BO24" s="49"/>
      <c r="BP24" s="50"/>
      <c r="BQ24" s="49"/>
      <c r="BR24" s="50"/>
      <c r="BS24" s="49"/>
      <c r="BT24" s="50"/>
      <c r="BU24" s="49"/>
      <c r="BV24" s="2"/>
      <c r="BW24" s="3"/>
      <c r="BX24" s="3"/>
      <c r="BY24" s="3"/>
      <c r="BZ24" s="3"/>
    </row>
    <row r="25" spans="1:78" ht="34.05" customHeight="1">
      <c r="A25" s="65" t="s">
        <v>248</v>
      </c>
      <c r="C25" s="66"/>
      <c r="D25" s="66" t="s">
        <v>64</v>
      </c>
      <c r="E25" s="67">
        <v>162.46635154692757</v>
      </c>
      <c r="F25" s="69"/>
      <c r="G25" s="103" t="str">
        <f>HYPERLINK("https://pbs.twimg.com/profile_images/880317539779092481/JwS72y33_normal.jpg")</f>
        <v>https://pbs.twimg.com/profile_images/880317539779092481/JwS72y33_normal.jpg</v>
      </c>
      <c r="H25" s="66"/>
      <c r="I25" s="70" t="s">
        <v>248</v>
      </c>
      <c r="J25" s="71"/>
      <c r="K25" s="71"/>
      <c r="L25" s="70" t="s">
        <v>1233</v>
      </c>
      <c r="M25" s="74">
        <v>1.9340469155743525</v>
      </c>
      <c r="N25" s="75">
        <v>5800.20361328125</v>
      </c>
      <c r="O25" s="75">
        <v>5211.177734375</v>
      </c>
      <c r="P25" s="76"/>
      <c r="Q25" s="77"/>
      <c r="R25" s="77"/>
      <c r="S25" s="89"/>
      <c r="T25" s="49">
        <v>0</v>
      </c>
      <c r="U25" s="49">
        <v>2</v>
      </c>
      <c r="V25" s="50">
        <v>0</v>
      </c>
      <c r="W25" s="50">
        <v>0.004464</v>
      </c>
      <c r="X25" s="50">
        <v>0.009063</v>
      </c>
      <c r="Y25" s="50">
        <v>0.640497</v>
      </c>
      <c r="Z25" s="50">
        <v>0.5</v>
      </c>
      <c r="AA25" s="50">
        <v>0</v>
      </c>
      <c r="AB25" s="72">
        <v>25</v>
      </c>
      <c r="AC25" s="72"/>
      <c r="AD25" s="73"/>
      <c r="AE25" s="79" t="s">
        <v>818</v>
      </c>
      <c r="AF25" s="87" t="s">
        <v>934</v>
      </c>
      <c r="AG25" s="79">
        <v>141</v>
      </c>
      <c r="AH25" s="79">
        <v>319</v>
      </c>
      <c r="AI25" s="79">
        <v>1378</v>
      </c>
      <c r="AJ25" s="79">
        <v>2460</v>
      </c>
      <c r="AK25" s="79"/>
      <c r="AL25" s="79" t="s">
        <v>1049</v>
      </c>
      <c r="AM25" s="79" t="s">
        <v>1155</v>
      </c>
      <c r="AN25" s="83" t="str">
        <f>HYPERLINK("https://t.co/HAHIZRi2IO")</f>
        <v>https://t.co/HAHIZRi2IO</v>
      </c>
      <c r="AO25" s="79"/>
      <c r="AP25" s="81">
        <v>42871.45300925926</v>
      </c>
      <c r="AQ25" s="83" t="str">
        <f>HYPERLINK("https://pbs.twimg.com/profile_banners/864433327482253312/1528868450")</f>
        <v>https://pbs.twimg.com/profile_banners/864433327482253312/1528868450</v>
      </c>
      <c r="AR25" s="79" t="b">
        <v>1</v>
      </c>
      <c r="AS25" s="79" t="b">
        <v>0</v>
      </c>
      <c r="AT25" s="79" t="b">
        <v>0</v>
      </c>
      <c r="AU25" s="79"/>
      <c r="AV25" s="79">
        <v>0</v>
      </c>
      <c r="AW25" s="79"/>
      <c r="AX25" s="79" t="b">
        <v>0</v>
      </c>
      <c r="AY25" s="79" t="s">
        <v>1211</v>
      </c>
      <c r="AZ25" s="83" t="str">
        <f>HYPERLINK("https://twitter.com/noidaagbs")</f>
        <v>https://twitter.com/noidaagbs</v>
      </c>
      <c r="BA25" s="79" t="s">
        <v>66</v>
      </c>
      <c r="BB25" s="79" t="str">
        <f>REPLACE(INDEX(GroupVertices[Group],MATCH(Vertices[[#This Row],[Vertex]],GroupVertices[Vertex],0)),1,1,"")</f>
        <v>4</v>
      </c>
      <c r="BC25" s="49" t="s">
        <v>1359</v>
      </c>
      <c r="BD25" s="49" t="s">
        <v>1359</v>
      </c>
      <c r="BE25" s="49" t="s">
        <v>444</v>
      </c>
      <c r="BF25" s="49" t="s">
        <v>444</v>
      </c>
      <c r="BG25" s="49" t="s">
        <v>449</v>
      </c>
      <c r="BH25" s="49" t="s">
        <v>449</v>
      </c>
      <c r="BI25" s="108" t="s">
        <v>1529</v>
      </c>
      <c r="BJ25" s="108" t="s">
        <v>1529</v>
      </c>
      <c r="BK25" s="108" t="s">
        <v>1639</v>
      </c>
      <c r="BL25" s="108" t="s">
        <v>1639</v>
      </c>
      <c r="BM25" s="108">
        <v>3</v>
      </c>
      <c r="BN25" s="111">
        <v>9.67741935483871</v>
      </c>
      <c r="BO25" s="108">
        <v>0</v>
      </c>
      <c r="BP25" s="111">
        <v>0</v>
      </c>
      <c r="BQ25" s="108">
        <v>0</v>
      </c>
      <c r="BR25" s="111">
        <v>0</v>
      </c>
      <c r="BS25" s="108">
        <v>28</v>
      </c>
      <c r="BT25" s="111">
        <v>90.3225806451613</v>
      </c>
      <c r="BU25" s="108">
        <v>31</v>
      </c>
      <c r="BV25" s="2"/>
      <c r="BW25" s="3"/>
      <c r="BX25" s="3"/>
      <c r="BY25" s="3"/>
      <c r="BZ25" s="3"/>
    </row>
    <row r="26" spans="1:78" ht="34.05" customHeight="1">
      <c r="A26" s="65" t="s">
        <v>307</v>
      </c>
      <c r="C26" s="66"/>
      <c r="D26" s="66" t="s">
        <v>64</v>
      </c>
      <c r="E26" s="67">
        <v>177.5611832215364</v>
      </c>
      <c r="F26" s="69"/>
      <c r="G26" s="103" t="str">
        <f>HYPERLINK("https://pbs.twimg.com/profile_images/1094683442925711360/C4PYboHO_normal.jpg")</f>
        <v>https://pbs.twimg.com/profile_images/1094683442925711360/C4PYboHO_normal.jpg</v>
      </c>
      <c r="H26" s="66"/>
      <c r="I26" s="70" t="s">
        <v>307</v>
      </c>
      <c r="J26" s="71"/>
      <c r="K26" s="71"/>
      <c r="L26" s="70" t="s">
        <v>1234</v>
      </c>
      <c r="M26" s="74">
        <v>32.16720698477816</v>
      </c>
      <c r="N26" s="75">
        <v>5284.3798828125</v>
      </c>
      <c r="O26" s="75">
        <v>4362.13818359375</v>
      </c>
      <c r="P26" s="76"/>
      <c r="Q26" s="77"/>
      <c r="R26" s="77"/>
      <c r="S26" s="89"/>
      <c r="T26" s="49">
        <v>8</v>
      </c>
      <c r="U26" s="49">
        <v>0</v>
      </c>
      <c r="V26" s="50">
        <v>21</v>
      </c>
      <c r="W26" s="50">
        <v>0.004587</v>
      </c>
      <c r="X26" s="50">
        <v>0.01352</v>
      </c>
      <c r="Y26" s="50">
        <v>2.301445</v>
      </c>
      <c r="Z26" s="50">
        <v>0.125</v>
      </c>
      <c r="AA26" s="50">
        <v>0</v>
      </c>
      <c r="AB26" s="72">
        <v>26</v>
      </c>
      <c r="AC26" s="72"/>
      <c r="AD26" s="73"/>
      <c r="AE26" s="79" t="s">
        <v>819</v>
      </c>
      <c r="AF26" s="87" t="s">
        <v>935</v>
      </c>
      <c r="AG26" s="79">
        <v>1686</v>
      </c>
      <c r="AH26" s="79">
        <v>10612</v>
      </c>
      <c r="AI26" s="79">
        <v>239</v>
      </c>
      <c r="AJ26" s="79">
        <v>237</v>
      </c>
      <c r="AK26" s="79"/>
      <c r="AL26" s="79" t="s">
        <v>1050</v>
      </c>
      <c r="AM26" s="79"/>
      <c r="AN26" s="83" t="str">
        <f>HYPERLINK("https://t.co/vEWvrsZ7qX")</f>
        <v>https://t.co/vEWvrsZ7qX</v>
      </c>
      <c r="AO26" s="79"/>
      <c r="AP26" s="81">
        <v>40113.621087962965</v>
      </c>
      <c r="AQ26" s="83" t="str">
        <f>HYPERLINK("https://pbs.twimg.com/profile_banners/85585265/1352478148")</f>
        <v>https://pbs.twimg.com/profile_banners/85585265/1352478148</v>
      </c>
      <c r="AR26" s="79" t="b">
        <v>0</v>
      </c>
      <c r="AS26" s="79" t="b">
        <v>0</v>
      </c>
      <c r="AT26" s="79" t="b">
        <v>0</v>
      </c>
      <c r="AU26" s="79"/>
      <c r="AV26" s="79">
        <v>33</v>
      </c>
      <c r="AW26" s="83" t="str">
        <f>HYPERLINK("https://abs.twimg.com/images/themes/theme8/bg.gif")</f>
        <v>https://abs.twimg.com/images/themes/theme8/bg.gif</v>
      </c>
      <c r="AX26" s="79" t="b">
        <v>1</v>
      </c>
      <c r="AY26" s="79" t="s">
        <v>1211</v>
      </c>
      <c r="AZ26" s="83" t="str">
        <f>HYPERLINK("https://twitter.com/amitypresident")</f>
        <v>https://twitter.com/amitypresident</v>
      </c>
      <c r="BA26" s="79" t="s">
        <v>65</v>
      </c>
      <c r="BB26" s="79" t="str">
        <f>REPLACE(INDEX(GroupVertices[Group],MATCH(Vertices[[#This Row],[Vertex]],GroupVertices[Vertex],0)),1,1,"")</f>
        <v>4</v>
      </c>
      <c r="BC26" s="49"/>
      <c r="BD26" s="49"/>
      <c r="BE26" s="49"/>
      <c r="BF26" s="49"/>
      <c r="BG26" s="49"/>
      <c r="BH26" s="49"/>
      <c r="BI26" s="49"/>
      <c r="BJ26" s="49"/>
      <c r="BK26" s="49"/>
      <c r="BL26" s="49"/>
      <c r="BM26" s="49"/>
      <c r="BN26" s="50"/>
      <c r="BO26" s="49"/>
      <c r="BP26" s="50"/>
      <c r="BQ26" s="49"/>
      <c r="BR26" s="50"/>
      <c r="BS26" s="49"/>
      <c r="BT26" s="50"/>
      <c r="BU26" s="49"/>
      <c r="BV26" s="2"/>
      <c r="BW26" s="3"/>
      <c r="BX26" s="3"/>
      <c r="BY26" s="3"/>
      <c r="BZ26" s="3"/>
    </row>
    <row r="27" spans="1:78" ht="34.05" customHeight="1">
      <c r="A27" s="65" t="s">
        <v>249</v>
      </c>
      <c r="C27" s="66"/>
      <c r="D27" s="66" t="s">
        <v>64</v>
      </c>
      <c r="E27" s="67">
        <v>166.92895455730692</v>
      </c>
      <c r="F27" s="69"/>
      <c r="G27" s="103" t="str">
        <f>HYPERLINK("https://pbs.twimg.com/profile_images/1352562894118989829/eLof66Ub_normal.jpg")</f>
        <v>https://pbs.twimg.com/profile_images/1352562894118989829/eLof66Ub_normal.jpg</v>
      </c>
      <c r="H27" s="66"/>
      <c r="I27" s="70" t="s">
        <v>249</v>
      </c>
      <c r="J27" s="71"/>
      <c r="K27" s="71"/>
      <c r="L27" s="70" t="s">
        <v>1235</v>
      </c>
      <c r="M27" s="74">
        <v>10.872112211463518</v>
      </c>
      <c r="N27" s="75">
        <v>1959.9915771484375</v>
      </c>
      <c r="O27" s="75">
        <v>7582.95166015625</v>
      </c>
      <c r="P27" s="76"/>
      <c r="Q27" s="77"/>
      <c r="R27" s="77"/>
      <c r="S27" s="89"/>
      <c r="T27" s="49">
        <v>0</v>
      </c>
      <c r="U27" s="49">
        <v>2</v>
      </c>
      <c r="V27" s="50">
        <v>0</v>
      </c>
      <c r="W27" s="50">
        <v>0.004464</v>
      </c>
      <c r="X27" s="50">
        <v>0.008839</v>
      </c>
      <c r="Y27" s="50">
        <v>0.651593</v>
      </c>
      <c r="Z27" s="50">
        <v>1</v>
      </c>
      <c r="AA27" s="50">
        <v>0</v>
      </c>
      <c r="AB27" s="72">
        <v>27</v>
      </c>
      <c r="AC27" s="72"/>
      <c r="AD27" s="73"/>
      <c r="AE27" s="79" t="s">
        <v>820</v>
      </c>
      <c r="AF27" s="87" t="s">
        <v>936</v>
      </c>
      <c r="AG27" s="79">
        <v>1311</v>
      </c>
      <c r="AH27" s="79">
        <v>3362</v>
      </c>
      <c r="AI27" s="79">
        <v>46458</v>
      </c>
      <c r="AJ27" s="79">
        <v>51244</v>
      </c>
      <c r="AK27" s="79"/>
      <c r="AL27" s="79" t="s">
        <v>1051</v>
      </c>
      <c r="AM27" s="79"/>
      <c r="AN27" s="79"/>
      <c r="AO27" s="79"/>
      <c r="AP27" s="81">
        <v>43890.80275462963</v>
      </c>
      <c r="AQ27" s="83" t="str">
        <f>HYPERLINK("https://pbs.twimg.com/profile_banners/1233833268195315719/1604746916")</f>
        <v>https://pbs.twimg.com/profile_banners/1233833268195315719/1604746916</v>
      </c>
      <c r="AR27" s="79" t="b">
        <v>1</v>
      </c>
      <c r="AS27" s="79" t="b">
        <v>0</v>
      </c>
      <c r="AT27" s="79" t="b">
        <v>0</v>
      </c>
      <c r="AU27" s="79"/>
      <c r="AV27" s="79">
        <v>5</v>
      </c>
      <c r="AW27" s="79"/>
      <c r="AX27" s="79" t="b">
        <v>0</v>
      </c>
      <c r="AY27" s="79" t="s">
        <v>1211</v>
      </c>
      <c r="AZ27" s="83" t="str">
        <f>HYPERLINK("https://twitter.com/adatewithcocoa")</f>
        <v>https://twitter.com/adatewithcocoa</v>
      </c>
      <c r="BA27" s="79" t="s">
        <v>66</v>
      </c>
      <c r="BB27" s="79" t="str">
        <f>REPLACE(INDEX(GroupVertices[Group],MATCH(Vertices[[#This Row],[Vertex]],GroupVertices[Vertex],0)),1,1,"")</f>
        <v>1</v>
      </c>
      <c r="BC27" s="49" t="s">
        <v>1360</v>
      </c>
      <c r="BD27" s="49" t="s">
        <v>1360</v>
      </c>
      <c r="BE27" s="49" t="s">
        <v>444</v>
      </c>
      <c r="BF27" s="49" t="s">
        <v>444</v>
      </c>
      <c r="BG27" s="49" t="s">
        <v>450</v>
      </c>
      <c r="BH27" s="49" t="s">
        <v>450</v>
      </c>
      <c r="BI27" s="108" t="s">
        <v>1740</v>
      </c>
      <c r="BJ27" s="108" t="s">
        <v>1740</v>
      </c>
      <c r="BK27" s="108" t="s">
        <v>1780</v>
      </c>
      <c r="BL27" s="108" t="s">
        <v>1780</v>
      </c>
      <c r="BM27" s="108">
        <v>1</v>
      </c>
      <c r="BN27" s="111">
        <v>3.0303030303030303</v>
      </c>
      <c r="BO27" s="108">
        <v>0</v>
      </c>
      <c r="BP27" s="111">
        <v>0</v>
      </c>
      <c r="BQ27" s="108">
        <v>0</v>
      </c>
      <c r="BR27" s="111">
        <v>0</v>
      </c>
      <c r="BS27" s="108">
        <v>32</v>
      </c>
      <c r="BT27" s="111">
        <v>96.96969696969697</v>
      </c>
      <c r="BU27" s="108">
        <v>33</v>
      </c>
      <c r="BV27" s="2"/>
      <c r="BW27" s="3"/>
      <c r="BX27" s="3"/>
      <c r="BY27" s="3"/>
      <c r="BZ27" s="3"/>
    </row>
    <row r="28" spans="1:78" ht="34.05" customHeight="1">
      <c r="A28" s="65" t="s">
        <v>250</v>
      </c>
      <c r="C28" s="66"/>
      <c r="D28" s="66" t="s">
        <v>64</v>
      </c>
      <c r="E28" s="67">
        <v>175.56819028985532</v>
      </c>
      <c r="F28" s="69"/>
      <c r="G28" s="103" t="str">
        <f>HYPERLINK("https://pbs.twimg.com/profile_images/841331461/amity_logo_shield_normal.gif")</f>
        <v>https://pbs.twimg.com/profile_images/841331461/amity_logo_shield_normal.gif</v>
      </c>
      <c r="H28" s="66"/>
      <c r="I28" s="70" t="s">
        <v>250</v>
      </c>
      <c r="J28" s="71"/>
      <c r="K28" s="71"/>
      <c r="L28" s="70" t="s">
        <v>1236</v>
      </c>
      <c r="M28" s="74">
        <v>28.175478185200973</v>
      </c>
      <c r="N28" s="75">
        <v>4661.072265625</v>
      </c>
      <c r="O28" s="75">
        <v>4117.1298828125</v>
      </c>
      <c r="P28" s="76"/>
      <c r="Q28" s="77"/>
      <c r="R28" s="77"/>
      <c r="S28" s="89"/>
      <c r="T28" s="49">
        <v>0</v>
      </c>
      <c r="U28" s="49">
        <v>2</v>
      </c>
      <c r="V28" s="50">
        <v>0</v>
      </c>
      <c r="W28" s="50">
        <v>0.004464</v>
      </c>
      <c r="X28" s="50">
        <v>0.009063</v>
      </c>
      <c r="Y28" s="50">
        <v>0.640497</v>
      </c>
      <c r="Z28" s="50">
        <v>0.5</v>
      </c>
      <c r="AA28" s="50">
        <v>0</v>
      </c>
      <c r="AB28" s="72">
        <v>28</v>
      </c>
      <c r="AC28" s="72"/>
      <c r="AD28" s="73"/>
      <c r="AE28" s="79" t="s">
        <v>821</v>
      </c>
      <c r="AF28" s="87" t="s">
        <v>937</v>
      </c>
      <c r="AG28" s="79">
        <v>17</v>
      </c>
      <c r="AH28" s="79">
        <v>9253</v>
      </c>
      <c r="AI28" s="79">
        <v>1090</v>
      </c>
      <c r="AJ28" s="79">
        <v>253</v>
      </c>
      <c r="AK28" s="79"/>
      <c r="AL28" s="79" t="s">
        <v>1052</v>
      </c>
      <c r="AM28" s="79" t="s">
        <v>890</v>
      </c>
      <c r="AN28" s="83" t="str">
        <f>HYPERLINK("https://t.co/vEWvrsZ7qX")</f>
        <v>https://t.co/vEWvrsZ7qX</v>
      </c>
      <c r="AO28" s="79"/>
      <c r="AP28" s="81">
        <v>40289.90540509259</v>
      </c>
      <c r="AQ28" s="79"/>
      <c r="AR28" s="79" t="b">
        <v>1</v>
      </c>
      <c r="AS28" s="79" t="b">
        <v>0</v>
      </c>
      <c r="AT28" s="79" t="b">
        <v>0</v>
      </c>
      <c r="AU28" s="79"/>
      <c r="AV28" s="79">
        <v>51</v>
      </c>
      <c r="AW28" s="83" t="str">
        <f>HYPERLINK("https://abs.twimg.com/images/themes/theme1/bg.png")</f>
        <v>https://abs.twimg.com/images/themes/theme1/bg.png</v>
      </c>
      <c r="AX28" s="79" t="b">
        <v>0</v>
      </c>
      <c r="AY28" s="79" t="s">
        <v>1211</v>
      </c>
      <c r="AZ28" s="83" t="str">
        <f>HYPERLINK("https://twitter.com/amityuni")</f>
        <v>https://twitter.com/amityuni</v>
      </c>
      <c r="BA28" s="79" t="s">
        <v>66</v>
      </c>
      <c r="BB28" s="79" t="str">
        <f>REPLACE(INDEX(GroupVertices[Group],MATCH(Vertices[[#This Row],[Vertex]],GroupVertices[Vertex],0)),1,1,"")</f>
        <v>4</v>
      </c>
      <c r="BC28" s="49" t="s">
        <v>1359</v>
      </c>
      <c r="BD28" s="49" t="s">
        <v>1359</v>
      </c>
      <c r="BE28" s="49" t="s">
        <v>444</v>
      </c>
      <c r="BF28" s="49" t="s">
        <v>444</v>
      </c>
      <c r="BG28" s="49" t="s">
        <v>449</v>
      </c>
      <c r="BH28" s="49" t="s">
        <v>449</v>
      </c>
      <c r="BI28" s="108" t="s">
        <v>1529</v>
      </c>
      <c r="BJ28" s="108" t="s">
        <v>1529</v>
      </c>
      <c r="BK28" s="108" t="s">
        <v>1639</v>
      </c>
      <c r="BL28" s="108" t="s">
        <v>1639</v>
      </c>
      <c r="BM28" s="108">
        <v>3</v>
      </c>
      <c r="BN28" s="111">
        <v>9.67741935483871</v>
      </c>
      <c r="BO28" s="108">
        <v>0</v>
      </c>
      <c r="BP28" s="111">
        <v>0</v>
      </c>
      <c r="BQ28" s="108">
        <v>0</v>
      </c>
      <c r="BR28" s="111">
        <v>0</v>
      </c>
      <c r="BS28" s="108">
        <v>28</v>
      </c>
      <c r="BT28" s="111">
        <v>90.3225806451613</v>
      </c>
      <c r="BU28" s="108">
        <v>31</v>
      </c>
      <c r="BV28" s="2"/>
      <c r="BW28" s="3"/>
      <c r="BX28" s="3"/>
      <c r="BY28" s="3"/>
      <c r="BZ28" s="3"/>
    </row>
    <row r="29" spans="1:78" ht="34.05" customHeight="1">
      <c r="A29" s="65" t="s">
        <v>251</v>
      </c>
      <c r="C29" s="66"/>
      <c r="D29" s="66" t="s">
        <v>64</v>
      </c>
      <c r="E29" s="67">
        <v>162.03959588605989</v>
      </c>
      <c r="F29" s="69"/>
      <c r="G29" s="103" t="str">
        <f>HYPERLINK("https://pbs.twimg.com/profile_images/1271912394290114560/MVfuEXqV_normal.jpg")</f>
        <v>https://pbs.twimg.com/profile_images/1271912394290114560/MVfuEXqV_normal.jpg</v>
      </c>
      <c r="H29" s="66"/>
      <c r="I29" s="70" t="s">
        <v>251</v>
      </c>
      <c r="J29" s="71"/>
      <c r="K29" s="71"/>
      <c r="L29" s="70" t="s">
        <v>1237</v>
      </c>
      <c r="M29" s="74">
        <v>1.0793058701902751</v>
      </c>
      <c r="N29" s="75">
        <v>5525.8955078125</v>
      </c>
      <c r="O29" s="75">
        <v>3004.880859375</v>
      </c>
      <c r="P29" s="76"/>
      <c r="Q29" s="77"/>
      <c r="R29" s="77"/>
      <c r="S29" s="89"/>
      <c r="T29" s="49">
        <v>0</v>
      </c>
      <c r="U29" s="49">
        <v>2</v>
      </c>
      <c r="V29" s="50">
        <v>0</v>
      </c>
      <c r="W29" s="50">
        <v>0.004464</v>
      </c>
      <c r="X29" s="50">
        <v>0.009063</v>
      </c>
      <c r="Y29" s="50">
        <v>0.640497</v>
      </c>
      <c r="Z29" s="50">
        <v>0.5</v>
      </c>
      <c r="AA29" s="50">
        <v>0</v>
      </c>
      <c r="AB29" s="72">
        <v>29</v>
      </c>
      <c r="AC29" s="72"/>
      <c r="AD29" s="73"/>
      <c r="AE29" s="79" t="s">
        <v>822</v>
      </c>
      <c r="AF29" s="87" t="s">
        <v>938</v>
      </c>
      <c r="AG29" s="79">
        <v>32</v>
      </c>
      <c r="AH29" s="79">
        <v>28</v>
      </c>
      <c r="AI29" s="79">
        <v>120</v>
      </c>
      <c r="AJ29" s="79">
        <v>92</v>
      </c>
      <c r="AK29" s="79"/>
      <c r="AL29" s="79"/>
      <c r="AM29" s="79" t="s">
        <v>1156</v>
      </c>
      <c r="AN29" s="83" t="str">
        <f>HYPERLINK("http://t.co/vEWvrsZ7qX")</f>
        <v>http://t.co/vEWvrsZ7qX</v>
      </c>
      <c r="AO29" s="79"/>
      <c r="AP29" s="81">
        <v>41998.33082175926</v>
      </c>
      <c r="AQ29" s="83" t="str">
        <f>HYPERLINK("https://pbs.twimg.com/profile_banners/2942594190/1592082966")</f>
        <v>https://pbs.twimg.com/profile_banners/2942594190/1592082966</v>
      </c>
      <c r="AR29" s="79" t="b">
        <v>1</v>
      </c>
      <c r="AS29" s="79" t="b">
        <v>0</v>
      </c>
      <c r="AT29" s="79" t="b">
        <v>0</v>
      </c>
      <c r="AU29" s="79"/>
      <c r="AV29" s="79">
        <v>0</v>
      </c>
      <c r="AW29" s="83" t="str">
        <f>HYPERLINK("https://abs.twimg.com/images/themes/theme1/bg.png")</f>
        <v>https://abs.twimg.com/images/themes/theme1/bg.png</v>
      </c>
      <c r="AX29" s="79" t="b">
        <v>0</v>
      </c>
      <c r="AY29" s="79" t="s">
        <v>1211</v>
      </c>
      <c r="AZ29" s="83" t="str">
        <f>HYPERLINK("https://twitter.com/anjani_kb")</f>
        <v>https://twitter.com/anjani_kb</v>
      </c>
      <c r="BA29" s="79" t="s">
        <v>66</v>
      </c>
      <c r="BB29" s="79" t="str">
        <f>REPLACE(INDEX(GroupVertices[Group],MATCH(Vertices[[#This Row],[Vertex]],GroupVertices[Vertex],0)),1,1,"")</f>
        <v>4</v>
      </c>
      <c r="BC29" s="49" t="s">
        <v>1359</v>
      </c>
      <c r="BD29" s="49" t="s">
        <v>1359</v>
      </c>
      <c r="BE29" s="49" t="s">
        <v>444</v>
      </c>
      <c r="BF29" s="49" t="s">
        <v>444</v>
      </c>
      <c r="BG29" s="49" t="s">
        <v>449</v>
      </c>
      <c r="BH29" s="49" t="s">
        <v>449</v>
      </c>
      <c r="BI29" s="108" t="s">
        <v>1529</v>
      </c>
      <c r="BJ29" s="108" t="s">
        <v>1529</v>
      </c>
      <c r="BK29" s="108" t="s">
        <v>1639</v>
      </c>
      <c r="BL29" s="108" t="s">
        <v>1639</v>
      </c>
      <c r="BM29" s="108">
        <v>3</v>
      </c>
      <c r="BN29" s="111">
        <v>9.67741935483871</v>
      </c>
      <c r="BO29" s="108">
        <v>0</v>
      </c>
      <c r="BP29" s="111">
        <v>0</v>
      </c>
      <c r="BQ29" s="108">
        <v>0</v>
      </c>
      <c r="BR29" s="111">
        <v>0</v>
      </c>
      <c r="BS29" s="108">
        <v>28</v>
      </c>
      <c r="BT29" s="111">
        <v>90.3225806451613</v>
      </c>
      <c r="BU29" s="108">
        <v>31</v>
      </c>
      <c r="BV29" s="2"/>
      <c r="BW29" s="3"/>
      <c r="BX29" s="3"/>
      <c r="BY29" s="3"/>
      <c r="BZ29" s="3"/>
    </row>
    <row r="30" spans="1:78" ht="34.05" customHeight="1">
      <c r="A30" s="65" t="s">
        <v>252</v>
      </c>
      <c r="C30" s="66"/>
      <c r="D30" s="66" t="s">
        <v>64</v>
      </c>
      <c r="E30" s="67">
        <v>169.1859200627206</v>
      </c>
      <c r="F30" s="69"/>
      <c r="G30" s="103" t="str">
        <f>HYPERLINK("https://pbs.twimg.com/profile_images/1048196306919931905/HQXxHJ79_normal.jpg")</f>
        <v>https://pbs.twimg.com/profile_images/1048196306919931905/HQXxHJ79_normal.jpg</v>
      </c>
      <c r="H30" s="66"/>
      <c r="I30" s="70" t="s">
        <v>252</v>
      </c>
      <c r="J30" s="71"/>
      <c r="K30" s="71"/>
      <c r="L30" s="70" t="s">
        <v>1238</v>
      </c>
      <c r="M30" s="74">
        <v>15.392546812309206</v>
      </c>
      <c r="N30" s="75">
        <v>4978.205078125</v>
      </c>
      <c r="O30" s="75">
        <v>3077.22314453125</v>
      </c>
      <c r="P30" s="76"/>
      <c r="Q30" s="77"/>
      <c r="R30" s="77"/>
      <c r="S30" s="89"/>
      <c r="T30" s="49">
        <v>0</v>
      </c>
      <c r="U30" s="49">
        <v>2</v>
      </c>
      <c r="V30" s="50">
        <v>0</v>
      </c>
      <c r="W30" s="50">
        <v>0.004464</v>
      </c>
      <c r="X30" s="50">
        <v>0.009063</v>
      </c>
      <c r="Y30" s="50">
        <v>0.640497</v>
      </c>
      <c r="Z30" s="50">
        <v>0.5</v>
      </c>
      <c r="AA30" s="50">
        <v>0</v>
      </c>
      <c r="AB30" s="72">
        <v>30</v>
      </c>
      <c r="AC30" s="72"/>
      <c r="AD30" s="73"/>
      <c r="AE30" s="79" t="s">
        <v>823</v>
      </c>
      <c r="AF30" s="87" t="s">
        <v>939</v>
      </c>
      <c r="AG30" s="79">
        <v>115</v>
      </c>
      <c r="AH30" s="79">
        <v>4901</v>
      </c>
      <c r="AI30" s="79">
        <v>4637</v>
      </c>
      <c r="AJ30" s="79">
        <v>4149</v>
      </c>
      <c r="AK30" s="79"/>
      <c r="AL30" s="79" t="s">
        <v>1053</v>
      </c>
      <c r="AM30" s="79" t="s">
        <v>1157</v>
      </c>
      <c r="AN30" s="79"/>
      <c r="AO30" s="79"/>
      <c r="AP30" s="81">
        <v>41289.36084490741</v>
      </c>
      <c r="AQ30" s="83" t="str">
        <f>HYPERLINK("https://pbs.twimg.com/profile_banners/1091424774/1416665963")</f>
        <v>https://pbs.twimg.com/profile_banners/1091424774/1416665963</v>
      </c>
      <c r="AR30" s="79" t="b">
        <v>1</v>
      </c>
      <c r="AS30" s="79" t="b">
        <v>0</v>
      </c>
      <c r="AT30" s="79" t="b">
        <v>0</v>
      </c>
      <c r="AU30" s="79"/>
      <c r="AV30" s="79">
        <v>43</v>
      </c>
      <c r="AW30" s="83" t="str">
        <f>HYPERLINK("https://abs.twimg.com/images/themes/theme1/bg.png")</f>
        <v>https://abs.twimg.com/images/themes/theme1/bg.png</v>
      </c>
      <c r="AX30" s="79" t="b">
        <v>1</v>
      </c>
      <c r="AY30" s="79" t="s">
        <v>1211</v>
      </c>
      <c r="AZ30" s="83" t="str">
        <f>HYPERLINK("https://twitter.com/fonsstoelinga")</f>
        <v>https://twitter.com/fonsstoelinga</v>
      </c>
      <c r="BA30" s="79" t="s">
        <v>66</v>
      </c>
      <c r="BB30" s="79" t="str">
        <f>REPLACE(INDEX(GroupVertices[Group],MATCH(Vertices[[#This Row],[Vertex]],GroupVertices[Vertex],0)),1,1,"")</f>
        <v>4</v>
      </c>
      <c r="BC30" s="49" t="s">
        <v>1359</v>
      </c>
      <c r="BD30" s="49" t="s">
        <v>1359</v>
      </c>
      <c r="BE30" s="49" t="s">
        <v>444</v>
      </c>
      <c r="BF30" s="49" t="s">
        <v>444</v>
      </c>
      <c r="BG30" s="49" t="s">
        <v>449</v>
      </c>
      <c r="BH30" s="49" t="s">
        <v>449</v>
      </c>
      <c r="BI30" s="108" t="s">
        <v>1529</v>
      </c>
      <c r="BJ30" s="108" t="s">
        <v>1529</v>
      </c>
      <c r="BK30" s="108" t="s">
        <v>1639</v>
      </c>
      <c r="BL30" s="108" t="s">
        <v>1639</v>
      </c>
      <c r="BM30" s="108">
        <v>3</v>
      </c>
      <c r="BN30" s="111">
        <v>9.67741935483871</v>
      </c>
      <c r="BO30" s="108">
        <v>0</v>
      </c>
      <c r="BP30" s="111">
        <v>0</v>
      </c>
      <c r="BQ30" s="108">
        <v>0</v>
      </c>
      <c r="BR30" s="111">
        <v>0</v>
      </c>
      <c r="BS30" s="108">
        <v>28</v>
      </c>
      <c r="BT30" s="111">
        <v>90.3225806451613</v>
      </c>
      <c r="BU30" s="108">
        <v>31</v>
      </c>
      <c r="BV30" s="2"/>
      <c r="BW30" s="3"/>
      <c r="BX30" s="3"/>
      <c r="BY30" s="3"/>
      <c r="BZ30" s="3"/>
    </row>
    <row r="31" spans="1:78" ht="34.05" customHeight="1">
      <c r="A31" s="65" t="s">
        <v>253</v>
      </c>
      <c r="C31" s="66"/>
      <c r="D31" s="66" t="s">
        <v>64</v>
      </c>
      <c r="E31" s="67">
        <v>192.94198518435556</v>
      </c>
      <c r="F31" s="69"/>
      <c r="G31" s="103" t="str">
        <f>HYPERLINK("https://pbs.twimg.com/profile_images/860441615772549122/ciiDXlAZ_normal.jpg")</f>
        <v>https://pbs.twimg.com/profile_images/860441615772549122/ciiDXlAZ_normal.jpg</v>
      </c>
      <c r="H31" s="66"/>
      <c r="I31" s="70" t="s">
        <v>253</v>
      </c>
      <c r="J31" s="71"/>
      <c r="K31" s="71"/>
      <c r="L31" s="70" t="s">
        <v>1239</v>
      </c>
      <c r="M31" s="74">
        <v>62.973131672022845</v>
      </c>
      <c r="N31" s="75">
        <v>4661.072265625</v>
      </c>
      <c r="O31" s="75">
        <v>777.1243286132812</v>
      </c>
      <c r="P31" s="76"/>
      <c r="Q31" s="77"/>
      <c r="R31" s="77"/>
      <c r="S31" s="89"/>
      <c r="T31" s="49">
        <v>0</v>
      </c>
      <c r="U31" s="49">
        <v>3</v>
      </c>
      <c r="V31" s="50">
        <v>0.5</v>
      </c>
      <c r="W31" s="50">
        <v>0.004484</v>
      </c>
      <c r="X31" s="50">
        <v>0.009724</v>
      </c>
      <c r="Y31" s="50">
        <v>0.883373</v>
      </c>
      <c r="Z31" s="50">
        <v>0.3333333333333333</v>
      </c>
      <c r="AA31" s="50">
        <v>0</v>
      </c>
      <c r="AB31" s="72">
        <v>31</v>
      </c>
      <c r="AC31" s="72"/>
      <c r="AD31" s="73"/>
      <c r="AE31" s="79" t="s">
        <v>824</v>
      </c>
      <c r="AF31" s="87" t="s">
        <v>940</v>
      </c>
      <c r="AG31" s="79">
        <v>49</v>
      </c>
      <c r="AH31" s="79">
        <v>21100</v>
      </c>
      <c r="AI31" s="79">
        <v>7012</v>
      </c>
      <c r="AJ31" s="79">
        <v>511</v>
      </c>
      <c r="AK31" s="79"/>
      <c r="AL31" s="79" t="s">
        <v>1054</v>
      </c>
      <c r="AM31" s="79" t="s">
        <v>890</v>
      </c>
      <c r="AN31" s="83" t="str">
        <f>HYPERLINK("https://t.co/T3IS5aJOFK")</f>
        <v>https://t.co/T3IS5aJOFK</v>
      </c>
      <c r="AO31" s="79"/>
      <c r="AP31" s="81">
        <v>42543.29944444444</v>
      </c>
      <c r="AQ31" s="83" t="str">
        <f>HYPERLINK("https://pbs.twimg.com/profile_banners/745514456910749698/1576674990")</f>
        <v>https://pbs.twimg.com/profile_banners/745514456910749698/1576674990</v>
      </c>
      <c r="AR31" s="79" t="b">
        <v>1</v>
      </c>
      <c r="AS31" s="79" t="b">
        <v>0</v>
      </c>
      <c r="AT31" s="79" t="b">
        <v>1</v>
      </c>
      <c r="AU31" s="79"/>
      <c r="AV31" s="79">
        <v>64</v>
      </c>
      <c r="AW31" s="79"/>
      <c r="AX31" s="79" t="b">
        <v>1</v>
      </c>
      <c r="AY31" s="79" t="s">
        <v>1211</v>
      </c>
      <c r="AZ31" s="83" t="str">
        <f>HYPERLINK("https://twitter.com/aimtoinnovate")</f>
        <v>https://twitter.com/aimtoinnovate</v>
      </c>
      <c r="BA31" s="79" t="s">
        <v>66</v>
      </c>
      <c r="BB31" s="79" t="str">
        <f>REPLACE(INDEX(GroupVertices[Group],MATCH(Vertices[[#This Row],[Vertex]],GroupVertices[Vertex],0)),1,1,"")</f>
        <v>6</v>
      </c>
      <c r="BC31" s="49" t="s">
        <v>1367</v>
      </c>
      <c r="BD31" s="49" t="s">
        <v>1367</v>
      </c>
      <c r="BE31" s="49" t="s">
        <v>444</v>
      </c>
      <c r="BF31" s="49" t="s">
        <v>444</v>
      </c>
      <c r="BG31" s="49" t="s">
        <v>451</v>
      </c>
      <c r="BH31" s="49" t="s">
        <v>451</v>
      </c>
      <c r="BI31" s="108" t="s">
        <v>1531</v>
      </c>
      <c r="BJ31" s="108" t="s">
        <v>1531</v>
      </c>
      <c r="BK31" s="108" t="s">
        <v>1641</v>
      </c>
      <c r="BL31" s="108" t="s">
        <v>1641</v>
      </c>
      <c r="BM31" s="108">
        <v>1</v>
      </c>
      <c r="BN31" s="111">
        <v>2.7777777777777777</v>
      </c>
      <c r="BO31" s="108">
        <v>0</v>
      </c>
      <c r="BP31" s="111">
        <v>0</v>
      </c>
      <c r="BQ31" s="108">
        <v>0</v>
      </c>
      <c r="BR31" s="111">
        <v>0</v>
      </c>
      <c r="BS31" s="108">
        <v>35</v>
      </c>
      <c r="BT31" s="111">
        <v>97.22222222222223</v>
      </c>
      <c r="BU31" s="108">
        <v>36</v>
      </c>
      <c r="BV31" s="2"/>
      <c r="BW31" s="3"/>
      <c r="BX31" s="3"/>
      <c r="BY31" s="3"/>
      <c r="BZ31" s="3"/>
    </row>
    <row r="32" spans="1:78" ht="34.05" customHeight="1">
      <c r="A32" s="65" t="s">
        <v>308</v>
      </c>
      <c r="C32" s="66"/>
      <c r="D32" s="66" t="s">
        <v>64</v>
      </c>
      <c r="E32" s="67">
        <v>168.66237445815096</v>
      </c>
      <c r="F32" s="69"/>
      <c r="G32" s="103" t="str">
        <f>HYPERLINK("https://pbs.twimg.com/profile_images/873559665422061568/1GSynVEl_normal.jpg")</f>
        <v>https://pbs.twimg.com/profile_images/873559665422061568/1GSynVEl_normal.jpg</v>
      </c>
      <c r="H32" s="66"/>
      <c r="I32" s="70" t="s">
        <v>308</v>
      </c>
      <c r="J32" s="71"/>
      <c r="K32" s="71"/>
      <c r="L32" s="70" t="s">
        <v>1240</v>
      </c>
      <c r="M32" s="74">
        <v>14.343946973126677</v>
      </c>
      <c r="N32" s="75">
        <v>5225.1748046875</v>
      </c>
      <c r="O32" s="75">
        <v>864.6512451171875</v>
      </c>
      <c r="P32" s="76"/>
      <c r="Q32" s="77"/>
      <c r="R32" s="77"/>
      <c r="S32" s="89"/>
      <c r="T32" s="49">
        <v>4</v>
      </c>
      <c r="U32" s="49">
        <v>0</v>
      </c>
      <c r="V32" s="50">
        <v>2</v>
      </c>
      <c r="W32" s="50">
        <v>0.004505</v>
      </c>
      <c r="X32" s="50">
        <v>0.01046</v>
      </c>
      <c r="Y32" s="50">
        <v>1.146835</v>
      </c>
      <c r="Z32" s="50">
        <v>0.25</v>
      </c>
      <c r="AA32" s="50">
        <v>0</v>
      </c>
      <c r="AB32" s="72">
        <v>32</v>
      </c>
      <c r="AC32" s="72"/>
      <c r="AD32" s="73"/>
      <c r="AE32" s="79" t="s">
        <v>825</v>
      </c>
      <c r="AF32" s="87" t="s">
        <v>941</v>
      </c>
      <c r="AG32" s="79">
        <v>471</v>
      </c>
      <c r="AH32" s="79">
        <v>4544</v>
      </c>
      <c r="AI32" s="79">
        <v>1418</v>
      </c>
      <c r="AJ32" s="79">
        <v>2269</v>
      </c>
      <c r="AK32" s="79"/>
      <c r="AL32" s="79" t="s">
        <v>1055</v>
      </c>
      <c r="AM32" s="79" t="s">
        <v>1158</v>
      </c>
      <c r="AN32" s="83" t="str">
        <f>HYPERLINK("https://t.co/uBwaYybvXj")</f>
        <v>https://t.co/uBwaYybvXj</v>
      </c>
      <c r="AO32" s="79"/>
      <c r="AP32" s="81">
        <v>39900.22047453704</v>
      </c>
      <c r="AQ32" s="79"/>
      <c r="AR32" s="79" t="b">
        <v>1</v>
      </c>
      <c r="AS32" s="79" t="b">
        <v>0</v>
      </c>
      <c r="AT32" s="79" t="b">
        <v>1</v>
      </c>
      <c r="AU32" s="79"/>
      <c r="AV32" s="79">
        <v>10</v>
      </c>
      <c r="AW32" s="83" t="str">
        <f>HYPERLINK("https://abs.twimg.com/images/themes/theme1/bg.png")</f>
        <v>https://abs.twimg.com/images/themes/theme1/bg.png</v>
      </c>
      <c r="AX32" s="79" t="b">
        <v>0</v>
      </c>
      <c r="AY32" s="79" t="s">
        <v>1211</v>
      </c>
      <c r="AZ32" s="83" t="str">
        <f>HYPERLINK("https://twitter.com/rramanan")</f>
        <v>https://twitter.com/rramanan</v>
      </c>
      <c r="BA32" s="79" t="s">
        <v>65</v>
      </c>
      <c r="BB32" s="79" t="str">
        <f>REPLACE(INDEX(GroupVertices[Group],MATCH(Vertices[[#This Row],[Vertex]],GroupVertices[Vertex],0)),1,1,"")</f>
        <v>6</v>
      </c>
      <c r="BC32" s="49"/>
      <c r="BD32" s="49"/>
      <c r="BE32" s="49"/>
      <c r="BF32" s="49"/>
      <c r="BG32" s="49"/>
      <c r="BH32" s="49"/>
      <c r="BI32" s="49"/>
      <c r="BJ32" s="49"/>
      <c r="BK32" s="49"/>
      <c r="BL32" s="49"/>
      <c r="BM32" s="49"/>
      <c r="BN32" s="50"/>
      <c r="BO32" s="49"/>
      <c r="BP32" s="50"/>
      <c r="BQ32" s="49"/>
      <c r="BR32" s="50"/>
      <c r="BS32" s="49"/>
      <c r="BT32" s="50"/>
      <c r="BU32" s="49"/>
      <c r="BV32" s="2"/>
      <c r="BW32" s="3"/>
      <c r="BX32" s="3"/>
      <c r="BY32" s="3"/>
      <c r="BZ32" s="3"/>
    </row>
    <row r="33" spans="1:78" ht="34.05" customHeight="1">
      <c r="A33" s="65" t="s">
        <v>309</v>
      </c>
      <c r="C33" s="66"/>
      <c r="D33" s="66" t="s">
        <v>64</v>
      </c>
      <c r="E33" s="67">
        <v>1000</v>
      </c>
      <c r="F33" s="69"/>
      <c r="G33" s="103" t="str">
        <f>HYPERLINK("https://pbs.twimg.com/profile_images/865131194773495809/KMjhveHQ_normal.jpg")</f>
        <v>https://pbs.twimg.com/profile_images/865131194773495809/KMjhveHQ_normal.jpg</v>
      </c>
      <c r="H33" s="66"/>
      <c r="I33" s="70" t="s">
        <v>309</v>
      </c>
      <c r="J33" s="71"/>
      <c r="K33" s="71"/>
      <c r="L33" s="70" t="s">
        <v>1241</v>
      </c>
      <c r="M33" s="74">
        <v>6451.912779289624</v>
      </c>
      <c r="N33" s="75">
        <v>5264.4013671875</v>
      </c>
      <c r="O33" s="75">
        <v>2051.10986328125</v>
      </c>
      <c r="P33" s="76"/>
      <c r="Q33" s="77"/>
      <c r="R33" s="77"/>
      <c r="S33" s="89"/>
      <c r="T33" s="49">
        <v>4</v>
      </c>
      <c r="U33" s="49">
        <v>0</v>
      </c>
      <c r="V33" s="50">
        <v>2</v>
      </c>
      <c r="W33" s="50">
        <v>0.004505</v>
      </c>
      <c r="X33" s="50">
        <v>0.01046</v>
      </c>
      <c r="Y33" s="50">
        <v>1.146835</v>
      </c>
      <c r="Z33" s="50">
        <v>0.25</v>
      </c>
      <c r="AA33" s="50">
        <v>0</v>
      </c>
      <c r="AB33" s="72">
        <v>33</v>
      </c>
      <c r="AC33" s="72"/>
      <c r="AD33" s="73"/>
      <c r="AE33" s="79" t="s">
        <v>826</v>
      </c>
      <c r="AF33" s="87" t="s">
        <v>942</v>
      </c>
      <c r="AG33" s="79">
        <v>188</v>
      </c>
      <c r="AH33" s="79">
        <v>2196240</v>
      </c>
      <c r="AI33" s="79">
        <v>18643</v>
      </c>
      <c r="AJ33" s="79">
        <v>1685</v>
      </c>
      <c r="AK33" s="79"/>
      <c r="AL33" s="79" t="s">
        <v>1056</v>
      </c>
      <c r="AM33" s="79" t="s">
        <v>1139</v>
      </c>
      <c r="AN33" s="83" t="str">
        <f>HYPERLINK("https://t.co/9bY0dAWk74")</f>
        <v>https://t.co/9bY0dAWk74</v>
      </c>
      <c r="AO33" s="79"/>
      <c r="AP33" s="81">
        <v>41338.700150462966</v>
      </c>
      <c r="AQ33" s="83" t="str">
        <f>HYPERLINK("https://pbs.twimg.com/profile_banners/1244137812/1582808595")</f>
        <v>https://pbs.twimg.com/profile_banners/1244137812/1582808595</v>
      </c>
      <c r="AR33" s="79" t="b">
        <v>1</v>
      </c>
      <c r="AS33" s="79" t="b">
        <v>0</v>
      </c>
      <c r="AT33" s="79" t="b">
        <v>1</v>
      </c>
      <c r="AU33" s="79"/>
      <c r="AV33" s="79">
        <v>1599</v>
      </c>
      <c r="AW33" s="83" t="str">
        <f>HYPERLINK("https://abs.twimg.com/images/themes/theme1/bg.png")</f>
        <v>https://abs.twimg.com/images/themes/theme1/bg.png</v>
      </c>
      <c r="AX33" s="79" t="b">
        <v>1</v>
      </c>
      <c r="AY33" s="79" t="s">
        <v>1211</v>
      </c>
      <c r="AZ33" s="83" t="str">
        <f>HYPERLINK("https://twitter.com/nitiaayog")</f>
        <v>https://twitter.com/nitiaayog</v>
      </c>
      <c r="BA33" s="79" t="s">
        <v>65</v>
      </c>
      <c r="BB33" s="79" t="str">
        <f>REPLACE(INDEX(GroupVertices[Group],MATCH(Vertices[[#This Row],[Vertex]],GroupVertices[Vertex],0)),1,1,"")</f>
        <v>6</v>
      </c>
      <c r="BC33" s="49"/>
      <c r="BD33" s="49"/>
      <c r="BE33" s="49"/>
      <c r="BF33" s="49"/>
      <c r="BG33" s="49"/>
      <c r="BH33" s="49"/>
      <c r="BI33" s="49"/>
      <c r="BJ33" s="49"/>
      <c r="BK33" s="49"/>
      <c r="BL33" s="49"/>
      <c r="BM33" s="49"/>
      <c r="BN33" s="50"/>
      <c r="BO33" s="49"/>
      <c r="BP33" s="50"/>
      <c r="BQ33" s="49"/>
      <c r="BR33" s="50"/>
      <c r="BS33" s="49"/>
      <c r="BT33" s="50"/>
      <c r="BU33" s="49"/>
      <c r="BV33" s="2"/>
      <c r="BW33" s="3"/>
      <c r="BX33" s="3"/>
      <c r="BY33" s="3"/>
      <c r="BZ33" s="3"/>
    </row>
    <row r="34" spans="1:78" ht="34.05" customHeight="1">
      <c r="A34" s="65" t="s">
        <v>254</v>
      </c>
      <c r="C34" s="66"/>
      <c r="D34" s="66" t="s">
        <v>64</v>
      </c>
      <c r="E34" s="67">
        <v>162.58807223370428</v>
      </c>
      <c r="F34" s="69"/>
      <c r="G34" s="103" t="str">
        <f>HYPERLINK("https://pbs.twimg.com/profile_images/1243750451188609025/WMIQR3VT_normal.jpg")</f>
        <v>https://pbs.twimg.com/profile_images/1243750451188609025/WMIQR3VT_normal.jpg</v>
      </c>
      <c r="H34" s="66"/>
      <c r="I34" s="70" t="s">
        <v>254</v>
      </c>
      <c r="J34" s="71"/>
      <c r="K34" s="71"/>
      <c r="L34" s="70" t="s">
        <v>1242</v>
      </c>
      <c r="M34" s="74">
        <v>2.1778390350481613</v>
      </c>
      <c r="N34" s="75">
        <v>4709.03369140625</v>
      </c>
      <c r="O34" s="75">
        <v>2227.756591796875</v>
      </c>
      <c r="P34" s="76"/>
      <c r="Q34" s="77"/>
      <c r="R34" s="77"/>
      <c r="S34" s="89"/>
      <c r="T34" s="49">
        <v>0</v>
      </c>
      <c r="U34" s="49">
        <v>3</v>
      </c>
      <c r="V34" s="50">
        <v>0.5</v>
      </c>
      <c r="W34" s="50">
        <v>0.004484</v>
      </c>
      <c r="X34" s="50">
        <v>0.009724</v>
      </c>
      <c r="Y34" s="50">
        <v>0.883373</v>
      </c>
      <c r="Z34" s="50">
        <v>0.3333333333333333</v>
      </c>
      <c r="AA34" s="50">
        <v>0</v>
      </c>
      <c r="AB34" s="72">
        <v>34</v>
      </c>
      <c r="AC34" s="72"/>
      <c r="AD34" s="73"/>
      <c r="AE34" s="79" t="s">
        <v>827</v>
      </c>
      <c r="AF34" s="87" t="s">
        <v>943</v>
      </c>
      <c r="AG34" s="79">
        <v>116</v>
      </c>
      <c r="AH34" s="79">
        <v>402</v>
      </c>
      <c r="AI34" s="79">
        <v>29762</v>
      </c>
      <c r="AJ34" s="79">
        <v>6789</v>
      </c>
      <c r="AK34" s="79"/>
      <c r="AL34" s="79" t="s">
        <v>1057</v>
      </c>
      <c r="AM34" s="79"/>
      <c r="AN34" s="79"/>
      <c r="AO34" s="79"/>
      <c r="AP34" s="81">
        <v>39928.06024305556</v>
      </c>
      <c r="AQ34" s="83" t="str">
        <f>HYPERLINK("https://pbs.twimg.com/profile_banners/35103756/1597755447")</f>
        <v>https://pbs.twimg.com/profile_banners/35103756/1597755447</v>
      </c>
      <c r="AR34" s="79" t="b">
        <v>0</v>
      </c>
      <c r="AS34" s="79" t="b">
        <v>0</v>
      </c>
      <c r="AT34" s="79" t="b">
        <v>0</v>
      </c>
      <c r="AU34" s="79"/>
      <c r="AV34" s="79">
        <v>2</v>
      </c>
      <c r="AW34" s="83" t="str">
        <f>HYPERLINK("https://abs.twimg.com/images/themes/theme1/bg.png")</f>
        <v>https://abs.twimg.com/images/themes/theme1/bg.png</v>
      </c>
      <c r="AX34" s="79" t="b">
        <v>0</v>
      </c>
      <c r="AY34" s="79" t="s">
        <v>1211</v>
      </c>
      <c r="AZ34" s="83" t="str">
        <f>HYPERLINK("https://twitter.com/bhilai")</f>
        <v>https://twitter.com/bhilai</v>
      </c>
      <c r="BA34" s="79" t="s">
        <v>66</v>
      </c>
      <c r="BB34" s="79" t="str">
        <f>REPLACE(INDEX(GroupVertices[Group],MATCH(Vertices[[#This Row],[Vertex]],GroupVertices[Vertex],0)),1,1,"")</f>
        <v>6</v>
      </c>
      <c r="BC34" s="49" t="s">
        <v>1367</v>
      </c>
      <c r="BD34" s="49" t="s">
        <v>1367</v>
      </c>
      <c r="BE34" s="49" t="s">
        <v>444</v>
      </c>
      <c r="BF34" s="49" t="s">
        <v>444</v>
      </c>
      <c r="BG34" s="49" t="s">
        <v>451</v>
      </c>
      <c r="BH34" s="49" t="s">
        <v>451</v>
      </c>
      <c r="BI34" s="108" t="s">
        <v>1531</v>
      </c>
      <c r="BJ34" s="108" t="s">
        <v>1531</v>
      </c>
      <c r="BK34" s="108" t="s">
        <v>1641</v>
      </c>
      <c r="BL34" s="108" t="s">
        <v>1641</v>
      </c>
      <c r="BM34" s="108">
        <v>1</v>
      </c>
      <c r="BN34" s="111">
        <v>2.7777777777777777</v>
      </c>
      <c r="BO34" s="108">
        <v>0</v>
      </c>
      <c r="BP34" s="111">
        <v>0</v>
      </c>
      <c r="BQ34" s="108">
        <v>0</v>
      </c>
      <c r="BR34" s="111">
        <v>0</v>
      </c>
      <c r="BS34" s="108">
        <v>35</v>
      </c>
      <c r="BT34" s="111">
        <v>97.22222222222223</v>
      </c>
      <c r="BU34" s="108">
        <v>36</v>
      </c>
      <c r="BV34" s="2"/>
      <c r="BW34" s="3"/>
      <c r="BX34" s="3"/>
      <c r="BY34" s="3"/>
      <c r="BZ34" s="3"/>
    </row>
    <row r="35" spans="1:78" ht="34.05" customHeight="1">
      <c r="A35" s="65" t="s">
        <v>255</v>
      </c>
      <c r="C35" s="66"/>
      <c r="D35" s="66" t="s">
        <v>64</v>
      </c>
      <c r="E35" s="67">
        <v>162.5792731479132</v>
      </c>
      <c r="F35" s="69"/>
      <c r="G35" s="103" t="str">
        <f>HYPERLINK("https://pbs.twimg.com/profile_images/1268655038429196289/h3aaJhFA_normal.jpg")</f>
        <v>https://pbs.twimg.com/profile_images/1268655038429196289/h3aaJhFA_normal.jpg</v>
      </c>
      <c r="H35" s="66"/>
      <c r="I35" s="70" t="s">
        <v>255</v>
      </c>
      <c r="J35" s="71"/>
      <c r="K35" s="71"/>
      <c r="L35" s="70" t="s">
        <v>1243</v>
      </c>
      <c r="M35" s="74">
        <v>2.1602155083392116</v>
      </c>
      <c r="N35" s="75">
        <v>5320.263671875</v>
      </c>
      <c r="O35" s="75">
        <v>5828.4326171875</v>
      </c>
      <c r="P35" s="76"/>
      <c r="Q35" s="77"/>
      <c r="R35" s="77"/>
      <c r="S35" s="89"/>
      <c r="T35" s="49">
        <v>0</v>
      </c>
      <c r="U35" s="49">
        <v>2</v>
      </c>
      <c r="V35" s="50">
        <v>0</v>
      </c>
      <c r="W35" s="50">
        <v>0.004464</v>
      </c>
      <c r="X35" s="50">
        <v>0.009063</v>
      </c>
      <c r="Y35" s="50">
        <v>0.640497</v>
      </c>
      <c r="Z35" s="50">
        <v>0.5</v>
      </c>
      <c r="AA35" s="50">
        <v>0</v>
      </c>
      <c r="AB35" s="72">
        <v>35</v>
      </c>
      <c r="AC35" s="72"/>
      <c r="AD35" s="73"/>
      <c r="AE35" s="79" t="s">
        <v>828</v>
      </c>
      <c r="AF35" s="87" t="s">
        <v>944</v>
      </c>
      <c r="AG35" s="79">
        <v>633</v>
      </c>
      <c r="AH35" s="79">
        <v>396</v>
      </c>
      <c r="AI35" s="79">
        <v>4549</v>
      </c>
      <c r="AJ35" s="79">
        <v>1301</v>
      </c>
      <c r="AK35" s="79"/>
      <c r="AL35" s="79" t="s">
        <v>1058</v>
      </c>
      <c r="AM35" s="79" t="s">
        <v>1139</v>
      </c>
      <c r="AN35" s="83" t="str">
        <f>HYPERLINK("https://t.co/EAe9sG22KV")</f>
        <v>https://t.co/EAe9sG22KV</v>
      </c>
      <c r="AO35" s="79"/>
      <c r="AP35" s="81">
        <v>40852.520590277774</v>
      </c>
      <c r="AQ35" s="83" t="str">
        <f>HYPERLINK("https://pbs.twimg.com/profile_banners/405516092/1584426173")</f>
        <v>https://pbs.twimg.com/profile_banners/405516092/1584426173</v>
      </c>
      <c r="AR35" s="79" t="b">
        <v>1</v>
      </c>
      <c r="AS35" s="79" t="b">
        <v>0</v>
      </c>
      <c r="AT35" s="79" t="b">
        <v>1</v>
      </c>
      <c r="AU35" s="79"/>
      <c r="AV35" s="79">
        <v>10</v>
      </c>
      <c r="AW35" s="83" t="str">
        <f>HYPERLINK("https://abs.twimg.com/images/themes/theme1/bg.png")</f>
        <v>https://abs.twimg.com/images/themes/theme1/bg.png</v>
      </c>
      <c r="AX35" s="79" t="b">
        <v>0</v>
      </c>
      <c r="AY35" s="79" t="s">
        <v>1211</v>
      </c>
      <c r="AZ35" s="83" t="str">
        <f>HYPERLINK("https://twitter.com/imgauravsood")</f>
        <v>https://twitter.com/imgauravsood</v>
      </c>
      <c r="BA35" s="79" t="s">
        <v>66</v>
      </c>
      <c r="BB35" s="79" t="str">
        <f>REPLACE(INDEX(GroupVertices[Group],MATCH(Vertices[[#This Row],[Vertex]],GroupVertices[Vertex],0)),1,1,"")</f>
        <v>4</v>
      </c>
      <c r="BC35" s="49" t="s">
        <v>1359</v>
      </c>
      <c r="BD35" s="49" t="s">
        <v>1359</v>
      </c>
      <c r="BE35" s="49" t="s">
        <v>444</v>
      </c>
      <c r="BF35" s="49" t="s">
        <v>444</v>
      </c>
      <c r="BG35" s="49" t="s">
        <v>449</v>
      </c>
      <c r="BH35" s="49" t="s">
        <v>449</v>
      </c>
      <c r="BI35" s="108" t="s">
        <v>1529</v>
      </c>
      <c r="BJ35" s="108" t="s">
        <v>1529</v>
      </c>
      <c r="BK35" s="108" t="s">
        <v>1639</v>
      </c>
      <c r="BL35" s="108" t="s">
        <v>1639</v>
      </c>
      <c r="BM35" s="108">
        <v>3</v>
      </c>
      <c r="BN35" s="111">
        <v>9.67741935483871</v>
      </c>
      <c r="BO35" s="108">
        <v>0</v>
      </c>
      <c r="BP35" s="111">
        <v>0</v>
      </c>
      <c r="BQ35" s="108">
        <v>0</v>
      </c>
      <c r="BR35" s="111">
        <v>0</v>
      </c>
      <c r="BS35" s="108">
        <v>28</v>
      </c>
      <c r="BT35" s="111">
        <v>90.3225806451613</v>
      </c>
      <c r="BU35" s="108">
        <v>31</v>
      </c>
      <c r="BV35" s="2"/>
      <c r="BW35" s="3"/>
      <c r="BX35" s="3"/>
      <c r="BY35" s="3"/>
      <c r="BZ35" s="3"/>
    </row>
    <row r="36" spans="1:78" ht="34.05" customHeight="1">
      <c r="A36" s="65" t="s">
        <v>256</v>
      </c>
      <c r="C36" s="66"/>
      <c r="D36" s="66" t="s">
        <v>64</v>
      </c>
      <c r="E36" s="67">
        <v>162.3372982886583</v>
      </c>
      <c r="F36" s="69"/>
      <c r="G36" s="103" t="str">
        <f>HYPERLINK("https://pbs.twimg.com/profile_images/841005443661082625/v14N-548_normal.jpg")</f>
        <v>https://pbs.twimg.com/profile_images/841005443661082625/v14N-548_normal.jpg</v>
      </c>
      <c r="H36" s="66"/>
      <c r="I36" s="70" t="s">
        <v>256</v>
      </c>
      <c r="J36" s="71"/>
      <c r="K36" s="71"/>
      <c r="L36" s="70" t="s">
        <v>1244</v>
      </c>
      <c r="M36" s="74">
        <v>1.675568523843085</v>
      </c>
      <c r="N36" s="75">
        <v>9206.771484375</v>
      </c>
      <c r="O36" s="75">
        <v>1204.542724609375</v>
      </c>
      <c r="P36" s="76"/>
      <c r="Q36" s="77"/>
      <c r="R36" s="77"/>
      <c r="S36" s="89"/>
      <c r="T36" s="49">
        <v>0</v>
      </c>
      <c r="U36" s="49">
        <v>1</v>
      </c>
      <c r="V36" s="50">
        <v>0</v>
      </c>
      <c r="W36" s="50">
        <v>0.00303</v>
      </c>
      <c r="X36" s="50">
        <v>0.000777</v>
      </c>
      <c r="Y36" s="50">
        <v>0.461697</v>
      </c>
      <c r="Z36" s="50">
        <v>0</v>
      </c>
      <c r="AA36" s="50">
        <v>0</v>
      </c>
      <c r="AB36" s="72">
        <v>36</v>
      </c>
      <c r="AC36" s="72"/>
      <c r="AD36" s="73"/>
      <c r="AE36" s="79" t="s">
        <v>829</v>
      </c>
      <c r="AF36" s="87" t="s">
        <v>945</v>
      </c>
      <c r="AG36" s="79">
        <v>525</v>
      </c>
      <c r="AH36" s="79">
        <v>231</v>
      </c>
      <c r="AI36" s="79">
        <v>7187</v>
      </c>
      <c r="AJ36" s="79">
        <v>54482</v>
      </c>
      <c r="AK36" s="79"/>
      <c r="AL36" s="79"/>
      <c r="AM36" s="79" t="s">
        <v>1159</v>
      </c>
      <c r="AN36" s="79"/>
      <c r="AO36" s="79"/>
      <c r="AP36" s="81">
        <v>41143.829097222224</v>
      </c>
      <c r="AQ36" s="83" t="str">
        <f>HYPERLINK("https://pbs.twimg.com/profile_banners/774377078/1489345721")</f>
        <v>https://pbs.twimg.com/profile_banners/774377078/1489345721</v>
      </c>
      <c r="AR36" s="79" t="b">
        <v>1</v>
      </c>
      <c r="AS36" s="79" t="b">
        <v>0</v>
      </c>
      <c r="AT36" s="79" t="b">
        <v>0</v>
      </c>
      <c r="AU36" s="79"/>
      <c r="AV36" s="79">
        <v>5</v>
      </c>
      <c r="AW36" s="83" t="str">
        <f>HYPERLINK("https://abs.twimg.com/images/themes/theme1/bg.png")</f>
        <v>https://abs.twimg.com/images/themes/theme1/bg.png</v>
      </c>
      <c r="AX36" s="79" t="b">
        <v>0</v>
      </c>
      <c r="AY36" s="79" t="s">
        <v>1211</v>
      </c>
      <c r="AZ36" s="83" t="str">
        <f>HYPERLINK("https://twitter.com/muriel21400928")</f>
        <v>https://twitter.com/muriel21400928</v>
      </c>
      <c r="BA36" s="79" t="s">
        <v>66</v>
      </c>
      <c r="BB36" s="79" t="str">
        <f>REPLACE(INDEX(GroupVertices[Group],MATCH(Vertices[[#This Row],[Vertex]],GroupVertices[Vertex],0)),1,1,"")</f>
        <v>13</v>
      </c>
      <c r="BC36" s="49" t="s">
        <v>1708</v>
      </c>
      <c r="BD36" s="49" t="s">
        <v>1708</v>
      </c>
      <c r="BE36" s="49" t="s">
        <v>444</v>
      </c>
      <c r="BF36" s="49" t="s">
        <v>444</v>
      </c>
      <c r="BG36" s="49" t="s">
        <v>449</v>
      </c>
      <c r="BH36" s="49" t="s">
        <v>449</v>
      </c>
      <c r="BI36" s="108" t="s">
        <v>1743</v>
      </c>
      <c r="BJ36" s="108" t="s">
        <v>1743</v>
      </c>
      <c r="BK36" s="108" t="s">
        <v>1648</v>
      </c>
      <c r="BL36" s="108" t="s">
        <v>1648</v>
      </c>
      <c r="BM36" s="108">
        <v>0</v>
      </c>
      <c r="BN36" s="111">
        <v>0</v>
      </c>
      <c r="BO36" s="108">
        <v>0</v>
      </c>
      <c r="BP36" s="111">
        <v>0</v>
      </c>
      <c r="BQ36" s="108">
        <v>0</v>
      </c>
      <c r="BR36" s="111">
        <v>0</v>
      </c>
      <c r="BS36" s="108">
        <v>12</v>
      </c>
      <c r="BT36" s="111">
        <v>100</v>
      </c>
      <c r="BU36" s="108">
        <v>12</v>
      </c>
      <c r="BV36" s="2"/>
      <c r="BW36" s="3"/>
      <c r="BX36" s="3"/>
      <c r="BY36" s="3"/>
      <c r="BZ36" s="3"/>
    </row>
    <row r="37" spans="1:78" ht="34.05" customHeight="1">
      <c r="A37" s="65" t="s">
        <v>287</v>
      </c>
      <c r="C37" s="66"/>
      <c r="D37" s="66" t="s">
        <v>64</v>
      </c>
      <c r="E37" s="67">
        <v>177.3676033341325</v>
      </c>
      <c r="F37" s="69"/>
      <c r="G37" s="103" t="str">
        <f>HYPERLINK("https://pbs.twimg.com/profile_images/895732936003264516/I-4SZRAV_normal.jpg")</f>
        <v>https://pbs.twimg.com/profile_images/895732936003264516/I-4SZRAV_normal.jpg</v>
      </c>
      <c r="H37" s="66"/>
      <c r="I37" s="70" t="s">
        <v>287</v>
      </c>
      <c r="J37" s="71"/>
      <c r="K37" s="71"/>
      <c r="L37" s="70" t="s">
        <v>1245</v>
      </c>
      <c r="M37" s="74">
        <v>31.77948939718126</v>
      </c>
      <c r="N37" s="75">
        <v>9206.771484375</v>
      </c>
      <c r="O37" s="75">
        <v>919.59716796875</v>
      </c>
      <c r="P37" s="76"/>
      <c r="Q37" s="77"/>
      <c r="R37" s="77"/>
      <c r="S37" s="89"/>
      <c r="T37" s="49">
        <v>3</v>
      </c>
      <c r="U37" s="49">
        <v>1</v>
      </c>
      <c r="V37" s="50">
        <v>214</v>
      </c>
      <c r="W37" s="50">
        <v>0.004484</v>
      </c>
      <c r="X37" s="50">
        <v>0.008702</v>
      </c>
      <c r="Y37" s="50">
        <v>1.100108</v>
      </c>
      <c r="Z37" s="50">
        <v>0</v>
      </c>
      <c r="AA37" s="50">
        <v>0</v>
      </c>
      <c r="AB37" s="72">
        <v>37</v>
      </c>
      <c r="AC37" s="72"/>
      <c r="AD37" s="73"/>
      <c r="AE37" s="79" t="s">
        <v>830</v>
      </c>
      <c r="AF37" s="87" t="s">
        <v>946</v>
      </c>
      <c r="AG37" s="79">
        <v>1374</v>
      </c>
      <c r="AH37" s="79">
        <v>10480</v>
      </c>
      <c r="AI37" s="79">
        <v>23628</v>
      </c>
      <c r="AJ37" s="79">
        <v>15941</v>
      </c>
      <c r="AK37" s="79"/>
      <c r="AL37" s="79" t="s">
        <v>1059</v>
      </c>
      <c r="AM37" s="79" t="s">
        <v>1160</v>
      </c>
      <c r="AN37" s="83" t="str">
        <f>HYPERLINK("https://t.co/vHpAcSuFaH")</f>
        <v>https://t.co/vHpAcSuFaH</v>
      </c>
      <c r="AO37" s="79"/>
      <c r="AP37" s="81">
        <v>39251.73452546296</v>
      </c>
      <c r="AQ37" s="83" t="str">
        <f>HYPERLINK("https://pbs.twimg.com/profile_banners/6896272/1596700978")</f>
        <v>https://pbs.twimg.com/profile_banners/6896272/1596700978</v>
      </c>
      <c r="AR37" s="79" t="b">
        <v>0</v>
      </c>
      <c r="AS37" s="79" t="b">
        <v>0</v>
      </c>
      <c r="AT37" s="79" t="b">
        <v>1</v>
      </c>
      <c r="AU37" s="79"/>
      <c r="AV37" s="79">
        <v>480</v>
      </c>
      <c r="AW37" s="83" t="str">
        <f>HYPERLINK("https://abs.twimg.com/images/themes/theme14/bg.gif")</f>
        <v>https://abs.twimg.com/images/themes/theme14/bg.gif</v>
      </c>
      <c r="AX37" s="79" t="b">
        <v>0</v>
      </c>
      <c r="AY37" s="79" t="s">
        <v>1211</v>
      </c>
      <c r="AZ37" s="83" t="str">
        <f>HYPERLINK("https://twitter.com/olliebray")</f>
        <v>https://twitter.com/olliebray</v>
      </c>
      <c r="BA37" s="79" t="s">
        <v>66</v>
      </c>
      <c r="BB37" s="79" t="str">
        <f>REPLACE(INDEX(GroupVertices[Group],MATCH(Vertices[[#This Row],[Vertex]],GroupVertices[Vertex],0)),1,1,"")</f>
        <v>13</v>
      </c>
      <c r="BC37" s="49" t="s">
        <v>442</v>
      </c>
      <c r="BD37" s="49" t="s">
        <v>442</v>
      </c>
      <c r="BE37" s="49" t="s">
        <v>446</v>
      </c>
      <c r="BF37" s="49" t="s">
        <v>446</v>
      </c>
      <c r="BG37" s="49" t="s">
        <v>450</v>
      </c>
      <c r="BH37" s="49" t="s">
        <v>450</v>
      </c>
      <c r="BI37" s="108" t="s">
        <v>1743</v>
      </c>
      <c r="BJ37" s="108" t="s">
        <v>1743</v>
      </c>
      <c r="BK37" s="108" t="s">
        <v>1648</v>
      </c>
      <c r="BL37" s="108" t="s">
        <v>1648</v>
      </c>
      <c r="BM37" s="108">
        <v>0</v>
      </c>
      <c r="BN37" s="111">
        <v>0</v>
      </c>
      <c r="BO37" s="108">
        <v>0</v>
      </c>
      <c r="BP37" s="111">
        <v>0</v>
      </c>
      <c r="BQ37" s="108">
        <v>0</v>
      </c>
      <c r="BR37" s="111">
        <v>0</v>
      </c>
      <c r="BS37" s="108">
        <v>12</v>
      </c>
      <c r="BT37" s="111">
        <v>100</v>
      </c>
      <c r="BU37" s="108">
        <v>12</v>
      </c>
      <c r="BV37" s="2"/>
      <c r="BW37" s="3"/>
      <c r="BX37" s="3"/>
      <c r="BY37" s="3"/>
      <c r="BZ37" s="3"/>
    </row>
    <row r="38" spans="1:78" ht="34.05" customHeight="1">
      <c r="A38" s="65" t="s">
        <v>257</v>
      </c>
      <c r="C38" s="66"/>
      <c r="D38" s="66" t="s">
        <v>64</v>
      </c>
      <c r="E38" s="67">
        <v>162.34023131725533</v>
      </c>
      <c r="F38" s="69"/>
      <c r="G38" s="103" t="str">
        <f>HYPERLINK("https://pbs.twimg.com/profile_images/1351990496801931264/E0rqUrSs_normal.jpg")</f>
        <v>https://pbs.twimg.com/profile_images/1351990496801931264/E0rqUrSs_normal.jpg</v>
      </c>
      <c r="H38" s="66"/>
      <c r="I38" s="70" t="s">
        <v>257</v>
      </c>
      <c r="J38" s="71"/>
      <c r="K38" s="71"/>
      <c r="L38" s="70" t="s">
        <v>1246</v>
      </c>
      <c r="M38" s="74">
        <v>1.6814430327460685</v>
      </c>
      <c r="N38" s="75">
        <v>4813.30224609375</v>
      </c>
      <c r="O38" s="75">
        <v>5341.53515625</v>
      </c>
      <c r="P38" s="76"/>
      <c r="Q38" s="77"/>
      <c r="R38" s="77"/>
      <c r="S38" s="89"/>
      <c r="T38" s="49">
        <v>0</v>
      </c>
      <c r="U38" s="49">
        <v>2</v>
      </c>
      <c r="V38" s="50">
        <v>0</v>
      </c>
      <c r="W38" s="50">
        <v>0.004464</v>
      </c>
      <c r="X38" s="50">
        <v>0.009063</v>
      </c>
      <c r="Y38" s="50">
        <v>0.640497</v>
      </c>
      <c r="Z38" s="50">
        <v>0.5</v>
      </c>
      <c r="AA38" s="50">
        <v>0</v>
      </c>
      <c r="AB38" s="72">
        <v>38</v>
      </c>
      <c r="AC38" s="72"/>
      <c r="AD38" s="73"/>
      <c r="AE38" s="79" t="s">
        <v>831</v>
      </c>
      <c r="AF38" s="87" t="s">
        <v>947</v>
      </c>
      <c r="AG38" s="79">
        <v>2980</v>
      </c>
      <c r="AH38" s="79">
        <v>233</v>
      </c>
      <c r="AI38" s="79">
        <v>6710</v>
      </c>
      <c r="AJ38" s="79">
        <v>9941</v>
      </c>
      <c r="AK38" s="79"/>
      <c r="AL38" s="79" t="s">
        <v>1060</v>
      </c>
      <c r="AM38" s="79" t="s">
        <v>1161</v>
      </c>
      <c r="AN38" s="83" t="str">
        <f>HYPERLINK("https://t.co/A3bWMdUGxa")</f>
        <v>https://t.co/A3bWMdUGxa</v>
      </c>
      <c r="AO38" s="79"/>
      <c r="AP38" s="81">
        <v>43399.13408564815</v>
      </c>
      <c r="AQ38" s="83" t="str">
        <f>HYPERLINK("https://pbs.twimg.com/profile_banners/1055658545578831876/1601830287")</f>
        <v>https://pbs.twimg.com/profile_banners/1055658545578831876/1601830287</v>
      </c>
      <c r="AR38" s="79" t="b">
        <v>1</v>
      </c>
      <c r="AS38" s="79" t="b">
        <v>0</v>
      </c>
      <c r="AT38" s="79" t="b">
        <v>1</v>
      </c>
      <c r="AU38" s="79"/>
      <c r="AV38" s="79">
        <v>3</v>
      </c>
      <c r="AW38" s="79"/>
      <c r="AX38" s="79" t="b">
        <v>0</v>
      </c>
      <c r="AY38" s="79" t="s">
        <v>1211</v>
      </c>
      <c r="AZ38" s="83" t="str">
        <f>HYPERLINK("https://twitter.com/drsantanugupta")</f>
        <v>https://twitter.com/drsantanugupta</v>
      </c>
      <c r="BA38" s="79" t="s">
        <v>66</v>
      </c>
      <c r="BB38" s="79" t="str">
        <f>REPLACE(INDEX(GroupVertices[Group],MATCH(Vertices[[#This Row],[Vertex]],GroupVertices[Vertex],0)),1,1,"")</f>
        <v>4</v>
      </c>
      <c r="BC38" s="49" t="s">
        <v>1359</v>
      </c>
      <c r="BD38" s="49" t="s">
        <v>1359</v>
      </c>
      <c r="BE38" s="49" t="s">
        <v>444</v>
      </c>
      <c r="BF38" s="49" t="s">
        <v>444</v>
      </c>
      <c r="BG38" s="49" t="s">
        <v>449</v>
      </c>
      <c r="BH38" s="49" t="s">
        <v>449</v>
      </c>
      <c r="BI38" s="108" t="s">
        <v>1529</v>
      </c>
      <c r="BJ38" s="108" t="s">
        <v>1529</v>
      </c>
      <c r="BK38" s="108" t="s">
        <v>1639</v>
      </c>
      <c r="BL38" s="108" t="s">
        <v>1639</v>
      </c>
      <c r="BM38" s="108">
        <v>3</v>
      </c>
      <c r="BN38" s="111">
        <v>9.67741935483871</v>
      </c>
      <c r="BO38" s="108">
        <v>0</v>
      </c>
      <c r="BP38" s="111">
        <v>0</v>
      </c>
      <c r="BQ38" s="108">
        <v>0</v>
      </c>
      <c r="BR38" s="111">
        <v>0</v>
      </c>
      <c r="BS38" s="108">
        <v>28</v>
      </c>
      <c r="BT38" s="111">
        <v>90.3225806451613</v>
      </c>
      <c r="BU38" s="108">
        <v>31</v>
      </c>
      <c r="BV38" s="2"/>
      <c r="BW38" s="3"/>
      <c r="BX38" s="3"/>
      <c r="BY38" s="3"/>
      <c r="BZ38" s="3"/>
    </row>
    <row r="39" spans="1:78" ht="34.05" customHeight="1">
      <c r="A39" s="65" t="s">
        <v>258</v>
      </c>
      <c r="C39" s="66"/>
      <c r="D39" s="66" t="s">
        <v>64</v>
      </c>
      <c r="E39" s="67">
        <v>162.01613165728367</v>
      </c>
      <c r="F39" s="69"/>
      <c r="G39" s="103" t="str">
        <f>HYPERLINK("https://pbs.twimg.com/profile_images/1281114882385956864/xU5iFgNi_normal.jpg")</f>
        <v>https://pbs.twimg.com/profile_images/1281114882385956864/xU5iFgNi_normal.jpg</v>
      </c>
      <c r="H39" s="66"/>
      <c r="I39" s="70" t="s">
        <v>258</v>
      </c>
      <c r="J39" s="71"/>
      <c r="K39" s="71"/>
      <c r="L39" s="70" t="s">
        <v>1247</v>
      </c>
      <c r="M39" s="74">
        <v>1.0323097989664085</v>
      </c>
      <c r="N39" s="75">
        <v>5891.71826171875</v>
      </c>
      <c r="O39" s="75">
        <v>3954.580078125</v>
      </c>
      <c r="P39" s="76"/>
      <c r="Q39" s="77"/>
      <c r="R39" s="77"/>
      <c r="S39" s="89"/>
      <c r="T39" s="49">
        <v>0</v>
      </c>
      <c r="U39" s="49">
        <v>2</v>
      </c>
      <c r="V39" s="50">
        <v>0</v>
      </c>
      <c r="W39" s="50">
        <v>0.004464</v>
      </c>
      <c r="X39" s="50">
        <v>0.009063</v>
      </c>
      <c r="Y39" s="50">
        <v>0.640497</v>
      </c>
      <c r="Z39" s="50">
        <v>0.5</v>
      </c>
      <c r="AA39" s="50">
        <v>0</v>
      </c>
      <c r="AB39" s="72">
        <v>39</v>
      </c>
      <c r="AC39" s="72"/>
      <c r="AD39" s="73"/>
      <c r="AE39" s="79" t="s">
        <v>832</v>
      </c>
      <c r="AF39" s="87" t="s">
        <v>948</v>
      </c>
      <c r="AG39" s="79">
        <v>22</v>
      </c>
      <c r="AH39" s="79">
        <v>12</v>
      </c>
      <c r="AI39" s="79">
        <v>145</v>
      </c>
      <c r="AJ39" s="79">
        <v>118</v>
      </c>
      <c r="AK39" s="79"/>
      <c r="AL39" s="79" t="s">
        <v>1061</v>
      </c>
      <c r="AM39" s="79"/>
      <c r="AN39" s="79"/>
      <c r="AO39" s="79"/>
      <c r="AP39" s="81">
        <v>44021.27445601852</v>
      </c>
      <c r="AQ39" s="79"/>
      <c r="AR39" s="79" t="b">
        <v>1</v>
      </c>
      <c r="AS39" s="79" t="b">
        <v>0</v>
      </c>
      <c r="AT39" s="79" t="b">
        <v>0</v>
      </c>
      <c r="AU39" s="79"/>
      <c r="AV39" s="79">
        <v>0</v>
      </c>
      <c r="AW39" s="79"/>
      <c r="AX39" s="79" t="b">
        <v>0</v>
      </c>
      <c r="AY39" s="79" t="s">
        <v>1211</v>
      </c>
      <c r="AZ39" s="83" t="str">
        <f>HYPERLINK("https://twitter.com/aizadkhursheed")</f>
        <v>https://twitter.com/aizadkhursheed</v>
      </c>
      <c r="BA39" s="79" t="s">
        <v>66</v>
      </c>
      <c r="BB39" s="79" t="str">
        <f>REPLACE(INDEX(GroupVertices[Group],MATCH(Vertices[[#This Row],[Vertex]],GroupVertices[Vertex],0)),1,1,"")</f>
        <v>4</v>
      </c>
      <c r="BC39" s="49" t="s">
        <v>1359</v>
      </c>
      <c r="BD39" s="49" t="s">
        <v>1359</v>
      </c>
      <c r="BE39" s="49" t="s">
        <v>444</v>
      </c>
      <c r="BF39" s="49" t="s">
        <v>444</v>
      </c>
      <c r="BG39" s="49" t="s">
        <v>449</v>
      </c>
      <c r="BH39" s="49" t="s">
        <v>449</v>
      </c>
      <c r="BI39" s="108" t="s">
        <v>1529</v>
      </c>
      <c r="BJ39" s="108" t="s">
        <v>1529</v>
      </c>
      <c r="BK39" s="108" t="s">
        <v>1639</v>
      </c>
      <c r="BL39" s="108" t="s">
        <v>1639</v>
      </c>
      <c r="BM39" s="108">
        <v>3</v>
      </c>
      <c r="BN39" s="111">
        <v>9.67741935483871</v>
      </c>
      <c r="BO39" s="108">
        <v>0</v>
      </c>
      <c r="BP39" s="111">
        <v>0</v>
      </c>
      <c r="BQ39" s="108">
        <v>0</v>
      </c>
      <c r="BR39" s="111">
        <v>0</v>
      </c>
      <c r="BS39" s="108">
        <v>28</v>
      </c>
      <c r="BT39" s="111">
        <v>90.3225806451613</v>
      </c>
      <c r="BU39" s="108">
        <v>31</v>
      </c>
      <c r="BV39" s="2"/>
      <c r="BW39" s="3"/>
      <c r="BX39" s="3"/>
      <c r="BY39" s="3"/>
      <c r="BZ39" s="3"/>
    </row>
    <row r="40" spans="1:78" ht="34.05" customHeight="1">
      <c r="A40" s="65" t="s">
        <v>259</v>
      </c>
      <c r="C40" s="66"/>
      <c r="D40" s="66" t="s">
        <v>64</v>
      </c>
      <c r="E40" s="67">
        <v>162</v>
      </c>
      <c r="F40" s="69"/>
      <c r="G40" s="103" t="str">
        <f>HYPERLINK("https://pbs.twimg.com/profile_images/1280115758719254528/S-D3KkQh_normal.jpg")</f>
        <v>https://pbs.twimg.com/profile_images/1280115758719254528/S-D3KkQh_normal.jpg</v>
      </c>
      <c r="H40" s="66"/>
      <c r="I40" s="70" t="s">
        <v>259</v>
      </c>
      <c r="J40" s="71"/>
      <c r="K40" s="71"/>
      <c r="L40" s="70" t="s">
        <v>1248</v>
      </c>
      <c r="M40" s="74">
        <v>1</v>
      </c>
      <c r="N40" s="75">
        <v>1174.9404296875</v>
      </c>
      <c r="O40" s="75">
        <v>8407.8994140625</v>
      </c>
      <c r="P40" s="76"/>
      <c r="Q40" s="77"/>
      <c r="R40" s="77"/>
      <c r="S40" s="89"/>
      <c r="T40" s="49">
        <v>0</v>
      </c>
      <c r="U40" s="49">
        <v>2</v>
      </c>
      <c r="V40" s="50">
        <v>0</v>
      </c>
      <c r="W40" s="50">
        <v>0.004464</v>
      </c>
      <c r="X40" s="50">
        <v>0.008767</v>
      </c>
      <c r="Y40" s="50">
        <v>0.658533</v>
      </c>
      <c r="Z40" s="50">
        <v>1</v>
      </c>
      <c r="AA40" s="50">
        <v>0</v>
      </c>
      <c r="AB40" s="72">
        <v>40</v>
      </c>
      <c r="AC40" s="72"/>
      <c r="AD40" s="73"/>
      <c r="AE40" s="79" t="s">
        <v>833</v>
      </c>
      <c r="AF40" s="87" t="s">
        <v>949</v>
      </c>
      <c r="AG40" s="79">
        <v>27</v>
      </c>
      <c r="AH40" s="79">
        <v>1</v>
      </c>
      <c r="AI40" s="79">
        <v>11</v>
      </c>
      <c r="AJ40" s="79">
        <v>41</v>
      </c>
      <c r="AK40" s="79"/>
      <c r="AL40" s="79" t="s">
        <v>1062</v>
      </c>
      <c r="AM40" s="79"/>
      <c r="AN40" s="79"/>
      <c r="AO40" s="79"/>
      <c r="AP40" s="81">
        <v>44018.51773148148</v>
      </c>
      <c r="AQ40" s="79"/>
      <c r="AR40" s="79" t="b">
        <v>1</v>
      </c>
      <c r="AS40" s="79" t="b">
        <v>0</v>
      </c>
      <c r="AT40" s="79" t="b">
        <v>0</v>
      </c>
      <c r="AU40" s="79"/>
      <c r="AV40" s="79">
        <v>0</v>
      </c>
      <c r="AW40" s="79"/>
      <c r="AX40" s="79" t="b">
        <v>0</v>
      </c>
      <c r="AY40" s="79" t="s">
        <v>1211</v>
      </c>
      <c r="AZ40" s="83" t="str">
        <f>HYPERLINK("https://twitter.com/mehulch06582077")</f>
        <v>https://twitter.com/mehulch06582077</v>
      </c>
      <c r="BA40" s="79" t="s">
        <v>66</v>
      </c>
      <c r="BB40" s="79" t="str">
        <f>REPLACE(INDEX(GroupVertices[Group],MATCH(Vertices[[#This Row],[Vertex]],GroupVertices[Vertex],0)),1,1,"")</f>
        <v>1</v>
      </c>
      <c r="BC40" s="49" t="s">
        <v>1364</v>
      </c>
      <c r="BD40" s="49" t="s">
        <v>1364</v>
      </c>
      <c r="BE40" s="49" t="s">
        <v>444</v>
      </c>
      <c r="BF40" s="49" t="s">
        <v>444</v>
      </c>
      <c r="BG40" s="49" t="s">
        <v>449</v>
      </c>
      <c r="BH40" s="49" t="s">
        <v>449</v>
      </c>
      <c r="BI40" s="108" t="s">
        <v>1744</v>
      </c>
      <c r="BJ40" s="108" t="s">
        <v>1744</v>
      </c>
      <c r="BK40" s="108" t="s">
        <v>1782</v>
      </c>
      <c r="BL40" s="108" t="s">
        <v>1782</v>
      </c>
      <c r="BM40" s="108">
        <v>0</v>
      </c>
      <c r="BN40" s="111">
        <v>0</v>
      </c>
      <c r="BO40" s="108">
        <v>0</v>
      </c>
      <c r="BP40" s="111">
        <v>0</v>
      </c>
      <c r="BQ40" s="108">
        <v>0</v>
      </c>
      <c r="BR40" s="111">
        <v>0</v>
      </c>
      <c r="BS40" s="108">
        <v>32</v>
      </c>
      <c r="BT40" s="111">
        <v>100</v>
      </c>
      <c r="BU40" s="108">
        <v>32</v>
      </c>
      <c r="BV40" s="2"/>
      <c r="BW40" s="3"/>
      <c r="BX40" s="3"/>
      <c r="BY40" s="3"/>
      <c r="BZ40" s="3"/>
    </row>
    <row r="41" spans="1:78" ht="34.05" customHeight="1">
      <c r="A41" s="65" t="s">
        <v>284</v>
      </c>
      <c r="C41" s="66"/>
      <c r="D41" s="66" t="s">
        <v>64</v>
      </c>
      <c r="E41" s="67">
        <v>163.72902035794849</v>
      </c>
      <c r="F41" s="69"/>
      <c r="G41" s="103" t="str">
        <f>HYPERLINK("https://pbs.twimg.com/profile_images/1173817408219279360/szNsmc-__normal.jpg")</f>
        <v>https://pbs.twimg.com/profile_images/1173817408219279360/szNsmc-__normal.jpg</v>
      </c>
      <c r="H41" s="66"/>
      <c r="I41" s="70" t="s">
        <v>284</v>
      </c>
      <c r="J41" s="71"/>
      <c r="K41" s="71"/>
      <c r="L41" s="70" t="s">
        <v>1249</v>
      </c>
      <c r="M41" s="74">
        <v>4.463022998308684</v>
      </c>
      <c r="N41" s="75">
        <v>1003.5078125</v>
      </c>
      <c r="O41" s="75">
        <v>7731.96484375</v>
      </c>
      <c r="P41" s="76"/>
      <c r="Q41" s="77"/>
      <c r="R41" s="77"/>
      <c r="S41" s="89"/>
      <c r="T41" s="49">
        <v>4</v>
      </c>
      <c r="U41" s="49">
        <v>1</v>
      </c>
      <c r="V41" s="50">
        <v>3</v>
      </c>
      <c r="W41" s="50">
        <v>0.004505</v>
      </c>
      <c r="X41" s="50">
        <v>0.010204</v>
      </c>
      <c r="Y41" s="50">
        <v>1.235597</v>
      </c>
      <c r="Z41" s="50">
        <v>0.25</v>
      </c>
      <c r="AA41" s="50">
        <v>0.25</v>
      </c>
      <c r="AB41" s="72">
        <v>41</v>
      </c>
      <c r="AC41" s="72"/>
      <c r="AD41" s="73"/>
      <c r="AE41" s="79" t="s">
        <v>834</v>
      </c>
      <c r="AF41" s="87" t="s">
        <v>950</v>
      </c>
      <c r="AG41" s="79">
        <v>227</v>
      </c>
      <c r="AH41" s="79">
        <v>1180</v>
      </c>
      <c r="AI41" s="79">
        <v>1638</v>
      </c>
      <c r="AJ41" s="79">
        <v>749</v>
      </c>
      <c r="AK41" s="79"/>
      <c r="AL41" s="79" t="s">
        <v>1063</v>
      </c>
      <c r="AM41" s="79" t="s">
        <v>1162</v>
      </c>
      <c r="AN41" s="83" t="str">
        <f>HYPERLINK("http://t.co/pjpKJApROG")</f>
        <v>http://t.co/pjpKJApROG</v>
      </c>
      <c r="AO41" s="79"/>
      <c r="AP41" s="81">
        <v>41129.42193287037</v>
      </c>
      <c r="AQ41" s="83" t="str">
        <f>HYPERLINK("https://pbs.twimg.com/profile_banners/744897618/1582276524")</f>
        <v>https://pbs.twimg.com/profile_banners/744897618/1582276524</v>
      </c>
      <c r="AR41" s="79" t="b">
        <v>0</v>
      </c>
      <c r="AS41" s="79" t="b">
        <v>0</v>
      </c>
      <c r="AT41" s="79" t="b">
        <v>1</v>
      </c>
      <c r="AU41" s="79"/>
      <c r="AV41" s="79">
        <v>38</v>
      </c>
      <c r="AW41" s="83" t="str">
        <f>HYPERLINK("https://abs.twimg.com/images/themes/theme14/bg.gif")</f>
        <v>https://abs.twimg.com/images/themes/theme14/bg.gif</v>
      </c>
      <c r="AX41" s="79" t="b">
        <v>0</v>
      </c>
      <c r="AY41" s="79" t="s">
        <v>1211</v>
      </c>
      <c r="AZ41" s="83" t="str">
        <f>HYPERLINK("https://twitter.com/agastyasparks")</f>
        <v>https://twitter.com/agastyasparks</v>
      </c>
      <c r="BA41" s="79" t="s">
        <v>66</v>
      </c>
      <c r="BB41" s="79" t="str">
        <f>REPLACE(INDEX(GroupVertices[Group],MATCH(Vertices[[#This Row],[Vertex]],GroupVertices[Vertex],0)),1,1,"")</f>
        <v>1</v>
      </c>
      <c r="BC41" s="49" t="s">
        <v>1364</v>
      </c>
      <c r="BD41" s="49" t="s">
        <v>1364</v>
      </c>
      <c r="BE41" s="49" t="s">
        <v>444</v>
      </c>
      <c r="BF41" s="49" t="s">
        <v>444</v>
      </c>
      <c r="BG41" s="49" t="s">
        <v>449</v>
      </c>
      <c r="BH41" s="49" t="s">
        <v>449</v>
      </c>
      <c r="BI41" s="108" t="s">
        <v>1744</v>
      </c>
      <c r="BJ41" s="108" t="s">
        <v>1744</v>
      </c>
      <c r="BK41" s="108" t="s">
        <v>1782</v>
      </c>
      <c r="BL41" s="108" t="s">
        <v>1782</v>
      </c>
      <c r="BM41" s="108">
        <v>0</v>
      </c>
      <c r="BN41" s="111">
        <v>0</v>
      </c>
      <c r="BO41" s="108">
        <v>0</v>
      </c>
      <c r="BP41" s="111">
        <v>0</v>
      </c>
      <c r="BQ41" s="108">
        <v>0</v>
      </c>
      <c r="BR41" s="111">
        <v>0</v>
      </c>
      <c r="BS41" s="108">
        <v>32</v>
      </c>
      <c r="BT41" s="111">
        <v>100</v>
      </c>
      <c r="BU41" s="108">
        <v>32</v>
      </c>
      <c r="BV41" s="2"/>
      <c r="BW41" s="3"/>
      <c r="BX41" s="3"/>
      <c r="BY41" s="3"/>
      <c r="BZ41" s="3"/>
    </row>
    <row r="42" spans="1:78" ht="34.05" customHeight="1">
      <c r="A42" s="65" t="s">
        <v>260</v>
      </c>
      <c r="C42" s="66"/>
      <c r="D42" s="66" t="s">
        <v>64</v>
      </c>
      <c r="E42" s="67">
        <v>162.2449078878519</v>
      </c>
      <c r="F42" s="69"/>
      <c r="G42" s="103" t="str">
        <f>HYPERLINK("https://pbs.twimg.com/profile_images/1184549308126773248/5-2uEuVG_normal.jpg")</f>
        <v>https://pbs.twimg.com/profile_images/1184549308126773248/5-2uEuVG_normal.jpg</v>
      </c>
      <c r="H42" s="66"/>
      <c r="I42" s="70" t="s">
        <v>260</v>
      </c>
      <c r="J42" s="71"/>
      <c r="K42" s="71"/>
      <c r="L42" s="70" t="s">
        <v>1250</v>
      </c>
      <c r="M42" s="74">
        <v>1.4905214933991098</v>
      </c>
      <c r="N42" s="75">
        <v>1495.0628662109375</v>
      </c>
      <c r="O42" s="75">
        <v>8229.1669921875</v>
      </c>
      <c r="P42" s="76"/>
      <c r="Q42" s="77"/>
      <c r="R42" s="77"/>
      <c r="S42" s="89"/>
      <c r="T42" s="49">
        <v>0</v>
      </c>
      <c r="U42" s="49">
        <v>2</v>
      </c>
      <c r="V42" s="50">
        <v>0</v>
      </c>
      <c r="W42" s="50">
        <v>0.004464</v>
      </c>
      <c r="X42" s="50">
        <v>0.008767</v>
      </c>
      <c r="Y42" s="50">
        <v>0.658533</v>
      </c>
      <c r="Z42" s="50">
        <v>1</v>
      </c>
      <c r="AA42" s="50">
        <v>0</v>
      </c>
      <c r="AB42" s="72">
        <v>42</v>
      </c>
      <c r="AC42" s="72"/>
      <c r="AD42" s="73"/>
      <c r="AE42" s="79" t="s">
        <v>835</v>
      </c>
      <c r="AF42" s="87" t="s">
        <v>951</v>
      </c>
      <c r="AG42" s="79">
        <v>3278</v>
      </c>
      <c r="AH42" s="79">
        <v>168</v>
      </c>
      <c r="AI42" s="79">
        <v>12447</v>
      </c>
      <c r="AJ42" s="79">
        <v>321</v>
      </c>
      <c r="AK42" s="79"/>
      <c r="AL42" s="79" t="s">
        <v>1064</v>
      </c>
      <c r="AM42" s="79"/>
      <c r="AN42" s="79"/>
      <c r="AO42" s="79"/>
      <c r="AP42" s="81">
        <v>43754.80434027778</v>
      </c>
      <c r="AQ42" s="79"/>
      <c r="AR42" s="79" t="b">
        <v>1</v>
      </c>
      <c r="AS42" s="79" t="b">
        <v>0</v>
      </c>
      <c r="AT42" s="79" t="b">
        <v>0</v>
      </c>
      <c r="AU42" s="79"/>
      <c r="AV42" s="79">
        <v>1</v>
      </c>
      <c r="AW42" s="79"/>
      <c r="AX42" s="79" t="b">
        <v>0</v>
      </c>
      <c r="AY42" s="79" t="s">
        <v>1211</v>
      </c>
      <c r="AZ42" s="83" t="str">
        <f>HYPERLINK("https://twitter.com/mukesh49963098")</f>
        <v>https://twitter.com/mukesh49963098</v>
      </c>
      <c r="BA42" s="79" t="s">
        <v>66</v>
      </c>
      <c r="BB42" s="79" t="str">
        <f>REPLACE(INDEX(GroupVertices[Group],MATCH(Vertices[[#This Row],[Vertex]],GroupVertices[Vertex],0)),1,1,"")</f>
        <v>1</v>
      </c>
      <c r="BC42" s="49" t="s">
        <v>1364</v>
      </c>
      <c r="BD42" s="49" t="s">
        <v>1364</v>
      </c>
      <c r="BE42" s="49" t="s">
        <v>444</v>
      </c>
      <c r="BF42" s="49" t="s">
        <v>444</v>
      </c>
      <c r="BG42" s="49" t="s">
        <v>449</v>
      </c>
      <c r="BH42" s="49" t="s">
        <v>449</v>
      </c>
      <c r="BI42" s="108" t="s">
        <v>1744</v>
      </c>
      <c r="BJ42" s="108" t="s">
        <v>1744</v>
      </c>
      <c r="BK42" s="108" t="s">
        <v>1782</v>
      </c>
      <c r="BL42" s="108" t="s">
        <v>1782</v>
      </c>
      <c r="BM42" s="108">
        <v>0</v>
      </c>
      <c r="BN42" s="111">
        <v>0</v>
      </c>
      <c r="BO42" s="108">
        <v>0</v>
      </c>
      <c r="BP42" s="111">
        <v>0</v>
      </c>
      <c r="BQ42" s="108">
        <v>0</v>
      </c>
      <c r="BR42" s="111">
        <v>0</v>
      </c>
      <c r="BS42" s="108">
        <v>32</v>
      </c>
      <c r="BT42" s="111">
        <v>100</v>
      </c>
      <c r="BU42" s="108">
        <v>32</v>
      </c>
      <c r="BV42" s="2"/>
      <c r="BW42" s="3"/>
      <c r="BX42" s="3"/>
      <c r="BY42" s="3"/>
      <c r="BZ42" s="3"/>
    </row>
    <row r="43" spans="1:78" ht="34.05" customHeight="1">
      <c r="A43" s="65" t="s">
        <v>261</v>
      </c>
      <c r="C43" s="66"/>
      <c r="D43" s="66" t="s">
        <v>64</v>
      </c>
      <c r="E43" s="67">
        <v>162.04839497185097</v>
      </c>
      <c r="F43" s="69"/>
      <c r="G43" s="103" t="str">
        <f>HYPERLINK("https://pbs.twimg.com/profile_images/1321261516402745344/1tGrEXZC_normal.jpg")</f>
        <v>https://pbs.twimg.com/profile_images/1321261516402745344/1tGrEXZC_normal.jpg</v>
      </c>
      <c r="H43" s="66"/>
      <c r="I43" s="70" t="s">
        <v>261</v>
      </c>
      <c r="J43" s="71"/>
      <c r="K43" s="71"/>
      <c r="L43" s="70" t="s">
        <v>1251</v>
      </c>
      <c r="M43" s="74">
        <v>1.0969293968992253</v>
      </c>
      <c r="N43" s="75">
        <v>5891.71826171875</v>
      </c>
      <c r="O43" s="75">
        <v>1406.3717041015625</v>
      </c>
      <c r="P43" s="76"/>
      <c r="Q43" s="77"/>
      <c r="R43" s="77"/>
      <c r="S43" s="89"/>
      <c r="T43" s="49">
        <v>0</v>
      </c>
      <c r="U43" s="49">
        <v>3</v>
      </c>
      <c r="V43" s="50">
        <v>0.5</v>
      </c>
      <c r="W43" s="50">
        <v>0.004484</v>
      </c>
      <c r="X43" s="50">
        <v>0.009724</v>
      </c>
      <c r="Y43" s="50">
        <v>0.883373</v>
      </c>
      <c r="Z43" s="50">
        <v>0.3333333333333333</v>
      </c>
      <c r="AA43" s="50">
        <v>0</v>
      </c>
      <c r="AB43" s="72">
        <v>43</v>
      </c>
      <c r="AC43" s="72"/>
      <c r="AD43" s="73"/>
      <c r="AE43" s="79" t="s">
        <v>836</v>
      </c>
      <c r="AF43" s="87" t="s">
        <v>952</v>
      </c>
      <c r="AG43" s="79">
        <v>217</v>
      </c>
      <c r="AH43" s="79">
        <v>34</v>
      </c>
      <c r="AI43" s="79">
        <v>229</v>
      </c>
      <c r="AJ43" s="79">
        <v>1067</v>
      </c>
      <c r="AK43" s="79"/>
      <c r="AL43" s="79" t="s">
        <v>1065</v>
      </c>
      <c r="AM43" s="79" t="s">
        <v>1163</v>
      </c>
      <c r="AN43" s="79"/>
      <c r="AO43" s="79"/>
      <c r="AP43" s="81">
        <v>43834.78603009259</v>
      </c>
      <c r="AQ43" s="79"/>
      <c r="AR43" s="79" t="b">
        <v>1</v>
      </c>
      <c r="AS43" s="79" t="b">
        <v>0</v>
      </c>
      <c r="AT43" s="79" t="b">
        <v>0</v>
      </c>
      <c r="AU43" s="79"/>
      <c r="AV43" s="79">
        <v>0</v>
      </c>
      <c r="AW43" s="79"/>
      <c r="AX43" s="79" t="b">
        <v>0</v>
      </c>
      <c r="AY43" s="79" t="s">
        <v>1211</v>
      </c>
      <c r="AZ43" s="83" t="str">
        <f>HYPERLINK("https://twitter.com/sanatan96735902")</f>
        <v>https://twitter.com/sanatan96735902</v>
      </c>
      <c r="BA43" s="79" t="s">
        <v>66</v>
      </c>
      <c r="BB43" s="79" t="str">
        <f>REPLACE(INDEX(GroupVertices[Group],MATCH(Vertices[[#This Row],[Vertex]],GroupVertices[Vertex],0)),1,1,"")</f>
        <v>6</v>
      </c>
      <c r="BC43" s="49" t="s">
        <v>1367</v>
      </c>
      <c r="BD43" s="49" t="s">
        <v>1367</v>
      </c>
      <c r="BE43" s="49" t="s">
        <v>444</v>
      </c>
      <c r="BF43" s="49" t="s">
        <v>444</v>
      </c>
      <c r="BG43" s="49" t="s">
        <v>451</v>
      </c>
      <c r="BH43" s="49" t="s">
        <v>451</v>
      </c>
      <c r="BI43" s="108" t="s">
        <v>1531</v>
      </c>
      <c r="BJ43" s="108" t="s">
        <v>1531</v>
      </c>
      <c r="BK43" s="108" t="s">
        <v>1641</v>
      </c>
      <c r="BL43" s="108" t="s">
        <v>1641</v>
      </c>
      <c r="BM43" s="108">
        <v>1</v>
      </c>
      <c r="BN43" s="111">
        <v>2.7777777777777777</v>
      </c>
      <c r="BO43" s="108">
        <v>0</v>
      </c>
      <c r="BP43" s="111">
        <v>0</v>
      </c>
      <c r="BQ43" s="108">
        <v>0</v>
      </c>
      <c r="BR43" s="111">
        <v>0</v>
      </c>
      <c r="BS43" s="108">
        <v>35</v>
      </c>
      <c r="BT43" s="111">
        <v>97.22222222222223</v>
      </c>
      <c r="BU43" s="108">
        <v>36</v>
      </c>
      <c r="BV43" s="2"/>
      <c r="BW43" s="3"/>
      <c r="BX43" s="3"/>
      <c r="BY43" s="3"/>
      <c r="BZ43" s="3"/>
    </row>
    <row r="44" spans="1:78" ht="34.05" customHeight="1">
      <c r="A44" s="65" t="s">
        <v>262</v>
      </c>
      <c r="C44" s="66"/>
      <c r="D44" s="66" t="s">
        <v>64</v>
      </c>
      <c r="E44" s="67">
        <v>162.16424960143362</v>
      </c>
      <c r="F44" s="69"/>
      <c r="G44" s="103" t="str">
        <f>HYPERLINK("https://pbs.twimg.com/profile_images/1342574074162253826/qy79Liux_normal.jpg")</f>
        <v>https://pbs.twimg.com/profile_images/1342574074162253826/qy79Liux_normal.jpg</v>
      </c>
      <c r="H44" s="66"/>
      <c r="I44" s="70" t="s">
        <v>262</v>
      </c>
      <c r="J44" s="71"/>
      <c r="K44" s="71"/>
      <c r="L44" s="70" t="s">
        <v>1252</v>
      </c>
      <c r="M44" s="74">
        <v>1.3289724985670675</v>
      </c>
      <c r="N44" s="75">
        <v>7060.83251953125</v>
      </c>
      <c r="O44" s="75">
        <v>1756.212158203125</v>
      </c>
      <c r="P44" s="76"/>
      <c r="Q44" s="77"/>
      <c r="R44" s="77"/>
      <c r="S44" s="89"/>
      <c r="T44" s="49">
        <v>0</v>
      </c>
      <c r="U44" s="49">
        <v>3</v>
      </c>
      <c r="V44" s="50">
        <v>0</v>
      </c>
      <c r="W44" s="50">
        <v>0.004484</v>
      </c>
      <c r="X44" s="50">
        <v>0.009737</v>
      </c>
      <c r="Y44" s="50">
        <v>0.878252</v>
      </c>
      <c r="Z44" s="50">
        <v>0.6666666666666666</v>
      </c>
      <c r="AA44" s="50">
        <v>0</v>
      </c>
      <c r="AB44" s="72">
        <v>44</v>
      </c>
      <c r="AC44" s="72"/>
      <c r="AD44" s="73"/>
      <c r="AE44" s="79" t="s">
        <v>837</v>
      </c>
      <c r="AF44" s="87" t="s">
        <v>953</v>
      </c>
      <c r="AG44" s="79">
        <v>207</v>
      </c>
      <c r="AH44" s="79">
        <v>113</v>
      </c>
      <c r="AI44" s="79">
        <v>273</v>
      </c>
      <c r="AJ44" s="79">
        <v>1004</v>
      </c>
      <c r="AK44" s="79"/>
      <c r="AL44" s="79" t="s">
        <v>1066</v>
      </c>
      <c r="AM44" s="79"/>
      <c r="AN44" s="79"/>
      <c r="AO44" s="79"/>
      <c r="AP44" s="81">
        <v>43786.728472222225</v>
      </c>
      <c r="AQ44" s="83" t="str">
        <f>HYPERLINK("https://pbs.twimg.com/profile_banners/1196117986874146817/1599815132")</f>
        <v>https://pbs.twimg.com/profile_banners/1196117986874146817/1599815132</v>
      </c>
      <c r="AR44" s="79" t="b">
        <v>1</v>
      </c>
      <c r="AS44" s="79" t="b">
        <v>0</v>
      </c>
      <c r="AT44" s="79" t="b">
        <v>0</v>
      </c>
      <c r="AU44" s="79"/>
      <c r="AV44" s="79">
        <v>4</v>
      </c>
      <c r="AW44" s="79"/>
      <c r="AX44" s="79" t="b">
        <v>0</v>
      </c>
      <c r="AY44" s="79" t="s">
        <v>1211</v>
      </c>
      <c r="AZ44" s="83" t="str">
        <f>HYPERLINK("https://twitter.com/afreen50079461")</f>
        <v>https://twitter.com/afreen50079461</v>
      </c>
      <c r="BA44" s="79" t="s">
        <v>66</v>
      </c>
      <c r="BB44" s="79" t="str">
        <f>REPLACE(INDEX(GroupVertices[Group],MATCH(Vertices[[#This Row],[Vertex]],GroupVertices[Vertex],0)),1,1,"")</f>
        <v>9</v>
      </c>
      <c r="BC44" s="49" t="s">
        <v>1363</v>
      </c>
      <c r="BD44" s="49" t="s">
        <v>1363</v>
      </c>
      <c r="BE44" s="49" t="s">
        <v>444</v>
      </c>
      <c r="BF44" s="49" t="s">
        <v>444</v>
      </c>
      <c r="BG44" s="49" t="s">
        <v>449</v>
      </c>
      <c r="BH44" s="49" t="s">
        <v>449</v>
      </c>
      <c r="BI44" s="108" t="s">
        <v>1745</v>
      </c>
      <c r="BJ44" s="108" t="s">
        <v>1745</v>
      </c>
      <c r="BK44" s="108" t="s">
        <v>1644</v>
      </c>
      <c r="BL44" s="108" t="s">
        <v>1644</v>
      </c>
      <c r="BM44" s="108">
        <v>2</v>
      </c>
      <c r="BN44" s="111">
        <v>5.882352941176471</v>
      </c>
      <c r="BO44" s="108">
        <v>0</v>
      </c>
      <c r="BP44" s="111">
        <v>0</v>
      </c>
      <c r="BQ44" s="108">
        <v>0</v>
      </c>
      <c r="BR44" s="111">
        <v>0</v>
      </c>
      <c r="BS44" s="108">
        <v>32</v>
      </c>
      <c r="BT44" s="111">
        <v>94.11764705882354</v>
      </c>
      <c r="BU44" s="108">
        <v>34</v>
      </c>
      <c r="BV44" s="2"/>
      <c r="BW44" s="3"/>
      <c r="BX44" s="3"/>
      <c r="BY44" s="3"/>
      <c r="BZ44" s="3"/>
    </row>
    <row r="45" spans="1:78" ht="34.05" customHeight="1">
      <c r="A45" s="65" t="s">
        <v>310</v>
      </c>
      <c r="C45" s="66"/>
      <c r="D45" s="66" t="s">
        <v>64</v>
      </c>
      <c r="E45" s="67">
        <v>165.40377968685195</v>
      </c>
      <c r="F45" s="69"/>
      <c r="G45" s="103" t="str">
        <f>HYPERLINK("https://pbs.twimg.com/profile_images/1173615890715369472/h9uuIMHQ_normal.jpg")</f>
        <v>https://pbs.twimg.com/profile_images/1173615890715369472/h9uuIMHQ_normal.jpg</v>
      </c>
      <c r="H45" s="66"/>
      <c r="I45" s="70" t="s">
        <v>310</v>
      </c>
      <c r="J45" s="71"/>
      <c r="K45" s="71"/>
      <c r="L45" s="70" t="s">
        <v>1253</v>
      </c>
      <c r="M45" s="74">
        <v>7.817367581912177</v>
      </c>
      <c r="N45" s="75">
        <v>6714.65087890625</v>
      </c>
      <c r="O45" s="75">
        <v>777.1243286132812</v>
      </c>
      <c r="P45" s="76"/>
      <c r="Q45" s="77"/>
      <c r="R45" s="77"/>
      <c r="S45" s="89"/>
      <c r="T45" s="49">
        <v>4</v>
      </c>
      <c r="U45" s="49">
        <v>0</v>
      </c>
      <c r="V45" s="50">
        <v>0.666667</v>
      </c>
      <c r="W45" s="50">
        <v>0.004505</v>
      </c>
      <c r="X45" s="50">
        <v>0.010535</v>
      </c>
      <c r="Y45" s="50">
        <v>1.134786</v>
      </c>
      <c r="Z45" s="50">
        <v>0.5</v>
      </c>
      <c r="AA45" s="50">
        <v>0</v>
      </c>
      <c r="AB45" s="72">
        <v>45</v>
      </c>
      <c r="AC45" s="72"/>
      <c r="AD45" s="73"/>
      <c r="AE45" s="79" t="s">
        <v>838</v>
      </c>
      <c r="AF45" s="87" t="s">
        <v>954</v>
      </c>
      <c r="AG45" s="79">
        <v>1466</v>
      </c>
      <c r="AH45" s="79">
        <v>2322</v>
      </c>
      <c r="AI45" s="79">
        <v>469</v>
      </c>
      <c r="AJ45" s="79">
        <v>1913</v>
      </c>
      <c r="AK45" s="79"/>
      <c r="AL45" s="79" t="s">
        <v>1067</v>
      </c>
      <c r="AM45" s="79" t="s">
        <v>1164</v>
      </c>
      <c r="AN45" s="83" t="str">
        <f>HYPERLINK("https://t.co/5Zwt0O8820")</f>
        <v>https://t.co/5Zwt0O8820</v>
      </c>
      <c r="AO45" s="79"/>
      <c r="AP45" s="81">
        <v>43590.554131944446</v>
      </c>
      <c r="AQ45" s="83" t="str">
        <f>HYPERLINK("https://pbs.twimg.com/profile_banners/1125026847631335425/1568648330")</f>
        <v>https://pbs.twimg.com/profile_banners/1125026847631335425/1568648330</v>
      </c>
      <c r="AR45" s="79" t="b">
        <v>1</v>
      </c>
      <c r="AS45" s="79" t="b">
        <v>0</v>
      </c>
      <c r="AT45" s="79" t="b">
        <v>0</v>
      </c>
      <c r="AU45" s="79"/>
      <c r="AV45" s="79">
        <v>35</v>
      </c>
      <c r="AW45" s="79"/>
      <c r="AX45" s="79" t="b">
        <v>0</v>
      </c>
      <c r="AY45" s="79" t="s">
        <v>1211</v>
      </c>
      <c r="AZ45" s="83" t="str">
        <f>HYPERLINK("https://twitter.com/takeactionedu")</f>
        <v>https://twitter.com/takeactionedu</v>
      </c>
      <c r="BA45" s="79" t="s">
        <v>65</v>
      </c>
      <c r="BB45" s="79" t="str">
        <f>REPLACE(INDEX(GroupVertices[Group],MATCH(Vertices[[#This Row],[Vertex]],GroupVertices[Vertex],0)),1,1,"")</f>
        <v>9</v>
      </c>
      <c r="BC45" s="49"/>
      <c r="BD45" s="49"/>
      <c r="BE45" s="49"/>
      <c r="BF45" s="49"/>
      <c r="BG45" s="49"/>
      <c r="BH45" s="49"/>
      <c r="BI45" s="49"/>
      <c r="BJ45" s="49"/>
      <c r="BK45" s="49"/>
      <c r="BL45" s="49"/>
      <c r="BM45" s="49"/>
      <c r="BN45" s="50"/>
      <c r="BO45" s="49"/>
      <c r="BP45" s="50"/>
      <c r="BQ45" s="49"/>
      <c r="BR45" s="50"/>
      <c r="BS45" s="49"/>
      <c r="BT45" s="50"/>
      <c r="BU45" s="49"/>
      <c r="BV45" s="2"/>
      <c r="BW45" s="3"/>
      <c r="BX45" s="3"/>
      <c r="BY45" s="3"/>
      <c r="BZ45" s="3"/>
    </row>
    <row r="46" spans="1:78" ht="34.05" customHeight="1">
      <c r="A46" s="65" t="s">
        <v>275</v>
      </c>
      <c r="C46" s="66"/>
      <c r="D46" s="66" t="s">
        <v>64</v>
      </c>
      <c r="E46" s="67">
        <v>187.64640205242</v>
      </c>
      <c r="F46" s="69"/>
      <c r="G46" s="103" t="str">
        <f>HYPERLINK("https://pbs.twimg.com/profile_images/1207205322798108672/d6juf_Au_normal.jpg")</f>
        <v>https://pbs.twimg.com/profile_images/1207205322798108672/d6juf_Au_normal.jpg</v>
      </c>
      <c r="H46" s="66"/>
      <c r="I46" s="70" t="s">
        <v>275</v>
      </c>
      <c r="J46" s="71"/>
      <c r="K46" s="71"/>
      <c r="L46" s="70" t="s">
        <v>1254</v>
      </c>
      <c r="M46" s="74">
        <v>52.366705847686404</v>
      </c>
      <c r="N46" s="75">
        <v>6699.39208984375</v>
      </c>
      <c r="O46" s="75">
        <v>2590.41455078125</v>
      </c>
      <c r="P46" s="76"/>
      <c r="Q46" s="77"/>
      <c r="R46" s="77"/>
      <c r="S46" s="89"/>
      <c r="T46" s="49">
        <v>3</v>
      </c>
      <c r="U46" s="49">
        <v>2</v>
      </c>
      <c r="V46" s="50">
        <v>0.666667</v>
      </c>
      <c r="W46" s="50">
        <v>0.004505</v>
      </c>
      <c r="X46" s="50">
        <v>0.010535</v>
      </c>
      <c r="Y46" s="50">
        <v>1.134786</v>
      </c>
      <c r="Z46" s="50">
        <v>0.4166666666666667</v>
      </c>
      <c r="AA46" s="50">
        <v>0.25</v>
      </c>
      <c r="AB46" s="72">
        <v>46</v>
      </c>
      <c r="AC46" s="72"/>
      <c r="AD46" s="73"/>
      <c r="AE46" s="79" t="s">
        <v>839</v>
      </c>
      <c r="AF46" s="87" t="s">
        <v>955</v>
      </c>
      <c r="AG46" s="79">
        <v>14869</v>
      </c>
      <c r="AH46" s="79">
        <v>17489</v>
      </c>
      <c r="AI46" s="79">
        <v>11457</v>
      </c>
      <c r="AJ46" s="79">
        <v>38238</v>
      </c>
      <c r="AK46" s="79"/>
      <c r="AL46" s="79" t="s">
        <v>1068</v>
      </c>
      <c r="AM46" s="79" t="s">
        <v>1165</v>
      </c>
      <c r="AN46" s="83" t="str">
        <f>HYPERLINK("https://t.co/CMArT0rZSU")</f>
        <v>https://t.co/CMArT0rZSU</v>
      </c>
      <c r="AO46" s="79"/>
      <c r="AP46" s="81">
        <v>40327.744780092595</v>
      </c>
      <c r="AQ46" s="83" t="str">
        <f>HYPERLINK("https://pbs.twimg.com/profile_banners/149593681/1582900432")</f>
        <v>https://pbs.twimg.com/profile_banners/149593681/1582900432</v>
      </c>
      <c r="AR46" s="79" t="b">
        <v>0</v>
      </c>
      <c r="AS46" s="79" t="b">
        <v>0</v>
      </c>
      <c r="AT46" s="79" t="b">
        <v>1</v>
      </c>
      <c r="AU46" s="79"/>
      <c r="AV46" s="79">
        <v>444</v>
      </c>
      <c r="AW46" s="83" t="str">
        <f>HYPERLINK("https://abs.twimg.com/images/themes/theme1/bg.png")</f>
        <v>https://abs.twimg.com/images/themes/theme1/bg.png</v>
      </c>
      <c r="AX46" s="79" t="b">
        <v>0</v>
      </c>
      <c r="AY46" s="79" t="s">
        <v>1211</v>
      </c>
      <c r="AZ46" s="83" t="str">
        <f>HYPERLINK("https://twitter.com/zelfstudie")</f>
        <v>https://twitter.com/zelfstudie</v>
      </c>
      <c r="BA46" s="79" t="s">
        <v>66</v>
      </c>
      <c r="BB46" s="79" t="str">
        <f>REPLACE(INDEX(GroupVertices[Group],MATCH(Vertices[[#This Row],[Vertex]],GroupVertices[Vertex],0)),1,1,"")</f>
        <v>9</v>
      </c>
      <c r="BC46" s="49" t="s">
        <v>1363</v>
      </c>
      <c r="BD46" s="49" t="s">
        <v>1363</v>
      </c>
      <c r="BE46" s="49" t="s">
        <v>444</v>
      </c>
      <c r="BF46" s="49" t="s">
        <v>444</v>
      </c>
      <c r="BG46" s="49" t="s">
        <v>449</v>
      </c>
      <c r="BH46" s="49" t="s">
        <v>449</v>
      </c>
      <c r="BI46" s="108" t="s">
        <v>1745</v>
      </c>
      <c r="BJ46" s="108" t="s">
        <v>1745</v>
      </c>
      <c r="BK46" s="108" t="s">
        <v>1644</v>
      </c>
      <c r="BL46" s="108" t="s">
        <v>1644</v>
      </c>
      <c r="BM46" s="108">
        <v>2</v>
      </c>
      <c r="BN46" s="111">
        <v>5.882352941176471</v>
      </c>
      <c r="BO46" s="108">
        <v>0</v>
      </c>
      <c r="BP46" s="111">
        <v>0</v>
      </c>
      <c r="BQ46" s="108">
        <v>0</v>
      </c>
      <c r="BR46" s="111">
        <v>0</v>
      </c>
      <c r="BS46" s="108">
        <v>32</v>
      </c>
      <c r="BT46" s="111">
        <v>94.11764705882354</v>
      </c>
      <c r="BU46" s="108">
        <v>34</v>
      </c>
      <c r="BV46" s="2"/>
      <c r="BW46" s="3"/>
      <c r="BX46" s="3"/>
      <c r="BY46" s="3"/>
      <c r="BZ46" s="3"/>
    </row>
    <row r="47" spans="1:78" ht="34.05" customHeight="1">
      <c r="A47" s="65" t="s">
        <v>263</v>
      </c>
      <c r="C47" s="66"/>
      <c r="D47" s="66" t="s">
        <v>64</v>
      </c>
      <c r="E47" s="67">
        <v>163.0470912091393</v>
      </c>
      <c r="F47" s="69"/>
      <c r="G47" s="103" t="str">
        <f>HYPERLINK("https://pbs.twimg.com/profile_images/378800000811216783/e1133ea23a4585f7df6b911adb9e079b_normal.jpeg")</f>
        <v>https://pbs.twimg.com/profile_images/378800000811216783/e1133ea23a4585f7df6b911adb9e079b_normal.jpeg</v>
      </c>
      <c r="H47" s="66"/>
      <c r="I47" s="70" t="s">
        <v>263</v>
      </c>
      <c r="J47" s="71"/>
      <c r="K47" s="71"/>
      <c r="L47" s="70" t="s">
        <v>1255</v>
      </c>
      <c r="M47" s="74">
        <v>3.0971996783650555</v>
      </c>
      <c r="N47" s="75">
        <v>2501.251953125</v>
      </c>
      <c r="O47" s="75">
        <v>9221.8759765625</v>
      </c>
      <c r="P47" s="76"/>
      <c r="Q47" s="77"/>
      <c r="R47" s="77"/>
      <c r="S47" s="89"/>
      <c r="T47" s="49">
        <v>0</v>
      </c>
      <c r="U47" s="49">
        <v>2</v>
      </c>
      <c r="V47" s="50">
        <v>0</v>
      </c>
      <c r="W47" s="50">
        <v>0.004464</v>
      </c>
      <c r="X47" s="50">
        <v>0.008626</v>
      </c>
      <c r="Y47" s="50">
        <v>0.68864</v>
      </c>
      <c r="Z47" s="50">
        <v>1</v>
      </c>
      <c r="AA47" s="50">
        <v>0</v>
      </c>
      <c r="AB47" s="72">
        <v>47</v>
      </c>
      <c r="AC47" s="72"/>
      <c r="AD47" s="73"/>
      <c r="AE47" s="79" t="s">
        <v>840</v>
      </c>
      <c r="AF47" s="87" t="s">
        <v>956</v>
      </c>
      <c r="AG47" s="79">
        <v>68</v>
      </c>
      <c r="AH47" s="79">
        <v>715</v>
      </c>
      <c r="AI47" s="79">
        <v>1683</v>
      </c>
      <c r="AJ47" s="79">
        <v>784</v>
      </c>
      <c r="AK47" s="79"/>
      <c r="AL47" s="79" t="s">
        <v>1069</v>
      </c>
      <c r="AM47" s="79" t="s">
        <v>1164</v>
      </c>
      <c r="AN47" s="83" t="str">
        <f>HYPERLINK("https://t.co/PlIWyZoSUY")</f>
        <v>https://t.co/PlIWyZoSUY</v>
      </c>
      <c r="AO47" s="79"/>
      <c r="AP47" s="81">
        <v>39884.04488425926</v>
      </c>
      <c r="AQ47" s="83" t="str">
        <f>HYPERLINK("https://pbs.twimg.com/profile_banners/23865930/1386165300")</f>
        <v>https://pbs.twimg.com/profile_banners/23865930/1386165300</v>
      </c>
      <c r="AR47" s="79" t="b">
        <v>0</v>
      </c>
      <c r="AS47" s="79" t="b">
        <v>0</v>
      </c>
      <c r="AT47" s="79" t="b">
        <v>1</v>
      </c>
      <c r="AU47" s="79"/>
      <c r="AV47" s="79">
        <v>32</v>
      </c>
      <c r="AW47" s="83" t="str">
        <f>HYPERLINK("https://abs.twimg.com/images/themes/theme9/bg.gif")</f>
        <v>https://abs.twimg.com/images/themes/theme9/bg.gif</v>
      </c>
      <c r="AX47" s="79" t="b">
        <v>0</v>
      </c>
      <c r="AY47" s="79" t="s">
        <v>1211</v>
      </c>
      <c r="AZ47" s="83" t="str">
        <f>HYPERLINK("https://twitter.com/educatelanka")</f>
        <v>https://twitter.com/educatelanka</v>
      </c>
      <c r="BA47" s="79" t="s">
        <v>66</v>
      </c>
      <c r="BB47" s="79" t="str">
        <f>REPLACE(INDEX(GroupVertices[Group],MATCH(Vertices[[#This Row],[Vertex]],GroupVertices[Vertex],0)),1,1,"")</f>
        <v>1</v>
      </c>
      <c r="BC47" s="49" t="s">
        <v>1371</v>
      </c>
      <c r="BD47" s="49" t="s">
        <v>1371</v>
      </c>
      <c r="BE47" s="49" t="s">
        <v>444</v>
      </c>
      <c r="BF47" s="49" t="s">
        <v>444</v>
      </c>
      <c r="BG47" s="49" t="s">
        <v>450</v>
      </c>
      <c r="BH47" s="49" t="s">
        <v>450</v>
      </c>
      <c r="BI47" s="108" t="s">
        <v>1746</v>
      </c>
      <c r="BJ47" s="108" t="s">
        <v>1746</v>
      </c>
      <c r="BK47" s="108" t="s">
        <v>1783</v>
      </c>
      <c r="BL47" s="108" t="s">
        <v>1783</v>
      </c>
      <c r="BM47" s="108">
        <v>1</v>
      </c>
      <c r="BN47" s="111">
        <v>3.5714285714285716</v>
      </c>
      <c r="BO47" s="108">
        <v>0</v>
      </c>
      <c r="BP47" s="111">
        <v>0</v>
      </c>
      <c r="BQ47" s="108">
        <v>0</v>
      </c>
      <c r="BR47" s="111">
        <v>0</v>
      </c>
      <c r="BS47" s="108">
        <v>27</v>
      </c>
      <c r="BT47" s="111">
        <v>96.42857142857143</v>
      </c>
      <c r="BU47" s="108">
        <v>28</v>
      </c>
      <c r="BV47" s="2"/>
      <c r="BW47" s="3"/>
      <c r="BX47" s="3"/>
      <c r="BY47" s="3"/>
      <c r="BZ47" s="3"/>
    </row>
    <row r="48" spans="1:78" ht="34.05" customHeight="1">
      <c r="A48" s="65" t="s">
        <v>288</v>
      </c>
      <c r="C48" s="66"/>
      <c r="D48" s="66" t="s">
        <v>64</v>
      </c>
      <c r="E48" s="67">
        <v>163.94899750272566</v>
      </c>
      <c r="F48" s="69"/>
      <c r="G48" s="103" t="str">
        <f>HYPERLINK("https://pbs.twimg.com/profile_images/458768758408880128/QHeF7Hbv_normal.jpeg")</f>
        <v>https://pbs.twimg.com/profile_images/458768758408880128/QHeF7Hbv_normal.jpeg</v>
      </c>
      <c r="H48" s="66"/>
      <c r="I48" s="70" t="s">
        <v>288</v>
      </c>
      <c r="J48" s="71"/>
      <c r="K48" s="71"/>
      <c r="L48" s="70" t="s">
        <v>1256</v>
      </c>
      <c r="M48" s="74">
        <v>4.9036111660324355</v>
      </c>
      <c r="N48" s="75">
        <v>2155.21533203125</v>
      </c>
      <c r="O48" s="75">
        <v>9104</v>
      </c>
      <c r="P48" s="76"/>
      <c r="Q48" s="77"/>
      <c r="R48" s="77"/>
      <c r="S48" s="89"/>
      <c r="T48" s="49">
        <v>2</v>
      </c>
      <c r="U48" s="49">
        <v>1</v>
      </c>
      <c r="V48" s="50">
        <v>0</v>
      </c>
      <c r="W48" s="50">
        <v>0.004464</v>
      </c>
      <c r="X48" s="50">
        <v>0.008626</v>
      </c>
      <c r="Y48" s="50">
        <v>0.68864</v>
      </c>
      <c r="Z48" s="50">
        <v>0.5</v>
      </c>
      <c r="AA48" s="50">
        <v>0.5</v>
      </c>
      <c r="AB48" s="72">
        <v>48</v>
      </c>
      <c r="AC48" s="72"/>
      <c r="AD48" s="73"/>
      <c r="AE48" s="79" t="s">
        <v>841</v>
      </c>
      <c r="AF48" s="87" t="s">
        <v>957</v>
      </c>
      <c r="AG48" s="79">
        <v>340</v>
      </c>
      <c r="AH48" s="79">
        <v>1330</v>
      </c>
      <c r="AI48" s="79">
        <v>2938</v>
      </c>
      <c r="AJ48" s="79">
        <v>4478</v>
      </c>
      <c r="AK48" s="79"/>
      <c r="AL48" s="79" t="s">
        <v>1070</v>
      </c>
      <c r="AM48" s="79" t="s">
        <v>1166</v>
      </c>
      <c r="AN48" s="83" t="str">
        <f>HYPERLINK("https://t.co/beECuDlPVI")</f>
        <v>https://t.co/beECuDlPVI</v>
      </c>
      <c r="AO48" s="79"/>
      <c r="AP48" s="81">
        <v>40522.3003125</v>
      </c>
      <c r="AQ48" s="83" t="str">
        <f>HYPERLINK("https://pbs.twimg.com/profile_banners/224936174/1531540114")</f>
        <v>https://pbs.twimg.com/profile_banners/224936174/1531540114</v>
      </c>
      <c r="AR48" s="79" t="b">
        <v>0</v>
      </c>
      <c r="AS48" s="79" t="b">
        <v>0</v>
      </c>
      <c r="AT48" s="79" t="b">
        <v>1</v>
      </c>
      <c r="AU48" s="79"/>
      <c r="AV48" s="79">
        <v>59</v>
      </c>
      <c r="AW48" s="83" t="str">
        <f>HYPERLINK("https://abs.twimg.com/images/themes/theme9/bg.gif")</f>
        <v>https://abs.twimg.com/images/themes/theme9/bg.gif</v>
      </c>
      <c r="AX48" s="79" t="b">
        <v>0</v>
      </c>
      <c r="AY48" s="79" t="s">
        <v>1211</v>
      </c>
      <c r="AZ48" s="83" t="str">
        <f>HYPERLINK("https://twitter.com/manjula_d")</f>
        <v>https://twitter.com/manjula_d</v>
      </c>
      <c r="BA48" s="79" t="s">
        <v>66</v>
      </c>
      <c r="BB48" s="79" t="str">
        <f>REPLACE(INDEX(GroupVertices[Group],MATCH(Vertices[[#This Row],[Vertex]],GroupVertices[Vertex],0)),1,1,"")</f>
        <v>1</v>
      </c>
      <c r="BC48" s="49" t="s">
        <v>1371</v>
      </c>
      <c r="BD48" s="49" t="s">
        <v>1371</v>
      </c>
      <c r="BE48" s="49" t="s">
        <v>444</v>
      </c>
      <c r="BF48" s="49" t="s">
        <v>444</v>
      </c>
      <c r="BG48" s="49" t="s">
        <v>450</v>
      </c>
      <c r="BH48" s="49" t="s">
        <v>450</v>
      </c>
      <c r="BI48" s="108" t="s">
        <v>1746</v>
      </c>
      <c r="BJ48" s="108" t="s">
        <v>1746</v>
      </c>
      <c r="BK48" s="108" t="s">
        <v>1783</v>
      </c>
      <c r="BL48" s="108" t="s">
        <v>1783</v>
      </c>
      <c r="BM48" s="108">
        <v>1</v>
      </c>
      <c r="BN48" s="111">
        <v>3.5714285714285716</v>
      </c>
      <c r="BO48" s="108">
        <v>0</v>
      </c>
      <c r="BP48" s="111">
        <v>0</v>
      </c>
      <c r="BQ48" s="108">
        <v>0</v>
      </c>
      <c r="BR48" s="111">
        <v>0</v>
      </c>
      <c r="BS48" s="108">
        <v>27</v>
      </c>
      <c r="BT48" s="111">
        <v>96.42857142857143</v>
      </c>
      <c r="BU48" s="108">
        <v>28</v>
      </c>
      <c r="BV48" s="2"/>
      <c r="BW48" s="3"/>
      <c r="BX48" s="3"/>
      <c r="BY48" s="3"/>
      <c r="BZ48" s="3"/>
    </row>
    <row r="49" spans="1:78" ht="34.05" customHeight="1">
      <c r="A49" s="65" t="s">
        <v>264</v>
      </c>
      <c r="C49" s="66"/>
      <c r="D49" s="66" t="s">
        <v>64</v>
      </c>
      <c r="E49" s="67">
        <v>169.5496156087522</v>
      </c>
      <c r="F49" s="69"/>
      <c r="G49" s="103" t="str">
        <f>HYPERLINK("https://pbs.twimg.com/profile_images/912616865574219776/s0G4kIoM_normal.jpg")</f>
        <v>https://pbs.twimg.com/profile_images/912616865574219776/s0G4kIoM_normal.jpg</v>
      </c>
      <c r="H49" s="66"/>
      <c r="I49" s="70" t="s">
        <v>264</v>
      </c>
      <c r="J49" s="71"/>
      <c r="K49" s="71"/>
      <c r="L49" s="70" t="s">
        <v>1257</v>
      </c>
      <c r="M49" s="74">
        <v>16.12098591627914</v>
      </c>
      <c r="N49" s="75">
        <v>7718.45849609375</v>
      </c>
      <c r="O49" s="75">
        <v>4565.60546875</v>
      </c>
      <c r="P49" s="76"/>
      <c r="Q49" s="77"/>
      <c r="R49" s="77"/>
      <c r="S49" s="89"/>
      <c r="T49" s="49">
        <v>4</v>
      </c>
      <c r="U49" s="49">
        <v>3</v>
      </c>
      <c r="V49" s="50">
        <v>636</v>
      </c>
      <c r="W49" s="50">
        <v>0.004651</v>
      </c>
      <c r="X49" s="50">
        <v>0.011012</v>
      </c>
      <c r="Y49" s="50">
        <v>2.032192</v>
      </c>
      <c r="Z49" s="50">
        <v>0.1</v>
      </c>
      <c r="AA49" s="50">
        <v>0</v>
      </c>
      <c r="AB49" s="72">
        <v>49</v>
      </c>
      <c r="AC49" s="72"/>
      <c r="AD49" s="73"/>
      <c r="AE49" s="79" t="s">
        <v>842</v>
      </c>
      <c r="AF49" s="87" t="s">
        <v>958</v>
      </c>
      <c r="AG49" s="79">
        <v>288</v>
      </c>
      <c r="AH49" s="79">
        <v>5149</v>
      </c>
      <c r="AI49" s="79">
        <v>1928</v>
      </c>
      <c r="AJ49" s="79">
        <v>205</v>
      </c>
      <c r="AK49" s="79"/>
      <c r="AL49" s="79" t="s">
        <v>1071</v>
      </c>
      <c r="AM49" s="79" t="s">
        <v>890</v>
      </c>
      <c r="AN49" s="83" t="str">
        <f>HYPERLINK("https://t.co/Vehu42NWL6")</f>
        <v>https://t.co/Vehu42NWL6</v>
      </c>
      <c r="AO49" s="79"/>
      <c r="AP49" s="81">
        <v>41149.434953703705</v>
      </c>
      <c r="AQ49" s="83" t="str">
        <f>HYPERLINK("https://pbs.twimg.com/profile_banners/786708547/1607432508")</f>
        <v>https://pbs.twimg.com/profile_banners/786708547/1607432508</v>
      </c>
      <c r="AR49" s="79" t="b">
        <v>0</v>
      </c>
      <c r="AS49" s="79" t="b">
        <v>0</v>
      </c>
      <c r="AT49" s="79" t="b">
        <v>1</v>
      </c>
      <c r="AU49" s="79"/>
      <c r="AV49" s="79">
        <v>83</v>
      </c>
      <c r="AW49" s="83" t="str">
        <f>HYPERLINK("https://abs.twimg.com/images/themes/theme16/bg.gif")</f>
        <v>https://abs.twimg.com/images/themes/theme16/bg.gif</v>
      </c>
      <c r="AX49" s="79" t="b">
        <v>0</v>
      </c>
      <c r="AY49" s="79" t="s">
        <v>1211</v>
      </c>
      <c r="AZ49" s="83" t="str">
        <f>HYPERLINK("https://twitter.com/tcs_ion")</f>
        <v>https://twitter.com/tcs_ion</v>
      </c>
      <c r="BA49" s="79" t="s">
        <v>66</v>
      </c>
      <c r="BB49" s="79" t="str">
        <f>REPLACE(INDEX(GroupVertices[Group],MATCH(Vertices[[#This Row],[Vertex]],GroupVertices[Vertex],0)),1,1,"")</f>
        <v>8</v>
      </c>
      <c r="BC49" s="49" t="s">
        <v>1709</v>
      </c>
      <c r="BD49" s="49" t="s">
        <v>1709</v>
      </c>
      <c r="BE49" s="49" t="s">
        <v>1428</v>
      </c>
      <c r="BF49" s="49" t="s">
        <v>446</v>
      </c>
      <c r="BG49" s="49" t="s">
        <v>453</v>
      </c>
      <c r="BH49" s="49" t="s">
        <v>1727</v>
      </c>
      <c r="BI49" s="108" t="s">
        <v>1747</v>
      </c>
      <c r="BJ49" s="108" t="s">
        <v>1769</v>
      </c>
      <c r="BK49" s="108" t="s">
        <v>1784</v>
      </c>
      <c r="BL49" s="108" t="s">
        <v>1806</v>
      </c>
      <c r="BM49" s="108">
        <v>1</v>
      </c>
      <c r="BN49" s="111">
        <v>1.3888888888888888</v>
      </c>
      <c r="BO49" s="108">
        <v>1</v>
      </c>
      <c r="BP49" s="111">
        <v>1.3888888888888888</v>
      </c>
      <c r="BQ49" s="108">
        <v>0</v>
      </c>
      <c r="BR49" s="111">
        <v>0</v>
      </c>
      <c r="BS49" s="108">
        <v>70</v>
      </c>
      <c r="BT49" s="111">
        <v>97.22222222222223</v>
      </c>
      <c r="BU49" s="108">
        <v>72</v>
      </c>
      <c r="BV49" s="2"/>
      <c r="BW49" s="3"/>
      <c r="BX49" s="3"/>
      <c r="BY49" s="3"/>
      <c r="BZ49" s="3"/>
    </row>
    <row r="50" spans="1:78" ht="34.05" customHeight="1">
      <c r="A50" s="65" t="s">
        <v>311</v>
      </c>
      <c r="C50" s="66"/>
      <c r="D50" s="66" t="s">
        <v>64</v>
      </c>
      <c r="E50" s="67">
        <v>831.9653251619203</v>
      </c>
      <c r="F50" s="69"/>
      <c r="G50" s="103" t="str">
        <f>HYPERLINK("https://pbs.twimg.com/profile_images/1319550226575716352/dPLzK52V_normal.jpg")</f>
        <v>https://pbs.twimg.com/profile_images/1319550226575716352/dPLzK52V_normal.jpg</v>
      </c>
      <c r="H50" s="66"/>
      <c r="I50" s="70" t="s">
        <v>311</v>
      </c>
      <c r="J50" s="71"/>
      <c r="K50" s="71"/>
      <c r="L50" s="70" t="s">
        <v>1258</v>
      </c>
      <c r="M50" s="74">
        <v>1342.8611981283595</v>
      </c>
      <c r="N50" s="75">
        <v>8110.7275390625</v>
      </c>
      <c r="O50" s="75">
        <v>4565.60546875</v>
      </c>
      <c r="P50" s="76"/>
      <c r="Q50" s="77"/>
      <c r="R50" s="77"/>
      <c r="S50" s="89"/>
      <c r="T50" s="49">
        <v>1</v>
      </c>
      <c r="U50" s="49">
        <v>0</v>
      </c>
      <c r="V50" s="50">
        <v>0</v>
      </c>
      <c r="W50" s="50">
        <v>0.003106</v>
      </c>
      <c r="X50" s="50">
        <v>0.000983</v>
      </c>
      <c r="Y50" s="50">
        <v>0.437894</v>
      </c>
      <c r="Z50" s="50">
        <v>0</v>
      </c>
      <c r="AA50" s="50">
        <v>0</v>
      </c>
      <c r="AB50" s="72">
        <v>50</v>
      </c>
      <c r="AC50" s="72"/>
      <c r="AD50" s="73"/>
      <c r="AE50" s="79" t="s">
        <v>843</v>
      </c>
      <c r="AF50" s="87" t="s">
        <v>959</v>
      </c>
      <c r="AG50" s="79">
        <v>315</v>
      </c>
      <c r="AH50" s="79">
        <v>456843</v>
      </c>
      <c r="AI50" s="79">
        <v>17884</v>
      </c>
      <c r="AJ50" s="79">
        <v>2816</v>
      </c>
      <c r="AK50" s="79"/>
      <c r="AL50" s="79" t="s">
        <v>1072</v>
      </c>
      <c r="AM50" s="79" t="s">
        <v>1167</v>
      </c>
      <c r="AN50" s="83" t="str">
        <f>HYPERLINK("https://t.co/HmE9SWn3XY")</f>
        <v>https://t.co/HmE9SWn3XY</v>
      </c>
      <c r="AO50" s="79"/>
      <c r="AP50" s="81">
        <v>39826.212546296294</v>
      </c>
      <c r="AQ50" s="83" t="str">
        <f>HYPERLINK("https://pbs.twimg.com/profile_banners/18929773/1607337188")</f>
        <v>https://pbs.twimg.com/profile_banners/18929773/1607337188</v>
      </c>
      <c r="AR50" s="79" t="b">
        <v>0</v>
      </c>
      <c r="AS50" s="79" t="b">
        <v>0</v>
      </c>
      <c r="AT50" s="79" t="b">
        <v>1</v>
      </c>
      <c r="AU50" s="79"/>
      <c r="AV50" s="79">
        <v>1496</v>
      </c>
      <c r="AW50" s="83" t="str">
        <f>HYPERLINK("https://abs.twimg.com/images/themes/theme1/bg.png")</f>
        <v>https://abs.twimg.com/images/themes/theme1/bg.png</v>
      </c>
      <c r="AX50" s="79" t="b">
        <v>1</v>
      </c>
      <c r="AY50" s="79" t="s">
        <v>1211</v>
      </c>
      <c r="AZ50" s="83" t="str">
        <f>HYPERLINK("https://twitter.com/tcs")</f>
        <v>https://twitter.com/tcs</v>
      </c>
      <c r="BA50" s="79" t="s">
        <v>65</v>
      </c>
      <c r="BB50" s="79" t="str">
        <f>REPLACE(INDEX(GroupVertices[Group],MATCH(Vertices[[#This Row],[Vertex]],GroupVertices[Vertex],0)),1,1,"")</f>
        <v>8</v>
      </c>
      <c r="BC50" s="49"/>
      <c r="BD50" s="49"/>
      <c r="BE50" s="49"/>
      <c r="BF50" s="49"/>
      <c r="BG50" s="49"/>
      <c r="BH50" s="49"/>
      <c r="BI50" s="49"/>
      <c r="BJ50" s="49"/>
      <c r="BK50" s="49"/>
      <c r="BL50" s="49"/>
      <c r="BM50" s="49"/>
      <c r="BN50" s="50"/>
      <c r="BO50" s="49"/>
      <c r="BP50" s="50"/>
      <c r="BQ50" s="49"/>
      <c r="BR50" s="50"/>
      <c r="BS50" s="49"/>
      <c r="BT50" s="50"/>
      <c r="BU50" s="49"/>
      <c r="BV50" s="2"/>
      <c r="BW50" s="3"/>
      <c r="BX50" s="3"/>
      <c r="BY50" s="3"/>
      <c r="BZ50" s="3"/>
    </row>
    <row r="51" spans="1:78" ht="34.05" customHeight="1">
      <c r="A51" s="65" t="s">
        <v>312</v>
      </c>
      <c r="C51" s="66"/>
      <c r="D51" s="66" t="s">
        <v>64</v>
      </c>
      <c r="E51" s="67">
        <v>162.23317577346378</v>
      </c>
      <c r="F51" s="69"/>
      <c r="G51" s="103" t="str">
        <f>HYPERLINK("https://pbs.twimg.com/profile_images/3042578520/37ebf4fa5dccfa9ac8417836c07aa02b_normal.jpeg")</f>
        <v>https://pbs.twimg.com/profile_images/3042578520/37ebf4fa5dccfa9ac8417836c07aa02b_normal.jpeg</v>
      </c>
      <c r="H51" s="66"/>
      <c r="I51" s="70" t="s">
        <v>312</v>
      </c>
      <c r="J51" s="71"/>
      <c r="K51" s="71"/>
      <c r="L51" s="70" t="s">
        <v>1259</v>
      </c>
      <c r="M51" s="74">
        <v>1.4670234577871764</v>
      </c>
      <c r="N51" s="75">
        <v>8110.7275390625</v>
      </c>
      <c r="O51" s="75">
        <v>5407.490234375</v>
      </c>
      <c r="P51" s="76"/>
      <c r="Q51" s="77"/>
      <c r="R51" s="77"/>
      <c r="S51" s="89"/>
      <c r="T51" s="49">
        <v>1</v>
      </c>
      <c r="U51" s="49">
        <v>0</v>
      </c>
      <c r="V51" s="50">
        <v>0</v>
      </c>
      <c r="W51" s="50">
        <v>0.003106</v>
      </c>
      <c r="X51" s="50">
        <v>0.000983</v>
      </c>
      <c r="Y51" s="50">
        <v>0.437894</v>
      </c>
      <c r="Z51" s="50">
        <v>0</v>
      </c>
      <c r="AA51" s="50">
        <v>0</v>
      </c>
      <c r="AB51" s="72">
        <v>51</v>
      </c>
      <c r="AC51" s="72"/>
      <c r="AD51" s="73"/>
      <c r="AE51" s="79" t="s">
        <v>844</v>
      </c>
      <c r="AF51" s="87" t="s">
        <v>960</v>
      </c>
      <c r="AG51" s="79">
        <v>628</v>
      </c>
      <c r="AH51" s="79">
        <v>160</v>
      </c>
      <c r="AI51" s="79">
        <v>78</v>
      </c>
      <c r="AJ51" s="79">
        <v>23</v>
      </c>
      <c r="AK51" s="79"/>
      <c r="AL51" s="79" t="s">
        <v>1073</v>
      </c>
      <c r="AM51" s="79" t="s">
        <v>1168</v>
      </c>
      <c r="AN51" s="79"/>
      <c r="AO51" s="79"/>
      <c r="AP51" s="81">
        <v>40111.205625</v>
      </c>
      <c r="AQ51" s="79"/>
      <c r="AR51" s="79" t="b">
        <v>1</v>
      </c>
      <c r="AS51" s="79" t="b">
        <v>0</v>
      </c>
      <c r="AT51" s="79" t="b">
        <v>1</v>
      </c>
      <c r="AU51" s="79"/>
      <c r="AV51" s="79">
        <v>6</v>
      </c>
      <c r="AW51" s="83" t="str">
        <f>HYPERLINK("https://abs.twimg.com/images/themes/theme1/bg.png")</f>
        <v>https://abs.twimg.com/images/themes/theme1/bg.png</v>
      </c>
      <c r="AX51" s="79" t="b">
        <v>0</v>
      </c>
      <c r="AY51" s="79" t="s">
        <v>1211</v>
      </c>
      <c r="AZ51" s="83" t="str">
        <f>HYPERLINK("https://twitter.com/krishnanca")</f>
        <v>https://twitter.com/krishnanca</v>
      </c>
      <c r="BA51" s="79" t="s">
        <v>65</v>
      </c>
      <c r="BB51" s="79" t="str">
        <f>REPLACE(INDEX(GroupVertices[Group],MATCH(Vertices[[#This Row],[Vertex]],GroupVertices[Vertex],0)),1,1,"")</f>
        <v>8</v>
      </c>
      <c r="BC51" s="49"/>
      <c r="BD51" s="49"/>
      <c r="BE51" s="49"/>
      <c r="BF51" s="49"/>
      <c r="BG51" s="49"/>
      <c r="BH51" s="49"/>
      <c r="BI51" s="49"/>
      <c r="BJ51" s="49"/>
      <c r="BK51" s="49"/>
      <c r="BL51" s="49"/>
      <c r="BM51" s="49"/>
      <c r="BN51" s="50"/>
      <c r="BO51" s="49"/>
      <c r="BP51" s="50"/>
      <c r="BQ51" s="49"/>
      <c r="BR51" s="50"/>
      <c r="BS51" s="49"/>
      <c r="BT51" s="50"/>
      <c r="BU51" s="49"/>
      <c r="BV51" s="2"/>
      <c r="BW51" s="3"/>
      <c r="BX51" s="3"/>
      <c r="BY51" s="3"/>
      <c r="BZ51" s="3"/>
    </row>
    <row r="52" spans="1:78" ht="34.05" customHeight="1">
      <c r="A52" s="65" t="s">
        <v>265</v>
      </c>
      <c r="C52" s="66"/>
      <c r="D52" s="66" t="s">
        <v>64</v>
      </c>
      <c r="E52" s="67">
        <v>162.12025417247818</v>
      </c>
      <c r="F52" s="69"/>
      <c r="G52" s="103" t="str">
        <f>HYPERLINK("https://pbs.twimg.com/profile_images/1277453468173651968/fwzxOFm3_normal.jpg")</f>
        <v>https://pbs.twimg.com/profile_images/1277453468173651968/fwzxOFm3_normal.jpg</v>
      </c>
      <c r="H52" s="66"/>
      <c r="I52" s="70" t="s">
        <v>265</v>
      </c>
      <c r="J52" s="71"/>
      <c r="K52" s="71"/>
      <c r="L52" s="70" t="s">
        <v>1260</v>
      </c>
      <c r="M52" s="74">
        <v>1.2408548650223172</v>
      </c>
      <c r="N52" s="75">
        <v>7718.45849609375</v>
      </c>
      <c r="O52" s="75">
        <v>5407.490234375</v>
      </c>
      <c r="P52" s="76"/>
      <c r="Q52" s="77"/>
      <c r="R52" s="77"/>
      <c r="S52" s="89"/>
      <c r="T52" s="49">
        <v>0</v>
      </c>
      <c r="U52" s="49">
        <v>1</v>
      </c>
      <c r="V52" s="50">
        <v>0</v>
      </c>
      <c r="W52" s="50">
        <v>0.003106</v>
      </c>
      <c r="X52" s="50">
        <v>0.000983</v>
      </c>
      <c r="Y52" s="50">
        <v>0.437894</v>
      </c>
      <c r="Z52" s="50">
        <v>0</v>
      </c>
      <c r="AA52" s="50">
        <v>0</v>
      </c>
      <c r="AB52" s="72">
        <v>52</v>
      </c>
      <c r="AC52" s="72"/>
      <c r="AD52" s="73"/>
      <c r="AE52" s="79" t="s">
        <v>845</v>
      </c>
      <c r="AF52" s="87" t="s">
        <v>961</v>
      </c>
      <c r="AG52" s="79">
        <v>789</v>
      </c>
      <c r="AH52" s="79">
        <v>83</v>
      </c>
      <c r="AI52" s="79">
        <v>9758</v>
      </c>
      <c r="AJ52" s="79">
        <v>5658</v>
      </c>
      <c r="AK52" s="79"/>
      <c r="AL52" s="79" t="s">
        <v>1074</v>
      </c>
      <c r="AM52" s="79" t="s">
        <v>1158</v>
      </c>
      <c r="AN52" s="79"/>
      <c r="AO52" s="79"/>
      <c r="AP52" s="81">
        <v>40075.28768518518</v>
      </c>
      <c r="AQ52" s="83" t="str">
        <f>HYPERLINK("https://pbs.twimg.com/profile_banners/75494435/1385752906")</f>
        <v>https://pbs.twimg.com/profile_banners/75494435/1385752906</v>
      </c>
      <c r="AR52" s="79" t="b">
        <v>0</v>
      </c>
      <c r="AS52" s="79" t="b">
        <v>0</v>
      </c>
      <c r="AT52" s="79" t="b">
        <v>1</v>
      </c>
      <c r="AU52" s="79"/>
      <c r="AV52" s="79">
        <v>12</v>
      </c>
      <c r="AW52" s="83" t="str">
        <f>HYPERLINK("https://abs.twimg.com/images/themes/theme6/bg.gif")</f>
        <v>https://abs.twimg.com/images/themes/theme6/bg.gif</v>
      </c>
      <c r="AX52" s="79" t="b">
        <v>0</v>
      </c>
      <c r="AY52" s="79" t="s">
        <v>1211</v>
      </c>
      <c r="AZ52" s="83" t="str">
        <f>HYPERLINK("https://twitter.com/ashokamane")</f>
        <v>https://twitter.com/ashokamane</v>
      </c>
      <c r="BA52" s="79" t="s">
        <v>66</v>
      </c>
      <c r="BB52" s="79" t="str">
        <f>REPLACE(INDEX(GroupVertices[Group],MATCH(Vertices[[#This Row],[Vertex]],GroupVertices[Vertex],0)),1,1,"")</f>
        <v>8</v>
      </c>
      <c r="BC52" s="49" t="s">
        <v>1398</v>
      </c>
      <c r="BD52" s="49" t="s">
        <v>1398</v>
      </c>
      <c r="BE52" s="49" t="s">
        <v>445</v>
      </c>
      <c r="BF52" s="49" t="s">
        <v>445</v>
      </c>
      <c r="BG52" s="49" t="s">
        <v>453</v>
      </c>
      <c r="BH52" s="49" t="s">
        <v>453</v>
      </c>
      <c r="BI52" s="108" t="s">
        <v>1748</v>
      </c>
      <c r="BJ52" s="108" t="s">
        <v>1748</v>
      </c>
      <c r="BK52" s="108" t="s">
        <v>1785</v>
      </c>
      <c r="BL52" s="108" t="s">
        <v>1785</v>
      </c>
      <c r="BM52" s="108">
        <v>1</v>
      </c>
      <c r="BN52" s="111">
        <v>3.125</v>
      </c>
      <c r="BO52" s="108">
        <v>0</v>
      </c>
      <c r="BP52" s="111">
        <v>0</v>
      </c>
      <c r="BQ52" s="108">
        <v>0</v>
      </c>
      <c r="BR52" s="111">
        <v>0</v>
      </c>
      <c r="BS52" s="108">
        <v>31</v>
      </c>
      <c r="BT52" s="111">
        <v>96.875</v>
      </c>
      <c r="BU52" s="108">
        <v>32</v>
      </c>
      <c r="BV52" s="2"/>
      <c r="BW52" s="3"/>
      <c r="BX52" s="3"/>
      <c r="BY52" s="3"/>
      <c r="BZ52" s="3"/>
    </row>
    <row r="53" spans="1:78" ht="34.05" customHeight="1">
      <c r="A53" s="65" t="s">
        <v>266</v>
      </c>
      <c r="C53" s="66"/>
      <c r="D53" s="66" t="s">
        <v>64</v>
      </c>
      <c r="E53" s="67">
        <v>162.13931885835888</v>
      </c>
      <c r="F53" s="69"/>
      <c r="G53" s="103" t="str">
        <f>HYPERLINK("https://pbs.twimg.com/profile_images/483254833000890369/QIoQQzts_normal.png")</f>
        <v>https://pbs.twimg.com/profile_images/483254833000890369/QIoQQzts_normal.png</v>
      </c>
      <c r="H53" s="66"/>
      <c r="I53" s="70" t="s">
        <v>266</v>
      </c>
      <c r="J53" s="71"/>
      <c r="K53" s="71"/>
      <c r="L53" s="70" t="s">
        <v>1261</v>
      </c>
      <c r="M53" s="74">
        <v>1.279039172891709</v>
      </c>
      <c r="N53" s="75">
        <v>1757.9127197265625</v>
      </c>
      <c r="O53" s="75">
        <v>9034.025390625</v>
      </c>
      <c r="P53" s="76"/>
      <c r="Q53" s="77"/>
      <c r="R53" s="77"/>
      <c r="S53" s="89"/>
      <c r="T53" s="49">
        <v>0</v>
      </c>
      <c r="U53" s="49">
        <v>1</v>
      </c>
      <c r="V53" s="50">
        <v>0</v>
      </c>
      <c r="W53" s="50">
        <v>0.004444</v>
      </c>
      <c r="X53" s="50">
        <v>0.007856</v>
      </c>
      <c r="Y53" s="50">
        <v>0.395968</v>
      </c>
      <c r="Z53" s="50">
        <v>0</v>
      </c>
      <c r="AA53" s="50">
        <v>0</v>
      </c>
      <c r="AB53" s="72">
        <v>53</v>
      </c>
      <c r="AC53" s="72"/>
      <c r="AD53" s="73"/>
      <c r="AE53" s="79" t="s">
        <v>846</v>
      </c>
      <c r="AF53" s="87" t="s">
        <v>962</v>
      </c>
      <c r="AG53" s="79">
        <v>668</v>
      </c>
      <c r="AH53" s="79">
        <v>96</v>
      </c>
      <c r="AI53" s="79">
        <v>184</v>
      </c>
      <c r="AJ53" s="79">
        <v>912</v>
      </c>
      <c r="AK53" s="79"/>
      <c r="AL53" s="79" t="s">
        <v>1075</v>
      </c>
      <c r="AM53" s="79"/>
      <c r="AN53" s="79"/>
      <c r="AO53" s="79"/>
      <c r="AP53" s="81">
        <v>41812.31828703704</v>
      </c>
      <c r="AQ53" s="83" t="str">
        <f>HYPERLINK("https://pbs.twimg.com/profile_banners/2630725175/1407689751")</f>
        <v>https://pbs.twimg.com/profile_banners/2630725175/1407689751</v>
      </c>
      <c r="AR53" s="79" t="b">
        <v>1</v>
      </c>
      <c r="AS53" s="79" t="b">
        <v>0</v>
      </c>
      <c r="AT53" s="79" t="b">
        <v>0</v>
      </c>
      <c r="AU53" s="79"/>
      <c r="AV53" s="79">
        <v>0</v>
      </c>
      <c r="AW53" s="83" t="str">
        <f>HYPERLINK("https://abs.twimg.com/images/themes/theme1/bg.png")</f>
        <v>https://abs.twimg.com/images/themes/theme1/bg.png</v>
      </c>
      <c r="AX53" s="79" t="b">
        <v>0</v>
      </c>
      <c r="AY53" s="79" t="s">
        <v>1211</v>
      </c>
      <c r="AZ53" s="83" t="str">
        <f>HYPERLINK("https://twitter.com/tweeteretta")</f>
        <v>https://twitter.com/tweeteretta</v>
      </c>
      <c r="BA53" s="79" t="s">
        <v>66</v>
      </c>
      <c r="BB53" s="79" t="str">
        <f>REPLACE(INDEX(GroupVertices[Group],MATCH(Vertices[[#This Row],[Vertex]],GroupVertices[Vertex],0)),1,1,"")</f>
        <v>1</v>
      </c>
      <c r="BC53" s="49"/>
      <c r="BD53" s="49"/>
      <c r="BE53" s="49"/>
      <c r="BF53" s="49"/>
      <c r="BG53" s="49" t="s">
        <v>454</v>
      </c>
      <c r="BH53" s="49" t="s">
        <v>454</v>
      </c>
      <c r="BI53" s="108" t="s">
        <v>1749</v>
      </c>
      <c r="BJ53" s="108" t="s">
        <v>1749</v>
      </c>
      <c r="BK53" s="108" t="s">
        <v>1786</v>
      </c>
      <c r="BL53" s="108" t="s">
        <v>1786</v>
      </c>
      <c r="BM53" s="108">
        <v>2</v>
      </c>
      <c r="BN53" s="111">
        <v>5.555555555555555</v>
      </c>
      <c r="BO53" s="108">
        <v>0</v>
      </c>
      <c r="BP53" s="111">
        <v>0</v>
      </c>
      <c r="BQ53" s="108">
        <v>0</v>
      </c>
      <c r="BR53" s="111">
        <v>0</v>
      </c>
      <c r="BS53" s="108">
        <v>34</v>
      </c>
      <c r="BT53" s="111">
        <v>94.44444444444444</v>
      </c>
      <c r="BU53" s="108">
        <v>36</v>
      </c>
      <c r="BV53" s="2"/>
      <c r="BW53" s="3"/>
      <c r="BX53" s="3"/>
      <c r="BY53" s="3"/>
      <c r="BZ53" s="3"/>
    </row>
    <row r="54" spans="1:78" ht="34.05" customHeight="1">
      <c r="A54" s="65" t="s">
        <v>267</v>
      </c>
      <c r="C54" s="66"/>
      <c r="D54" s="66" t="s">
        <v>64</v>
      </c>
      <c r="E54" s="67">
        <v>163.21867338206548</v>
      </c>
      <c r="F54" s="69"/>
      <c r="G54" s="103" t="str">
        <f>HYPERLINK("https://pbs.twimg.com/profile_images/553262979295105025/-1ebzNE8_normal.jpeg")</f>
        <v>https://pbs.twimg.com/profile_images/553262979295105025/-1ebzNE8_normal.jpeg</v>
      </c>
      <c r="H54" s="66"/>
      <c r="I54" s="70" t="s">
        <v>267</v>
      </c>
      <c r="J54" s="71"/>
      <c r="K54" s="71"/>
      <c r="L54" s="70" t="s">
        <v>1262</v>
      </c>
      <c r="M54" s="74">
        <v>3.4408584491895815</v>
      </c>
      <c r="N54" s="75">
        <v>6353.2109375</v>
      </c>
      <c r="O54" s="75">
        <v>1611.325927734375</v>
      </c>
      <c r="P54" s="76"/>
      <c r="Q54" s="77"/>
      <c r="R54" s="77"/>
      <c r="S54" s="89"/>
      <c r="T54" s="49">
        <v>0</v>
      </c>
      <c r="U54" s="49">
        <v>3</v>
      </c>
      <c r="V54" s="50">
        <v>0</v>
      </c>
      <c r="W54" s="50">
        <v>0.004484</v>
      </c>
      <c r="X54" s="50">
        <v>0.009737</v>
      </c>
      <c r="Y54" s="50">
        <v>0.878252</v>
      </c>
      <c r="Z54" s="50">
        <v>0.6666666666666666</v>
      </c>
      <c r="AA54" s="50">
        <v>0</v>
      </c>
      <c r="AB54" s="72">
        <v>54</v>
      </c>
      <c r="AC54" s="72"/>
      <c r="AD54" s="73"/>
      <c r="AE54" s="79" t="s">
        <v>847</v>
      </c>
      <c r="AF54" s="87" t="s">
        <v>963</v>
      </c>
      <c r="AG54" s="79">
        <v>924</v>
      </c>
      <c r="AH54" s="79">
        <v>832</v>
      </c>
      <c r="AI54" s="79">
        <v>27348</v>
      </c>
      <c r="AJ54" s="79">
        <v>18865</v>
      </c>
      <c r="AK54" s="79"/>
      <c r="AL54" s="79" t="s">
        <v>1076</v>
      </c>
      <c r="AM54" s="79" t="s">
        <v>1169</v>
      </c>
      <c r="AN54" s="79"/>
      <c r="AO54" s="79"/>
      <c r="AP54" s="81">
        <v>41061.69693287037</v>
      </c>
      <c r="AQ54" s="83" t="str">
        <f>HYPERLINK("https://pbs.twimg.com/profile_banners/596694153/1420647165")</f>
        <v>https://pbs.twimg.com/profile_banners/596694153/1420647165</v>
      </c>
      <c r="AR54" s="79" t="b">
        <v>1</v>
      </c>
      <c r="AS54" s="79" t="b">
        <v>0</v>
      </c>
      <c r="AT54" s="79" t="b">
        <v>0</v>
      </c>
      <c r="AU54" s="79"/>
      <c r="AV54" s="79">
        <v>45</v>
      </c>
      <c r="AW54" s="83" t="str">
        <f>HYPERLINK("https://abs.twimg.com/images/themes/theme1/bg.png")</f>
        <v>https://abs.twimg.com/images/themes/theme1/bg.png</v>
      </c>
      <c r="AX54" s="79" t="b">
        <v>0</v>
      </c>
      <c r="AY54" s="79" t="s">
        <v>1211</v>
      </c>
      <c r="AZ54" s="83" t="str">
        <f>HYPERLINK("https://twitter.com/debijules")</f>
        <v>https://twitter.com/debijules</v>
      </c>
      <c r="BA54" s="79" t="s">
        <v>66</v>
      </c>
      <c r="BB54" s="79" t="str">
        <f>REPLACE(INDEX(GroupVertices[Group],MATCH(Vertices[[#This Row],[Vertex]],GroupVertices[Vertex],0)),1,1,"")</f>
        <v>9</v>
      </c>
      <c r="BC54" s="49" t="s">
        <v>1363</v>
      </c>
      <c r="BD54" s="49" t="s">
        <v>1363</v>
      </c>
      <c r="BE54" s="49" t="s">
        <v>444</v>
      </c>
      <c r="BF54" s="49" t="s">
        <v>444</v>
      </c>
      <c r="BG54" s="49" t="s">
        <v>449</v>
      </c>
      <c r="BH54" s="49" t="s">
        <v>449</v>
      </c>
      <c r="BI54" s="108" t="s">
        <v>1745</v>
      </c>
      <c r="BJ54" s="108" t="s">
        <v>1745</v>
      </c>
      <c r="BK54" s="108" t="s">
        <v>1644</v>
      </c>
      <c r="BL54" s="108" t="s">
        <v>1644</v>
      </c>
      <c r="BM54" s="108">
        <v>2</v>
      </c>
      <c r="BN54" s="111">
        <v>5.882352941176471</v>
      </c>
      <c r="BO54" s="108">
        <v>0</v>
      </c>
      <c r="BP54" s="111">
        <v>0</v>
      </c>
      <c r="BQ54" s="108">
        <v>0</v>
      </c>
      <c r="BR54" s="111">
        <v>0</v>
      </c>
      <c r="BS54" s="108">
        <v>32</v>
      </c>
      <c r="BT54" s="111">
        <v>94.11764705882354</v>
      </c>
      <c r="BU54" s="108">
        <v>34</v>
      </c>
      <c r="BV54" s="2"/>
      <c r="BW54" s="3"/>
      <c r="BX54" s="3"/>
      <c r="BY54" s="3"/>
      <c r="BZ54" s="3"/>
    </row>
    <row r="55" spans="1:78" ht="34.05" customHeight="1">
      <c r="A55" s="65" t="s">
        <v>269</v>
      </c>
      <c r="C55" s="66"/>
      <c r="D55" s="66" t="s">
        <v>64</v>
      </c>
      <c r="E55" s="67">
        <v>162.1525174870455</v>
      </c>
      <c r="F55" s="69"/>
      <c r="G55" s="103" t="str">
        <f>HYPERLINK("https://pbs.twimg.com/profile_images/907849193204613120/y6jYXQEe_normal.jpg")</f>
        <v>https://pbs.twimg.com/profile_images/907849193204613120/y6jYXQEe_normal.jpg</v>
      </c>
      <c r="H55" s="66"/>
      <c r="I55" s="70" t="s">
        <v>269</v>
      </c>
      <c r="J55" s="71"/>
      <c r="K55" s="71"/>
      <c r="L55" s="70" t="s">
        <v>1263</v>
      </c>
      <c r="M55" s="74">
        <v>1.305474462955134</v>
      </c>
      <c r="N55" s="75">
        <v>708.60009765625</v>
      </c>
      <c r="O55" s="75">
        <v>7100.40283203125</v>
      </c>
      <c r="P55" s="76"/>
      <c r="Q55" s="77"/>
      <c r="R55" s="77"/>
      <c r="S55" s="89"/>
      <c r="T55" s="49">
        <v>0</v>
      </c>
      <c r="U55" s="49">
        <v>2</v>
      </c>
      <c r="V55" s="50">
        <v>0</v>
      </c>
      <c r="W55" s="50">
        <v>0.004464</v>
      </c>
      <c r="X55" s="50">
        <v>0.008767</v>
      </c>
      <c r="Y55" s="50">
        <v>0.658533</v>
      </c>
      <c r="Z55" s="50">
        <v>1</v>
      </c>
      <c r="AA55" s="50">
        <v>0</v>
      </c>
      <c r="AB55" s="72">
        <v>55</v>
      </c>
      <c r="AC55" s="72"/>
      <c r="AD55" s="73"/>
      <c r="AE55" s="79" t="s">
        <v>848</v>
      </c>
      <c r="AF55" s="87" t="s">
        <v>964</v>
      </c>
      <c r="AG55" s="79">
        <v>321</v>
      </c>
      <c r="AH55" s="79">
        <v>105</v>
      </c>
      <c r="AI55" s="79">
        <v>1012</v>
      </c>
      <c r="AJ55" s="79">
        <v>105</v>
      </c>
      <c r="AK55" s="79"/>
      <c r="AL55" s="79" t="s">
        <v>1077</v>
      </c>
      <c r="AM55" s="79" t="s">
        <v>1170</v>
      </c>
      <c r="AN55" s="79"/>
      <c r="AO55" s="79"/>
      <c r="AP55" s="81">
        <v>40281.30472222222</v>
      </c>
      <c r="AQ55" s="79"/>
      <c r="AR55" s="79" t="b">
        <v>0</v>
      </c>
      <c r="AS55" s="79" t="b">
        <v>0</v>
      </c>
      <c r="AT55" s="79" t="b">
        <v>1</v>
      </c>
      <c r="AU55" s="79"/>
      <c r="AV55" s="79">
        <v>1</v>
      </c>
      <c r="AW55" s="83" t="str">
        <f>HYPERLINK("https://abs.twimg.com/images/themes/theme5/bg.gif")</f>
        <v>https://abs.twimg.com/images/themes/theme5/bg.gif</v>
      </c>
      <c r="AX55" s="79" t="b">
        <v>0</v>
      </c>
      <c r="AY55" s="79" t="s">
        <v>1211</v>
      </c>
      <c r="AZ55" s="83" t="str">
        <f>HYPERLINK("https://twitter.com/kthiag2000")</f>
        <v>https://twitter.com/kthiag2000</v>
      </c>
      <c r="BA55" s="79" t="s">
        <v>66</v>
      </c>
      <c r="BB55" s="79" t="str">
        <f>REPLACE(INDEX(GroupVertices[Group],MATCH(Vertices[[#This Row],[Vertex]],GroupVertices[Vertex],0)),1,1,"")</f>
        <v>1</v>
      </c>
      <c r="BC55" s="49" t="s">
        <v>1364</v>
      </c>
      <c r="BD55" s="49" t="s">
        <v>1364</v>
      </c>
      <c r="BE55" s="49" t="s">
        <v>444</v>
      </c>
      <c r="BF55" s="49" t="s">
        <v>444</v>
      </c>
      <c r="BG55" s="49" t="s">
        <v>449</v>
      </c>
      <c r="BH55" s="49" t="s">
        <v>449</v>
      </c>
      <c r="BI55" s="108" t="s">
        <v>1744</v>
      </c>
      <c r="BJ55" s="108" t="s">
        <v>1744</v>
      </c>
      <c r="BK55" s="108" t="s">
        <v>1782</v>
      </c>
      <c r="BL55" s="108" t="s">
        <v>1782</v>
      </c>
      <c r="BM55" s="108">
        <v>0</v>
      </c>
      <c r="BN55" s="111">
        <v>0</v>
      </c>
      <c r="BO55" s="108">
        <v>0</v>
      </c>
      <c r="BP55" s="111">
        <v>0</v>
      </c>
      <c r="BQ55" s="108">
        <v>0</v>
      </c>
      <c r="BR55" s="111">
        <v>0</v>
      </c>
      <c r="BS55" s="108">
        <v>32</v>
      </c>
      <c r="BT55" s="111">
        <v>100</v>
      </c>
      <c r="BU55" s="108">
        <v>32</v>
      </c>
      <c r="BV55" s="2"/>
      <c r="BW55" s="3"/>
      <c r="BX55" s="3"/>
      <c r="BY55" s="3"/>
      <c r="BZ55" s="3"/>
    </row>
    <row r="56" spans="1:78" ht="34.05" customHeight="1">
      <c r="A56" s="65" t="s">
        <v>270</v>
      </c>
      <c r="C56" s="66"/>
      <c r="D56" s="66" t="s">
        <v>64</v>
      </c>
      <c r="E56" s="67">
        <v>165.509368716345</v>
      </c>
      <c r="F56" s="69"/>
      <c r="G56" s="103" t="str">
        <f>HYPERLINK("https://pbs.twimg.com/profile_images/839713893782065152/kfFnN7jt_normal.jpg")</f>
        <v>https://pbs.twimg.com/profile_images/839713893782065152/kfFnN7jt_normal.jpg</v>
      </c>
      <c r="H56" s="66"/>
      <c r="I56" s="70" t="s">
        <v>270</v>
      </c>
      <c r="J56" s="71"/>
      <c r="K56" s="71"/>
      <c r="L56" s="70" t="s">
        <v>1264</v>
      </c>
      <c r="M56" s="74">
        <v>8.028849902419577</v>
      </c>
      <c r="N56" s="75">
        <v>3780.0869140625</v>
      </c>
      <c r="O56" s="75">
        <v>2486.199462890625</v>
      </c>
      <c r="P56" s="76"/>
      <c r="Q56" s="77"/>
      <c r="R56" s="77"/>
      <c r="S56" s="89"/>
      <c r="T56" s="49">
        <v>0</v>
      </c>
      <c r="U56" s="49">
        <v>2</v>
      </c>
      <c r="V56" s="50">
        <v>0</v>
      </c>
      <c r="W56" s="50">
        <v>0.004464</v>
      </c>
      <c r="X56" s="50">
        <v>0.008626</v>
      </c>
      <c r="Y56" s="50">
        <v>0.68864</v>
      </c>
      <c r="Z56" s="50">
        <v>1</v>
      </c>
      <c r="AA56" s="50">
        <v>0</v>
      </c>
      <c r="AB56" s="72">
        <v>56</v>
      </c>
      <c r="AC56" s="72"/>
      <c r="AD56" s="73"/>
      <c r="AE56" s="79" t="s">
        <v>849</v>
      </c>
      <c r="AF56" s="87" t="s">
        <v>965</v>
      </c>
      <c r="AG56" s="79">
        <v>1054</v>
      </c>
      <c r="AH56" s="79">
        <v>2394</v>
      </c>
      <c r="AI56" s="79">
        <v>7013</v>
      </c>
      <c r="AJ56" s="79">
        <v>1701</v>
      </c>
      <c r="AK56" s="79"/>
      <c r="AL56" s="79" t="s">
        <v>1078</v>
      </c>
      <c r="AM56" s="79" t="s">
        <v>1171</v>
      </c>
      <c r="AN56" s="79"/>
      <c r="AO56" s="79"/>
      <c r="AP56" s="81">
        <v>40833.41506944445</v>
      </c>
      <c r="AQ56" s="83" t="str">
        <f>HYPERLINK("https://pbs.twimg.com/profile_banners/392619588/1486408201")</f>
        <v>https://pbs.twimg.com/profile_banners/392619588/1486408201</v>
      </c>
      <c r="AR56" s="79" t="b">
        <v>1</v>
      </c>
      <c r="AS56" s="79" t="b">
        <v>0</v>
      </c>
      <c r="AT56" s="79" t="b">
        <v>0</v>
      </c>
      <c r="AU56" s="79"/>
      <c r="AV56" s="79">
        <v>0</v>
      </c>
      <c r="AW56" s="83" t="str">
        <f>HYPERLINK("https://abs.twimg.com/images/themes/theme1/bg.png")</f>
        <v>https://abs.twimg.com/images/themes/theme1/bg.png</v>
      </c>
      <c r="AX56" s="79" t="b">
        <v>0</v>
      </c>
      <c r="AY56" s="79" t="s">
        <v>1211</v>
      </c>
      <c r="AZ56" s="83" t="str">
        <f>HYPERLINK("https://twitter.com/emuvunyi1")</f>
        <v>https://twitter.com/emuvunyi1</v>
      </c>
      <c r="BA56" s="79" t="s">
        <v>66</v>
      </c>
      <c r="BB56" s="79" t="str">
        <f>REPLACE(INDEX(GroupVertices[Group],MATCH(Vertices[[#This Row],[Vertex]],GroupVertices[Vertex],0)),1,1,"")</f>
        <v>1</v>
      </c>
      <c r="BC56" s="49" t="s">
        <v>1372</v>
      </c>
      <c r="BD56" s="49" t="s">
        <v>1372</v>
      </c>
      <c r="BE56" s="49" t="s">
        <v>444</v>
      </c>
      <c r="BF56" s="49" t="s">
        <v>444</v>
      </c>
      <c r="BG56" s="49" t="s">
        <v>450</v>
      </c>
      <c r="BH56" s="49" t="s">
        <v>450</v>
      </c>
      <c r="BI56" s="108" t="s">
        <v>1750</v>
      </c>
      <c r="BJ56" s="108" t="s">
        <v>1750</v>
      </c>
      <c r="BK56" s="108" t="s">
        <v>1787</v>
      </c>
      <c r="BL56" s="108" t="s">
        <v>1787</v>
      </c>
      <c r="BM56" s="108">
        <v>1</v>
      </c>
      <c r="BN56" s="111">
        <v>3.7037037037037037</v>
      </c>
      <c r="BO56" s="108">
        <v>0</v>
      </c>
      <c r="BP56" s="111">
        <v>0</v>
      </c>
      <c r="BQ56" s="108">
        <v>0</v>
      </c>
      <c r="BR56" s="111">
        <v>0</v>
      </c>
      <c r="BS56" s="108">
        <v>26</v>
      </c>
      <c r="BT56" s="111">
        <v>96.29629629629629</v>
      </c>
      <c r="BU56" s="108">
        <v>27</v>
      </c>
      <c r="BV56" s="2"/>
      <c r="BW56" s="3"/>
      <c r="BX56" s="3"/>
      <c r="BY56" s="3"/>
      <c r="BZ56" s="3"/>
    </row>
    <row r="57" spans="1:78" ht="34.05" customHeight="1">
      <c r="A57" s="65" t="s">
        <v>277</v>
      </c>
      <c r="C57" s="66"/>
      <c r="D57" s="66" t="s">
        <v>64</v>
      </c>
      <c r="E57" s="67">
        <v>163.13068252415462</v>
      </c>
      <c r="F57" s="69"/>
      <c r="G57" s="103" t="str">
        <f>HYPERLINK("https://pbs.twimg.com/profile_images/763791990752419840/zblVFZPs_normal.jpg")</f>
        <v>https://pbs.twimg.com/profile_images/763791990752419840/zblVFZPs_normal.jpg</v>
      </c>
      <c r="H57" s="66"/>
      <c r="I57" s="70" t="s">
        <v>277</v>
      </c>
      <c r="J57" s="71"/>
      <c r="K57" s="71"/>
      <c r="L57" s="70" t="s">
        <v>1265</v>
      </c>
      <c r="M57" s="74">
        <v>3.264623182100081</v>
      </c>
      <c r="N57" s="75">
        <v>3910.67041015625</v>
      </c>
      <c r="O57" s="75">
        <v>3109.016845703125</v>
      </c>
      <c r="P57" s="76"/>
      <c r="Q57" s="77"/>
      <c r="R57" s="77"/>
      <c r="S57" s="89"/>
      <c r="T57" s="49">
        <v>2</v>
      </c>
      <c r="U57" s="49">
        <v>1</v>
      </c>
      <c r="V57" s="50">
        <v>0</v>
      </c>
      <c r="W57" s="50">
        <v>0.004464</v>
      </c>
      <c r="X57" s="50">
        <v>0.008626</v>
      </c>
      <c r="Y57" s="50">
        <v>0.68864</v>
      </c>
      <c r="Z57" s="50">
        <v>0.5</v>
      </c>
      <c r="AA57" s="50">
        <v>0.5</v>
      </c>
      <c r="AB57" s="72">
        <v>57</v>
      </c>
      <c r="AC57" s="72"/>
      <c r="AD57" s="73"/>
      <c r="AE57" s="79" t="s">
        <v>850</v>
      </c>
      <c r="AF57" s="87" t="s">
        <v>966</v>
      </c>
      <c r="AG57" s="79">
        <v>491</v>
      </c>
      <c r="AH57" s="79">
        <v>772</v>
      </c>
      <c r="AI57" s="79">
        <v>205</v>
      </c>
      <c r="AJ57" s="79">
        <v>168</v>
      </c>
      <c r="AK57" s="79"/>
      <c r="AL57" s="79" t="s">
        <v>1079</v>
      </c>
      <c r="AM57" s="79" t="s">
        <v>1172</v>
      </c>
      <c r="AN57" s="79"/>
      <c r="AO57" s="79"/>
      <c r="AP57" s="81">
        <v>42258.55515046296</v>
      </c>
      <c r="AQ57" s="83" t="str">
        <f>HYPERLINK("https://pbs.twimg.com/profile_banners/3620625675/1583659964")</f>
        <v>https://pbs.twimg.com/profile_banners/3620625675/1583659964</v>
      </c>
      <c r="AR57" s="79" t="b">
        <v>1</v>
      </c>
      <c r="AS57" s="79" t="b">
        <v>0</v>
      </c>
      <c r="AT57" s="79" t="b">
        <v>0</v>
      </c>
      <c r="AU57" s="79"/>
      <c r="AV57" s="79">
        <v>7</v>
      </c>
      <c r="AW57" s="83" t="str">
        <f>HYPERLINK("https://abs.twimg.com/images/themes/theme1/bg.png")</f>
        <v>https://abs.twimg.com/images/themes/theme1/bg.png</v>
      </c>
      <c r="AX57" s="79" t="b">
        <v>0</v>
      </c>
      <c r="AY57" s="79" t="s">
        <v>1211</v>
      </c>
      <c r="AZ57" s="83" t="str">
        <f>HYPERLINK("https://twitter.com/kwameakyeampong")</f>
        <v>https://twitter.com/kwameakyeampong</v>
      </c>
      <c r="BA57" s="79" t="s">
        <v>66</v>
      </c>
      <c r="BB57" s="79" t="str">
        <f>REPLACE(INDEX(GroupVertices[Group],MATCH(Vertices[[#This Row],[Vertex]],GroupVertices[Vertex],0)),1,1,"")</f>
        <v>1</v>
      </c>
      <c r="BC57" s="49" t="s">
        <v>1372</v>
      </c>
      <c r="BD57" s="49" t="s">
        <v>1372</v>
      </c>
      <c r="BE57" s="49" t="s">
        <v>444</v>
      </c>
      <c r="BF57" s="49" t="s">
        <v>444</v>
      </c>
      <c r="BG57" s="49" t="s">
        <v>450</v>
      </c>
      <c r="BH57" s="49" t="s">
        <v>450</v>
      </c>
      <c r="BI57" s="108" t="s">
        <v>1750</v>
      </c>
      <c r="BJ57" s="108" t="s">
        <v>1750</v>
      </c>
      <c r="BK57" s="108" t="s">
        <v>1787</v>
      </c>
      <c r="BL57" s="108" t="s">
        <v>1787</v>
      </c>
      <c r="BM57" s="108">
        <v>1</v>
      </c>
      <c r="BN57" s="111">
        <v>3.7037037037037037</v>
      </c>
      <c r="BO57" s="108">
        <v>0</v>
      </c>
      <c r="BP57" s="111">
        <v>0</v>
      </c>
      <c r="BQ57" s="108">
        <v>0</v>
      </c>
      <c r="BR57" s="111">
        <v>0</v>
      </c>
      <c r="BS57" s="108">
        <v>26</v>
      </c>
      <c r="BT57" s="111">
        <v>96.29629629629629</v>
      </c>
      <c r="BU57" s="108">
        <v>27</v>
      </c>
      <c r="BV57" s="2"/>
      <c r="BW57" s="3"/>
      <c r="BX57" s="3"/>
      <c r="BY57" s="3"/>
      <c r="BZ57" s="3"/>
    </row>
    <row r="58" spans="1:78" ht="34.05" customHeight="1">
      <c r="A58" s="65" t="s">
        <v>313</v>
      </c>
      <c r="C58" s="66"/>
      <c r="D58" s="66" t="s">
        <v>64</v>
      </c>
      <c r="E58" s="67">
        <v>162.02933028597027</v>
      </c>
      <c r="F58" s="69"/>
      <c r="G58" s="103" t="str">
        <f>HYPERLINK("https://pbs.twimg.com/profile_images/3344582970/d2d175a3c6c036bc2c0adf421be69c6c_normal.jpeg")</f>
        <v>https://pbs.twimg.com/profile_images/3344582970/d2d175a3c6c036bc2c0adf421be69c6c_normal.jpeg</v>
      </c>
      <c r="H58" s="66"/>
      <c r="I58" s="70" t="s">
        <v>313</v>
      </c>
      <c r="J58" s="71"/>
      <c r="K58" s="71"/>
      <c r="L58" s="70" t="s">
        <v>1266</v>
      </c>
      <c r="M58" s="74">
        <v>1.0587450890298336</v>
      </c>
      <c r="N58" s="75">
        <v>643.169921875</v>
      </c>
      <c r="O58" s="75">
        <v>3274.20068359375</v>
      </c>
      <c r="P58" s="76"/>
      <c r="Q58" s="77"/>
      <c r="R58" s="77"/>
      <c r="S58" s="89"/>
      <c r="T58" s="49">
        <v>1</v>
      </c>
      <c r="U58" s="49">
        <v>0</v>
      </c>
      <c r="V58" s="50">
        <v>0</v>
      </c>
      <c r="W58" s="50">
        <v>0.004444</v>
      </c>
      <c r="X58" s="50">
        <v>0.007856</v>
      </c>
      <c r="Y58" s="50">
        <v>0.395968</v>
      </c>
      <c r="Z58" s="50">
        <v>0</v>
      </c>
      <c r="AA58" s="50">
        <v>0</v>
      </c>
      <c r="AB58" s="72">
        <v>58</v>
      </c>
      <c r="AC58" s="72"/>
      <c r="AD58" s="73"/>
      <c r="AE58" s="79" t="s">
        <v>851</v>
      </c>
      <c r="AF58" s="87" t="s">
        <v>967</v>
      </c>
      <c r="AG58" s="79">
        <v>60</v>
      </c>
      <c r="AH58" s="79">
        <v>21</v>
      </c>
      <c r="AI58" s="79">
        <v>15</v>
      </c>
      <c r="AJ58" s="79">
        <v>4</v>
      </c>
      <c r="AK58" s="79"/>
      <c r="AL58" s="79" t="s">
        <v>1080</v>
      </c>
      <c r="AM58" s="79" t="s">
        <v>1173</v>
      </c>
      <c r="AN58" s="79"/>
      <c r="AO58" s="79"/>
      <c r="AP58" s="81">
        <v>40641.66059027778</v>
      </c>
      <c r="AQ58" s="79"/>
      <c r="AR58" s="79" t="b">
        <v>1</v>
      </c>
      <c r="AS58" s="79" t="b">
        <v>0</v>
      </c>
      <c r="AT58" s="79" t="b">
        <v>0</v>
      </c>
      <c r="AU58" s="79"/>
      <c r="AV58" s="79">
        <v>0</v>
      </c>
      <c r="AW58" s="83" t="str">
        <f>HYPERLINK("https://abs.twimg.com/images/themes/theme1/bg.png")</f>
        <v>https://abs.twimg.com/images/themes/theme1/bg.png</v>
      </c>
      <c r="AX58" s="79" t="b">
        <v>0</v>
      </c>
      <c r="AY58" s="79" t="s">
        <v>1211</v>
      </c>
      <c r="AZ58" s="83" t="str">
        <f>HYPERLINK("https://twitter.com/dianamwai")</f>
        <v>https://twitter.com/dianamwai</v>
      </c>
      <c r="BA58" s="79" t="s">
        <v>65</v>
      </c>
      <c r="BB58" s="79" t="str">
        <f>REPLACE(INDEX(GroupVertices[Group],MATCH(Vertices[[#This Row],[Vertex]],GroupVertices[Vertex],0)),1,1,"")</f>
        <v>1</v>
      </c>
      <c r="BC58" s="49"/>
      <c r="BD58" s="49"/>
      <c r="BE58" s="49"/>
      <c r="BF58" s="49"/>
      <c r="BG58" s="49"/>
      <c r="BH58" s="49"/>
      <c r="BI58" s="49"/>
      <c r="BJ58" s="49"/>
      <c r="BK58" s="49"/>
      <c r="BL58" s="49"/>
      <c r="BM58" s="49"/>
      <c r="BN58" s="50"/>
      <c r="BO58" s="49"/>
      <c r="BP58" s="50"/>
      <c r="BQ58" s="49"/>
      <c r="BR58" s="50"/>
      <c r="BS58" s="49"/>
      <c r="BT58" s="50"/>
      <c r="BU58" s="49"/>
      <c r="BV58" s="2"/>
      <c r="BW58" s="3"/>
      <c r="BX58" s="3"/>
      <c r="BY58" s="3"/>
      <c r="BZ58" s="3"/>
    </row>
    <row r="59" spans="1:78" ht="34.05" customHeight="1">
      <c r="A59" s="65" t="s">
        <v>274</v>
      </c>
      <c r="C59" s="66"/>
      <c r="D59" s="66" t="s">
        <v>64</v>
      </c>
      <c r="E59" s="67">
        <v>164.20417099066717</v>
      </c>
      <c r="F59" s="69"/>
      <c r="G59" s="103" t="str">
        <f>HYPERLINK("https://pbs.twimg.com/profile_images/378800000019492088/9f43a450ba30c43478216851e30ca043_normal.jpeg")</f>
        <v>https://pbs.twimg.com/profile_images/378800000019492088/9f43a450ba30c43478216851e30ca043_normal.jpeg</v>
      </c>
      <c r="H59" s="66"/>
      <c r="I59" s="70" t="s">
        <v>274</v>
      </c>
      <c r="J59" s="71"/>
      <c r="K59" s="71"/>
      <c r="L59" s="70" t="s">
        <v>1267</v>
      </c>
      <c r="M59" s="74">
        <v>5.414693440591987</v>
      </c>
      <c r="N59" s="75">
        <v>8310.02734375</v>
      </c>
      <c r="O59" s="75">
        <v>8417.4013671875</v>
      </c>
      <c r="P59" s="76"/>
      <c r="Q59" s="77"/>
      <c r="R59" s="77"/>
      <c r="S59" s="89"/>
      <c r="T59" s="49">
        <v>1</v>
      </c>
      <c r="U59" s="49">
        <v>5</v>
      </c>
      <c r="V59" s="50">
        <v>5</v>
      </c>
      <c r="W59" s="50">
        <v>0.004525</v>
      </c>
      <c r="X59" s="50">
        <v>0.01134</v>
      </c>
      <c r="Y59" s="50">
        <v>1.411091</v>
      </c>
      <c r="Z59" s="50">
        <v>0.4</v>
      </c>
      <c r="AA59" s="50">
        <v>0.2</v>
      </c>
      <c r="AB59" s="72">
        <v>59</v>
      </c>
      <c r="AC59" s="72"/>
      <c r="AD59" s="73"/>
      <c r="AE59" s="79" t="s">
        <v>852</v>
      </c>
      <c r="AF59" s="87" t="s">
        <v>968</v>
      </c>
      <c r="AG59" s="79">
        <v>1212</v>
      </c>
      <c r="AH59" s="79">
        <v>1504</v>
      </c>
      <c r="AI59" s="79">
        <v>3704</v>
      </c>
      <c r="AJ59" s="79">
        <v>1033</v>
      </c>
      <c r="AK59" s="79"/>
      <c r="AL59" s="79" t="s">
        <v>1081</v>
      </c>
      <c r="AM59" s="79" t="s">
        <v>1174</v>
      </c>
      <c r="AN59" s="79"/>
      <c r="AO59" s="79"/>
      <c r="AP59" s="81">
        <v>40021.73061342593</v>
      </c>
      <c r="AQ59" s="79"/>
      <c r="AR59" s="79" t="b">
        <v>1</v>
      </c>
      <c r="AS59" s="79" t="b">
        <v>0</v>
      </c>
      <c r="AT59" s="79" t="b">
        <v>0</v>
      </c>
      <c r="AU59" s="79"/>
      <c r="AV59" s="79">
        <v>103</v>
      </c>
      <c r="AW59" s="83" t="str">
        <f>HYPERLINK("https://abs.twimg.com/images/themes/theme1/bg.png")</f>
        <v>https://abs.twimg.com/images/themes/theme1/bg.png</v>
      </c>
      <c r="AX59" s="79" t="b">
        <v>0</v>
      </c>
      <c r="AY59" s="79" t="s">
        <v>1211</v>
      </c>
      <c r="AZ59" s="83" t="str">
        <f>HYPERLINK("https://twitter.com/gavindk")</f>
        <v>https://twitter.com/gavindk</v>
      </c>
      <c r="BA59" s="79" t="s">
        <v>66</v>
      </c>
      <c r="BB59" s="79" t="str">
        <f>REPLACE(INDEX(GroupVertices[Group],MATCH(Vertices[[#This Row],[Vertex]],GroupVertices[Vertex],0)),1,1,"")</f>
        <v>3</v>
      </c>
      <c r="BC59" s="49" t="s">
        <v>1710</v>
      </c>
      <c r="BD59" s="49" t="s">
        <v>1710</v>
      </c>
      <c r="BE59" s="49" t="s">
        <v>444</v>
      </c>
      <c r="BF59" s="49" t="s">
        <v>444</v>
      </c>
      <c r="BG59" s="49" t="s">
        <v>454</v>
      </c>
      <c r="BH59" s="49" t="s">
        <v>1728</v>
      </c>
      <c r="BI59" s="108" t="s">
        <v>1751</v>
      </c>
      <c r="BJ59" s="108" t="s">
        <v>1770</v>
      </c>
      <c r="BK59" s="108" t="s">
        <v>1788</v>
      </c>
      <c r="BL59" s="108" t="s">
        <v>1807</v>
      </c>
      <c r="BM59" s="108">
        <v>5</v>
      </c>
      <c r="BN59" s="111">
        <v>3.937007874015748</v>
      </c>
      <c r="BO59" s="108">
        <v>0</v>
      </c>
      <c r="BP59" s="111">
        <v>0</v>
      </c>
      <c r="BQ59" s="108">
        <v>0</v>
      </c>
      <c r="BR59" s="111">
        <v>0</v>
      </c>
      <c r="BS59" s="108">
        <v>122</v>
      </c>
      <c r="BT59" s="111">
        <v>96.06299212598425</v>
      </c>
      <c r="BU59" s="108">
        <v>127</v>
      </c>
      <c r="BV59" s="2"/>
      <c r="BW59" s="3"/>
      <c r="BX59" s="3"/>
      <c r="BY59" s="3"/>
      <c r="BZ59" s="3"/>
    </row>
    <row r="60" spans="1:78" ht="34.05" customHeight="1">
      <c r="A60" s="65" t="s">
        <v>314</v>
      </c>
      <c r="C60" s="66"/>
      <c r="D60" s="66" t="s">
        <v>64</v>
      </c>
      <c r="E60" s="67">
        <v>163.24507063943872</v>
      </c>
      <c r="F60" s="69"/>
      <c r="G60" s="103" t="str">
        <f>HYPERLINK("https://pbs.twimg.com/profile_images/1330964133060239366/ykTU1pBU_normal.jpg")</f>
        <v>https://pbs.twimg.com/profile_images/1330964133060239366/ykTU1pBU_normal.jpg</v>
      </c>
      <c r="H60" s="66"/>
      <c r="I60" s="70" t="s">
        <v>314</v>
      </c>
      <c r="J60" s="71"/>
      <c r="K60" s="71"/>
      <c r="L60" s="70" t="s">
        <v>1268</v>
      </c>
      <c r="M60" s="74">
        <v>3.4937290293164316</v>
      </c>
      <c r="N60" s="75">
        <v>4148.45263671875</v>
      </c>
      <c r="O60" s="75">
        <v>3910.72119140625</v>
      </c>
      <c r="P60" s="76"/>
      <c r="Q60" s="77"/>
      <c r="R60" s="77"/>
      <c r="S60" s="89"/>
      <c r="T60" s="49">
        <v>1</v>
      </c>
      <c r="U60" s="49">
        <v>0</v>
      </c>
      <c r="V60" s="50">
        <v>0</v>
      </c>
      <c r="W60" s="50">
        <v>0.004444</v>
      </c>
      <c r="X60" s="50">
        <v>0.007856</v>
      </c>
      <c r="Y60" s="50">
        <v>0.395968</v>
      </c>
      <c r="Z60" s="50">
        <v>0</v>
      </c>
      <c r="AA60" s="50">
        <v>0</v>
      </c>
      <c r="AB60" s="72">
        <v>60</v>
      </c>
      <c r="AC60" s="72"/>
      <c r="AD60" s="73"/>
      <c r="AE60" s="79" t="s">
        <v>853</v>
      </c>
      <c r="AF60" s="87" t="s">
        <v>969</v>
      </c>
      <c r="AG60" s="79">
        <v>277</v>
      </c>
      <c r="AH60" s="79">
        <v>850</v>
      </c>
      <c r="AI60" s="79">
        <v>559</v>
      </c>
      <c r="AJ60" s="79">
        <v>235</v>
      </c>
      <c r="AK60" s="79"/>
      <c r="AL60" s="79" t="s">
        <v>1082</v>
      </c>
      <c r="AM60" s="79"/>
      <c r="AN60" s="83" t="str">
        <f>HYPERLINK("http://t.co/b2C0my96X0")</f>
        <v>http://t.co/b2C0my96X0</v>
      </c>
      <c r="AO60" s="79"/>
      <c r="AP60" s="81">
        <v>41645.151238425926</v>
      </c>
      <c r="AQ60" s="83" t="str">
        <f>HYPERLINK("https://pbs.twimg.com/profile_banners/2278444440/1605539670")</f>
        <v>https://pbs.twimg.com/profile_banners/2278444440/1605539670</v>
      </c>
      <c r="AR60" s="79" t="b">
        <v>1</v>
      </c>
      <c r="AS60" s="79" t="b">
        <v>0</v>
      </c>
      <c r="AT60" s="79" t="b">
        <v>0</v>
      </c>
      <c r="AU60" s="79"/>
      <c r="AV60" s="79">
        <v>11</v>
      </c>
      <c r="AW60" s="83" t="str">
        <f>HYPERLINK("https://abs.twimg.com/images/themes/theme1/bg.png")</f>
        <v>https://abs.twimg.com/images/themes/theme1/bg.png</v>
      </c>
      <c r="AX60" s="79" t="b">
        <v>0</v>
      </c>
      <c r="AY60" s="79" t="s">
        <v>1211</v>
      </c>
      <c r="AZ60" s="83" t="str">
        <f>HYPERLINK("https://twitter.com/worldomep")</f>
        <v>https://twitter.com/worldomep</v>
      </c>
      <c r="BA60" s="79" t="s">
        <v>65</v>
      </c>
      <c r="BB60" s="79" t="str">
        <f>REPLACE(INDEX(GroupVertices[Group],MATCH(Vertices[[#This Row],[Vertex]],GroupVertices[Vertex],0)),1,1,"")</f>
        <v>1</v>
      </c>
      <c r="BC60" s="49"/>
      <c r="BD60" s="49"/>
      <c r="BE60" s="49"/>
      <c r="BF60" s="49"/>
      <c r="BG60" s="49"/>
      <c r="BH60" s="49"/>
      <c r="BI60" s="49"/>
      <c r="BJ60" s="49"/>
      <c r="BK60" s="49"/>
      <c r="BL60" s="49"/>
      <c r="BM60" s="49"/>
      <c r="BN60" s="50"/>
      <c r="BO60" s="49"/>
      <c r="BP60" s="50"/>
      <c r="BQ60" s="49"/>
      <c r="BR60" s="50"/>
      <c r="BS60" s="49"/>
      <c r="BT60" s="50"/>
      <c r="BU60" s="49"/>
      <c r="BV60" s="2"/>
      <c r="BW60" s="3"/>
      <c r="BX60" s="3"/>
      <c r="BY60" s="3"/>
      <c r="BZ60" s="3"/>
    </row>
    <row r="61" spans="1:78" ht="34.05" customHeight="1">
      <c r="A61" s="65" t="s">
        <v>315</v>
      </c>
      <c r="C61" s="66"/>
      <c r="D61" s="66" t="s">
        <v>64</v>
      </c>
      <c r="E61" s="67">
        <v>461.32290089828376</v>
      </c>
      <c r="F61" s="69"/>
      <c r="G61" s="103" t="str">
        <f>HYPERLINK("https://pbs.twimg.com/profile_images/946465993483849733/CUnCzEK0_normal.jpg")</f>
        <v>https://pbs.twimg.com/profile_images/946465993483849733/CUnCzEK0_normal.jpg</v>
      </c>
      <c r="H61" s="66"/>
      <c r="I61" s="70" t="s">
        <v>315</v>
      </c>
      <c r="J61" s="71"/>
      <c r="K61" s="71"/>
      <c r="L61" s="70" t="s">
        <v>1269</v>
      </c>
      <c r="M61" s="74">
        <v>600.5083198217083</v>
      </c>
      <c r="N61" s="75">
        <v>2029.249755859375</v>
      </c>
      <c r="O61" s="75">
        <v>2900.2578125</v>
      </c>
      <c r="P61" s="76"/>
      <c r="Q61" s="77"/>
      <c r="R61" s="77"/>
      <c r="S61" s="89"/>
      <c r="T61" s="49">
        <v>1</v>
      </c>
      <c r="U61" s="49">
        <v>0</v>
      </c>
      <c r="V61" s="50">
        <v>0</v>
      </c>
      <c r="W61" s="50">
        <v>0.004444</v>
      </c>
      <c r="X61" s="50">
        <v>0.007856</v>
      </c>
      <c r="Y61" s="50">
        <v>0.395968</v>
      </c>
      <c r="Z61" s="50">
        <v>0</v>
      </c>
      <c r="AA61" s="50">
        <v>0</v>
      </c>
      <c r="AB61" s="72">
        <v>61</v>
      </c>
      <c r="AC61" s="72"/>
      <c r="AD61" s="73"/>
      <c r="AE61" s="79" t="s">
        <v>854</v>
      </c>
      <c r="AF61" s="87" t="s">
        <v>970</v>
      </c>
      <c r="AG61" s="79">
        <v>1275</v>
      </c>
      <c r="AH61" s="79">
        <v>204106</v>
      </c>
      <c r="AI61" s="79">
        <v>11317</v>
      </c>
      <c r="AJ61" s="79">
        <v>10172</v>
      </c>
      <c r="AK61" s="79"/>
      <c r="AL61" s="79" t="s">
        <v>1083</v>
      </c>
      <c r="AM61" s="79" t="s">
        <v>1175</v>
      </c>
      <c r="AN61" s="83" t="str">
        <f>HYPERLINK("https://t.co/CnPKfdkH1o")</f>
        <v>https://t.co/CnPKfdkH1o</v>
      </c>
      <c r="AO61" s="79"/>
      <c r="AP61" s="81">
        <v>40025.51677083333</v>
      </c>
      <c r="AQ61" s="83" t="str">
        <f>HYPERLINK("https://pbs.twimg.com/profile_banners/61758661/1609436023")</f>
        <v>https://pbs.twimg.com/profile_banners/61758661/1609436023</v>
      </c>
      <c r="AR61" s="79" t="b">
        <v>0</v>
      </c>
      <c r="AS61" s="79" t="b">
        <v>0</v>
      </c>
      <c r="AT61" s="79" t="b">
        <v>1</v>
      </c>
      <c r="AU61" s="79"/>
      <c r="AV61" s="79">
        <v>296</v>
      </c>
      <c r="AW61" s="83" t="str">
        <f>HYPERLINK("https://abs.twimg.com/images/themes/theme14/bg.gif")</f>
        <v>https://abs.twimg.com/images/themes/theme14/bg.gif</v>
      </c>
      <c r="AX61" s="79" t="b">
        <v>0</v>
      </c>
      <c r="AY61" s="79" t="s">
        <v>1211</v>
      </c>
      <c r="AZ61" s="83" t="str">
        <f>HYPERLINK("https://twitter.com/pratham_india")</f>
        <v>https://twitter.com/pratham_india</v>
      </c>
      <c r="BA61" s="79" t="s">
        <v>65</v>
      </c>
      <c r="BB61" s="79" t="str">
        <f>REPLACE(INDEX(GroupVertices[Group],MATCH(Vertices[[#This Row],[Vertex]],GroupVertices[Vertex],0)),1,1,"")</f>
        <v>1</v>
      </c>
      <c r="BC61" s="49"/>
      <c r="BD61" s="49"/>
      <c r="BE61" s="49"/>
      <c r="BF61" s="49"/>
      <c r="BG61" s="49"/>
      <c r="BH61" s="49"/>
      <c r="BI61" s="49"/>
      <c r="BJ61" s="49"/>
      <c r="BK61" s="49"/>
      <c r="BL61" s="49"/>
      <c r="BM61" s="49"/>
      <c r="BN61" s="50"/>
      <c r="BO61" s="49"/>
      <c r="BP61" s="50"/>
      <c r="BQ61" s="49"/>
      <c r="BR61" s="50"/>
      <c r="BS61" s="49"/>
      <c r="BT61" s="50"/>
      <c r="BU61" s="49"/>
      <c r="BV61" s="2"/>
      <c r="BW61" s="3"/>
      <c r="BX61" s="3"/>
      <c r="BY61" s="3"/>
      <c r="BZ61" s="3"/>
    </row>
    <row r="62" spans="1:78" ht="34.05" customHeight="1">
      <c r="A62" s="65" t="s">
        <v>276</v>
      </c>
      <c r="C62" s="66"/>
      <c r="D62" s="66" t="s">
        <v>64</v>
      </c>
      <c r="E62" s="67">
        <v>162.48981577570382</v>
      </c>
      <c r="F62" s="69"/>
      <c r="G62" s="103" t="str">
        <f>HYPERLINK("https://pbs.twimg.com/profile_images/886902231605415936/XI6T8yt-_normal.jpg")</f>
        <v>https://pbs.twimg.com/profile_images/886902231605415936/XI6T8yt-_normal.jpg</v>
      </c>
      <c r="H62" s="66"/>
      <c r="I62" s="70" t="s">
        <v>276</v>
      </c>
      <c r="J62" s="71"/>
      <c r="K62" s="71"/>
      <c r="L62" s="70" t="s">
        <v>1270</v>
      </c>
      <c r="M62" s="74">
        <v>1.9810429867982193</v>
      </c>
      <c r="N62" s="75">
        <v>1928.6741943359375</v>
      </c>
      <c r="O62" s="75">
        <v>845.9085083007812</v>
      </c>
      <c r="P62" s="76"/>
      <c r="Q62" s="77"/>
      <c r="R62" s="77"/>
      <c r="S62" s="89"/>
      <c r="T62" s="49">
        <v>1</v>
      </c>
      <c r="U62" s="49">
        <v>2</v>
      </c>
      <c r="V62" s="50">
        <v>0</v>
      </c>
      <c r="W62" s="50">
        <v>0.004464</v>
      </c>
      <c r="X62" s="50">
        <v>0.008626</v>
      </c>
      <c r="Y62" s="50">
        <v>0.68864</v>
      </c>
      <c r="Z62" s="50">
        <v>0.5</v>
      </c>
      <c r="AA62" s="50">
        <v>0.5</v>
      </c>
      <c r="AB62" s="72">
        <v>62</v>
      </c>
      <c r="AC62" s="72"/>
      <c r="AD62" s="73"/>
      <c r="AE62" s="79" t="s">
        <v>855</v>
      </c>
      <c r="AF62" s="87" t="s">
        <v>971</v>
      </c>
      <c r="AG62" s="79">
        <v>669</v>
      </c>
      <c r="AH62" s="79">
        <v>335</v>
      </c>
      <c r="AI62" s="79">
        <v>2103</v>
      </c>
      <c r="AJ62" s="79">
        <v>920</v>
      </c>
      <c r="AK62" s="79"/>
      <c r="AL62" s="79" t="s">
        <v>1084</v>
      </c>
      <c r="AM62" s="79"/>
      <c r="AN62" s="79"/>
      <c r="AO62" s="79"/>
      <c r="AP62" s="81">
        <v>42159.646099537036</v>
      </c>
      <c r="AQ62" s="79"/>
      <c r="AR62" s="79" t="b">
        <v>1</v>
      </c>
      <c r="AS62" s="79" t="b">
        <v>0</v>
      </c>
      <c r="AT62" s="79" t="b">
        <v>0</v>
      </c>
      <c r="AU62" s="79"/>
      <c r="AV62" s="79">
        <v>2</v>
      </c>
      <c r="AW62" s="83" t="str">
        <f>HYPERLINK("https://abs.twimg.com/images/themes/theme1/bg.png")</f>
        <v>https://abs.twimg.com/images/themes/theme1/bg.png</v>
      </c>
      <c r="AX62" s="79" t="b">
        <v>0</v>
      </c>
      <c r="AY62" s="79" t="s">
        <v>1211</v>
      </c>
      <c r="AZ62" s="83" t="str">
        <f>HYPERLINK("https://twitter.com/mkelly_explo")</f>
        <v>https://twitter.com/mkelly_explo</v>
      </c>
      <c r="BA62" s="79" t="s">
        <v>66</v>
      </c>
      <c r="BB62" s="79" t="str">
        <f>REPLACE(INDEX(GroupVertices[Group],MATCH(Vertices[[#This Row],[Vertex]],GroupVertices[Vertex],0)),1,1,"")</f>
        <v>1</v>
      </c>
      <c r="BC62" s="49" t="s">
        <v>1374</v>
      </c>
      <c r="BD62" s="49" t="s">
        <v>1374</v>
      </c>
      <c r="BE62" s="49" t="s">
        <v>444</v>
      </c>
      <c r="BF62" s="49" t="s">
        <v>444</v>
      </c>
      <c r="BG62" s="49" t="s">
        <v>450</v>
      </c>
      <c r="BH62" s="49" t="s">
        <v>450</v>
      </c>
      <c r="BI62" s="108" t="s">
        <v>1752</v>
      </c>
      <c r="BJ62" s="108" t="s">
        <v>1752</v>
      </c>
      <c r="BK62" s="108" t="s">
        <v>1789</v>
      </c>
      <c r="BL62" s="108" t="s">
        <v>1789</v>
      </c>
      <c r="BM62" s="108">
        <v>0</v>
      </c>
      <c r="BN62" s="111">
        <v>0</v>
      </c>
      <c r="BO62" s="108">
        <v>1</v>
      </c>
      <c r="BP62" s="111">
        <v>3.125</v>
      </c>
      <c r="BQ62" s="108">
        <v>0</v>
      </c>
      <c r="BR62" s="111">
        <v>0</v>
      </c>
      <c r="BS62" s="108">
        <v>31</v>
      </c>
      <c r="BT62" s="111">
        <v>96.875</v>
      </c>
      <c r="BU62" s="108">
        <v>32</v>
      </c>
      <c r="BV62" s="2"/>
      <c r="BW62" s="3"/>
      <c r="BX62" s="3"/>
      <c r="BY62" s="3"/>
      <c r="BZ62" s="3"/>
    </row>
    <row r="63" spans="1:78" ht="34.05" customHeight="1">
      <c r="A63" s="65" t="s">
        <v>316</v>
      </c>
      <c r="C63" s="66"/>
      <c r="D63" s="66" t="s">
        <v>64</v>
      </c>
      <c r="E63" s="67">
        <v>163.44305006973818</v>
      </c>
      <c r="F63" s="69"/>
      <c r="G63" s="103" t="str">
        <f>HYPERLINK("https://pbs.twimg.com/profile_images/789138570867011584/n3TrURO2_normal.jpg")</f>
        <v>https://pbs.twimg.com/profile_images/789138570867011584/n3TrURO2_normal.jpg</v>
      </c>
      <c r="H63" s="66"/>
      <c r="I63" s="70" t="s">
        <v>316</v>
      </c>
      <c r="J63" s="71"/>
      <c r="K63" s="71"/>
      <c r="L63" s="70" t="s">
        <v>1271</v>
      </c>
      <c r="M63" s="74">
        <v>3.8902583802678077</v>
      </c>
      <c r="N63" s="75">
        <v>2087.509033203125</v>
      </c>
      <c r="O63" s="75">
        <v>1534.0965576171875</v>
      </c>
      <c r="P63" s="76"/>
      <c r="Q63" s="77"/>
      <c r="R63" s="77"/>
      <c r="S63" s="89"/>
      <c r="T63" s="49">
        <v>2</v>
      </c>
      <c r="U63" s="49">
        <v>0</v>
      </c>
      <c r="V63" s="50">
        <v>0</v>
      </c>
      <c r="W63" s="50">
        <v>0.004464</v>
      </c>
      <c r="X63" s="50">
        <v>0.008626</v>
      </c>
      <c r="Y63" s="50">
        <v>0.68864</v>
      </c>
      <c r="Z63" s="50">
        <v>1</v>
      </c>
      <c r="AA63" s="50">
        <v>0</v>
      </c>
      <c r="AB63" s="72">
        <v>63</v>
      </c>
      <c r="AC63" s="72"/>
      <c r="AD63" s="73"/>
      <c r="AE63" s="79" t="s">
        <v>856</v>
      </c>
      <c r="AF63" s="87" t="s">
        <v>972</v>
      </c>
      <c r="AG63" s="79">
        <v>985</v>
      </c>
      <c r="AH63" s="79">
        <v>985</v>
      </c>
      <c r="AI63" s="79">
        <v>5024</v>
      </c>
      <c r="AJ63" s="79">
        <v>1319</v>
      </c>
      <c r="AK63" s="79"/>
      <c r="AL63" s="79" t="s">
        <v>1085</v>
      </c>
      <c r="AM63" s="79" t="s">
        <v>1176</v>
      </c>
      <c r="AN63" s="83" t="str">
        <f>HYPERLINK("https://t.co/gixECMuk2K")</f>
        <v>https://t.co/gixECMuk2K</v>
      </c>
      <c r="AO63" s="79"/>
      <c r="AP63" s="81">
        <v>41191.883888888886</v>
      </c>
      <c r="AQ63" s="83" t="str">
        <f>HYPERLINK("https://pbs.twimg.com/profile_banners/870615055/1554468333")</f>
        <v>https://pbs.twimg.com/profile_banners/870615055/1554468333</v>
      </c>
      <c r="AR63" s="79" t="b">
        <v>0</v>
      </c>
      <c r="AS63" s="79" t="b">
        <v>0</v>
      </c>
      <c r="AT63" s="79" t="b">
        <v>1</v>
      </c>
      <c r="AU63" s="79"/>
      <c r="AV63" s="79">
        <v>56</v>
      </c>
      <c r="AW63" s="83" t="str">
        <f>HYPERLINK("https://abs.twimg.com/images/themes/theme1/bg.png")</f>
        <v>https://abs.twimg.com/images/themes/theme1/bg.png</v>
      </c>
      <c r="AX63" s="79" t="b">
        <v>0</v>
      </c>
      <c r="AY63" s="79" t="s">
        <v>1211</v>
      </c>
      <c r="AZ63" s="83" t="str">
        <f>HYPERLINK("https://twitter.com/explolive")</f>
        <v>https://twitter.com/explolive</v>
      </c>
      <c r="BA63" s="79" t="s">
        <v>65</v>
      </c>
      <c r="BB63" s="79" t="str">
        <f>REPLACE(INDEX(GroupVertices[Group],MATCH(Vertices[[#This Row],[Vertex]],GroupVertices[Vertex],0)),1,1,"")</f>
        <v>1</v>
      </c>
      <c r="BC63" s="49"/>
      <c r="BD63" s="49"/>
      <c r="BE63" s="49"/>
      <c r="BF63" s="49"/>
      <c r="BG63" s="49"/>
      <c r="BH63" s="49"/>
      <c r="BI63" s="49"/>
      <c r="BJ63" s="49"/>
      <c r="BK63" s="49"/>
      <c r="BL63" s="49"/>
      <c r="BM63" s="49"/>
      <c r="BN63" s="50"/>
      <c r="BO63" s="49"/>
      <c r="BP63" s="50"/>
      <c r="BQ63" s="49"/>
      <c r="BR63" s="50"/>
      <c r="BS63" s="49"/>
      <c r="BT63" s="50"/>
      <c r="BU63" s="49"/>
      <c r="BV63" s="2"/>
      <c r="BW63" s="3"/>
      <c r="BX63" s="3"/>
      <c r="BY63" s="3"/>
      <c r="BZ63" s="3"/>
    </row>
    <row r="64" spans="1:78" ht="34.05" customHeight="1">
      <c r="A64" s="65" t="s">
        <v>278</v>
      </c>
      <c r="C64" s="66"/>
      <c r="D64" s="66" t="s">
        <v>64</v>
      </c>
      <c r="E64" s="67">
        <v>166.90695684282923</v>
      </c>
      <c r="F64" s="69"/>
      <c r="G64" s="103" t="str">
        <f>HYPERLINK("https://pbs.twimg.com/profile_images/1325865261057138688/fSc8seCj_normal.jpg")</f>
        <v>https://pbs.twimg.com/profile_images/1325865261057138688/fSc8seCj_normal.jpg</v>
      </c>
      <c r="H64" s="66"/>
      <c r="I64" s="70" t="s">
        <v>278</v>
      </c>
      <c r="J64" s="71"/>
      <c r="K64" s="71"/>
      <c r="L64" s="70" t="s">
        <v>1272</v>
      </c>
      <c r="M64" s="74">
        <v>10.828053394691143</v>
      </c>
      <c r="N64" s="75">
        <v>6353.2109375</v>
      </c>
      <c r="O64" s="75">
        <v>4559.7724609375</v>
      </c>
      <c r="P64" s="76"/>
      <c r="Q64" s="77"/>
      <c r="R64" s="77"/>
      <c r="S64" s="89"/>
      <c r="T64" s="49">
        <v>1</v>
      </c>
      <c r="U64" s="49">
        <v>2</v>
      </c>
      <c r="V64" s="50">
        <v>0</v>
      </c>
      <c r="W64" s="50">
        <v>0.004525</v>
      </c>
      <c r="X64" s="50">
        <v>0.008648</v>
      </c>
      <c r="Y64" s="50">
        <v>0.661238</v>
      </c>
      <c r="Z64" s="50">
        <v>0.5</v>
      </c>
      <c r="AA64" s="50">
        <v>0.5</v>
      </c>
      <c r="AB64" s="72">
        <v>64</v>
      </c>
      <c r="AC64" s="72"/>
      <c r="AD64" s="73"/>
      <c r="AE64" s="79" t="s">
        <v>857</v>
      </c>
      <c r="AF64" s="87" t="s">
        <v>973</v>
      </c>
      <c r="AG64" s="79">
        <v>1954</v>
      </c>
      <c r="AH64" s="79">
        <v>3347</v>
      </c>
      <c r="AI64" s="79">
        <v>2018</v>
      </c>
      <c r="AJ64" s="79">
        <v>2945</v>
      </c>
      <c r="AK64" s="79"/>
      <c r="AL64" s="79" t="s">
        <v>1086</v>
      </c>
      <c r="AM64" s="79" t="s">
        <v>1151</v>
      </c>
      <c r="AN64" s="83" t="str">
        <f>HYPERLINK("https://t.co/BSI1xl85MB")</f>
        <v>https://t.co/BSI1xl85MB</v>
      </c>
      <c r="AO64" s="79"/>
      <c r="AP64" s="81">
        <v>42512.27873842593</v>
      </c>
      <c r="AQ64" s="83" t="str">
        <f>HYPERLINK("https://pbs.twimg.com/profile_banners/734272932101361664/1604945887")</f>
        <v>https://pbs.twimg.com/profile_banners/734272932101361664/1604945887</v>
      </c>
      <c r="AR64" s="79" t="b">
        <v>0</v>
      </c>
      <c r="AS64" s="79" t="b">
        <v>0</v>
      </c>
      <c r="AT64" s="79" t="b">
        <v>1</v>
      </c>
      <c r="AU64" s="79"/>
      <c r="AV64" s="79">
        <v>35</v>
      </c>
      <c r="AW64" s="83" t="str">
        <f>HYPERLINK("https://abs.twimg.com/images/themes/theme1/bg.png")</f>
        <v>https://abs.twimg.com/images/themes/theme1/bg.png</v>
      </c>
      <c r="AX64" s="79" t="b">
        <v>0</v>
      </c>
      <c r="AY64" s="79" t="s">
        <v>1211</v>
      </c>
      <c r="AZ64" s="83" t="str">
        <f>HYPERLINK("https://twitter.com/lyftaed")</f>
        <v>https://twitter.com/lyftaed</v>
      </c>
      <c r="BA64" s="79" t="s">
        <v>66</v>
      </c>
      <c r="BB64" s="79" t="str">
        <f>REPLACE(INDEX(GroupVertices[Group],MATCH(Vertices[[#This Row],[Vertex]],GroupVertices[Vertex],0)),1,1,"")</f>
        <v>5</v>
      </c>
      <c r="BC64" s="49" t="s">
        <v>1391</v>
      </c>
      <c r="BD64" s="49" t="s">
        <v>1391</v>
      </c>
      <c r="BE64" s="49" t="s">
        <v>444</v>
      </c>
      <c r="BF64" s="49" t="s">
        <v>444</v>
      </c>
      <c r="BG64" s="49" t="s">
        <v>450</v>
      </c>
      <c r="BH64" s="49" t="s">
        <v>450</v>
      </c>
      <c r="BI64" s="108" t="s">
        <v>1753</v>
      </c>
      <c r="BJ64" s="108" t="s">
        <v>1753</v>
      </c>
      <c r="BK64" s="108" t="s">
        <v>1790</v>
      </c>
      <c r="BL64" s="108" t="s">
        <v>1790</v>
      </c>
      <c r="BM64" s="108">
        <v>1</v>
      </c>
      <c r="BN64" s="111">
        <v>2.7777777777777777</v>
      </c>
      <c r="BO64" s="108">
        <v>0</v>
      </c>
      <c r="BP64" s="111">
        <v>0</v>
      </c>
      <c r="BQ64" s="108">
        <v>0</v>
      </c>
      <c r="BR64" s="111">
        <v>0</v>
      </c>
      <c r="BS64" s="108">
        <v>35</v>
      </c>
      <c r="BT64" s="111">
        <v>97.22222222222223</v>
      </c>
      <c r="BU64" s="108">
        <v>36</v>
      </c>
      <c r="BV64" s="2"/>
      <c r="BW64" s="3"/>
      <c r="BX64" s="3"/>
      <c r="BY64" s="3"/>
      <c r="BZ64" s="3"/>
    </row>
    <row r="65" spans="1:78" ht="34.05" customHeight="1">
      <c r="A65" s="65" t="s">
        <v>280</v>
      </c>
      <c r="C65" s="66"/>
      <c r="D65" s="66" t="s">
        <v>64</v>
      </c>
      <c r="E65" s="67">
        <v>165.65162060330087</v>
      </c>
      <c r="F65" s="69"/>
      <c r="G65" s="103" t="str">
        <f>HYPERLINK("https://pbs.twimg.com/profile_images/928233427954012160/mtAQdz3P_normal.jpg")</f>
        <v>https://pbs.twimg.com/profile_images/928233427954012160/mtAQdz3P_normal.jpg</v>
      </c>
      <c r="H65" s="66"/>
      <c r="I65" s="70" t="s">
        <v>280</v>
      </c>
      <c r="J65" s="71"/>
      <c r="K65" s="71"/>
      <c r="L65" s="70" t="s">
        <v>1273</v>
      </c>
      <c r="M65" s="74">
        <v>8.31376358421427</v>
      </c>
      <c r="N65" s="75">
        <v>3454.90185546875</v>
      </c>
      <c r="O65" s="75">
        <v>6730.4208984375</v>
      </c>
      <c r="P65" s="76"/>
      <c r="Q65" s="77"/>
      <c r="R65" s="77"/>
      <c r="S65" s="89"/>
      <c r="T65" s="49">
        <v>1</v>
      </c>
      <c r="U65" s="49">
        <v>1</v>
      </c>
      <c r="V65" s="50">
        <v>0</v>
      </c>
      <c r="W65" s="50">
        <v>0.004444</v>
      </c>
      <c r="X65" s="50">
        <v>0.007856</v>
      </c>
      <c r="Y65" s="50">
        <v>0.395968</v>
      </c>
      <c r="Z65" s="50">
        <v>0</v>
      </c>
      <c r="AA65" s="50">
        <v>1</v>
      </c>
      <c r="AB65" s="72">
        <v>65</v>
      </c>
      <c r="AC65" s="72"/>
      <c r="AD65" s="73"/>
      <c r="AE65" s="79" t="s">
        <v>858</v>
      </c>
      <c r="AF65" s="87" t="s">
        <v>974</v>
      </c>
      <c r="AG65" s="79">
        <v>3391</v>
      </c>
      <c r="AH65" s="79">
        <v>2491</v>
      </c>
      <c r="AI65" s="79">
        <v>2374</v>
      </c>
      <c r="AJ65" s="79">
        <v>768</v>
      </c>
      <c r="AK65" s="79"/>
      <c r="AL65" s="79" t="s">
        <v>1087</v>
      </c>
      <c r="AM65" s="79" t="s">
        <v>1177</v>
      </c>
      <c r="AN65" s="83" t="str">
        <f>HYPERLINK("https://t.co/Zy6dLrFcpX")</f>
        <v>https://t.co/Zy6dLrFcpX</v>
      </c>
      <c r="AO65" s="79"/>
      <c r="AP65" s="81">
        <v>40840.91358796296</v>
      </c>
      <c r="AQ65" s="79"/>
      <c r="AR65" s="79" t="b">
        <v>1</v>
      </c>
      <c r="AS65" s="79" t="b">
        <v>0</v>
      </c>
      <c r="AT65" s="79" t="b">
        <v>1</v>
      </c>
      <c r="AU65" s="79"/>
      <c r="AV65" s="79">
        <v>153</v>
      </c>
      <c r="AW65" s="83" t="str">
        <f>HYPERLINK("https://abs.twimg.com/images/themes/theme1/bg.png")</f>
        <v>https://abs.twimg.com/images/themes/theme1/bg.png</v>
      </c>
      <c r="AX65" s="79" t="b">
        <v>0</v>
      </c>
      <c r="AY65" s="79" t="s">
        <v>1211</v>
      </c>
      <c r="AZ65" s="83" t="str">
        <f>HYPERLINK("https://twitter.com/joysyj")</f>
        <v>https://twitter.com/joysyj</v>
      </c>
      <c r="BA65" s="79" t="s">
        <v>66</v>
      </c>
      <c r="BB65" s="79" t="str">
        <f>REPLACE(INDEX(GroupVertices[Group],MATCH(Vertices[[#This Row],[Vertex]],GroupVertices[Vertex],0)),1,1,"")</f>
        <v>1</v>
      </c>
      <c r="BC65" s="49" t="s">
        <v>1375</v>
      </c>
      <c r="BD65" s="49" t="s">
        <v>1375</v>
      </c>
      <c r="BE65" s="49" t="s">
        <v>444</v>
      </c>
      <c r="BF65" s="49" t="s">
        <v>444</v>
      </c>
      <c r="BG65" s="49" t="s">
        <v>455</v>
      </c>
      <c r="BH65" s="49" t="s">
        <v>455</v>
      </c>
      <c r="BI65" s="108" t="s">
        <v>1754</v>
      </c>
      <c r="BJ65" s="108" t="s">
        <v>1754</v>
      </c>
      <c r="BK65" s="108" t="s">
        <v>1791</v>
      </c>
      <c r="BL65" s="108" t="s">
        <v>1791</v>
      </c>
      <c r="BM65" s="108">
        <v>2</v>
      </c>
      <c r="BN65" s="111">
        <v>6.25</v>
      </c>
      <c r="BO65" s="108">
        <v>0</v>
      </c>
      <c r="BP65" s="111">
        <v>0</v>
      </c>
      <c r="BQ65" s="108">
        <v>0</v>
      </c>
      <c r="BR65" s="111">
        <v>0</v>
      </c>
      <c r="BS65" s="108">
        <v>30</v>
      </c>
      <c r="BT65" s="111">
        <v>93.75</v>
      </c>
      <c r="BU65" s="108">
        <v>32</v>
      </c>
      <c r="BV65" s="2"/>
      <c r="BW65" s="3"/>
      <c r="BX65" s="3"/>
      <c r="BY65" s="3"/>
      <c r="BZ65" s="3"/>
    </row>
    <row r="66" spans="1:78" ht="34.05" customHeight="1">
      <c r="A66" s="65" t="s">
        <v>281</v>
      </c>
      <c r="C66" s="66"/>
      <c r="D66" s="66" t="s">
        <v>64</v>
      </c>
      <c r="E66" s="67">
        <v>163.9035355594717</v>
      </c>
      <c r="F66" s="69"/>
      <c r="G66" s="103" t="str">
        <f>HYPERLINK("https://pbs.twimg.com/profile_images/378800000505780506/380279f4542aa3128451061b83b28637_normal.jpeg")</f>
        <v>https://pbs.twimg.com/profile_images/378800000505780506/380279f4542aa3128451061b83b28637_normal.jpeg</v>
      </c>
      <c r="H66" s="66"/>
      <c r="I66" s="70" t="s">
        <v>281</v>
      </c>
      <c r="J66" s="71"/>
      <c r="K66" s="71"/>
      <c r="L66" s="70" t="s">
        <v>1274</v>
      </c>
      <c r="M66" s="74">
        <v>4.812556278036194</v>
      </c>
      <c r="N66" s="75">
        <v>3477.70458984375</v>
      </c>
      <c r="O66" s="75">
        <v>8385.6337890625</v>
      </c>
      <c r="P66" s="76"/>
      <c r="Q66" s="77"/>
      <c r="R66" s="77"/>
      <c r="S66" s="89"/>
      <c r="T66" s="49">
        <v>2</v>
      </c>
      <c r="U66" s="49">
        <v>1</v>
      </c>
      <c r="V66" s="50">
        <v>0</v>
      </c>
      <c r="W66" s="50">
        <v>0.004444</v>
      </c>
      <c r="X66" s="50">
        <v>0.008626</v>
      </c>
      <c r="Y66" s="50">
        <v>0.68864</v>
      </c>
      <c r="Z66" s="50">
        <v>0</v>
      </c>
      <c r="AA66" s="50">
        <v>0</v>
      </c>
      <c r="AB66" s="72">
        <v>66</v>
      </c>
      <c r="AC66" s="72"/>
      <c r="AD66" s="73"/>
      <c r="AE66" s="79" t="s">
        <v>859</v>
      </c>
      <c r="AF66" s="87" t="s">
        <v>975</v>
      </c>
      <c r="AG66" s="79">
        <v>304</v>
      </c>
      <c r="AH66" s="79">
        <v>1299</v>
      </c>
      <c r="AI66" s="79">
        <v>2403</v>
      </c>
      <c r="AJ66" s="79">
        <v>620</v>
      </c>
      <c r="AK66" s="79"/>
      <c r="AL66" s="79" t="s">
        <v>1088</v>
      </c>
      <c r="AM66" s="79" t="s">
        <v>1178</v>
      </c>
      <c r="AN66" s="79"/>
      <c r="AO66" s="79"/>
      <c r="AP66" s="81">
        <v>40856.50539351852</v>
      </c>
      <c r="AQ66" s="83" t="str">
        <f>HYPERLINK("https://pbs.twimg.com/profile_banners/408425924/1524834050")</f>
        <v>https://pbs.twimg.com/profile_banners/408425924/1524834050</v>
      </c>
      <c r="AR66" s="79" t="b">
        <v>0</v>
      </c>
      <c r="AS66" s="79" t="b">
        <v>0</v>
      </c>
      <c r="AT66" s="79" t="b">
        <v>1</v>
      </c>
      <c r="AU66" s="79"/>
      <c r="AV66" s="79">
        <v>67</v>
      </c>
      <c r="AW66" s="83" t="str">
        <f>HYPERLINK("https://abs.twimg.com/images/themes/theme1/bg.png")</f>
        <v>https://abs.twimg.com/images/themes/theme1/bg.png</v>
      </c>
      <c r="AX66" s="79" t="b">
        <v>0</v>
      </c>
      <c r="AY66" s="79" t="s">
        <v>1211</v>
      </c>
      <c r="AZ66" s="83" t="str">
        <f>HYPERLINK("https://twitter.com/kw_research")</f>
        <v>https://twitter.com/kw_research</v>
      </c>
      <c r="BA66" s="79" t="s">
        <v>66</v>
      </c>
      <c r="BB66" s="79" t="str">
        <f>REPLACE(INDEX(GroupVertices[Group],MATCH(Vertices[[#This Row],[Vertex]],GroupVertices[Vertex],0)),1,1,"")</f>
        <v>1</v>
      </c>
      <c r="BC66" s="49" t="s">
        <v>1711</v>
      </c>
      <c r="BD66" s="49" t="s">
        <v>1711</v>
      </c>
      <c r="BE66" s="49" t="s">
        <v>445</v>
      </c>
      <c r="BF66" s="49" t="s">
        <v>445</v>
      </c>
      <c r="BG66" s="49" t="s">
        <v>451</v>
      </c>
      <c r="BH66" s="49" t="s">
        <v>451</v>
      </c>
      <c r="BI66" s="108" t="s">
        <v>1755</v>
      </c>
      <c r="BJ66" s="108" t="s">
        <v>1755</v>
      </c>
      <c r="BK66" s="108" t="s">
        <v>1792</v>
      </c>
      <c r="BL66" s="108" t="s">
        <v>1792</v>
      </c>
      <c r="BM66" s="108">
        <v>1</v>
      </c>
      <c r="BN66" s="111">
        <v>4.166666666666667</v>
      </c>
      <c r="BO66" s="108">
        <v>0</v>
      </c>
      <c r="BP66" s="111">
        <v>0</v>
      </c>
      <c r="BQ66" s="108">
        <v>0</v>
      </c>
      <c r="BR66" s="111">
        <v>0</v>
      </c>
      <c r="BS66" s="108">
        <v>23</v>
      </c>
      <c r="BT66" s="111">
        <v>95.83333333333333</v>
      </c>
      <c r="BU66" s="108">
        <v>24</v>
      </c>
      <c r="BV66" s="2"/>
      <c r="BW66" s="3"/>
      <c r="BX66" s="3"/>
      <c r="BY66" s="3"/>
      <c r="BZ66" s="3"/>
    </row>
    <row r="67" spans="1:78" ht="34.05" customHeight="1">
      <c r="A67" s="65" t="s">
        <v>317</v>
      </c>
      <c r="C67" s="66"/>
      <c r="D67" s="66" t="s">
        <v>64</v>
      </c>
      <c r="E67" s="67">
        <v>175.79403349182655</v>
      </c>
      <c r="F67" s="69"/>
      <c r="G67" s="103" t="str">
        <f>HYPERLINK("https://pbs.twimg.com/profile_images/1210609769/IMG_1198_normal.JPG")</f>
        <v>https://pbs.twimg.com/profile_images/1210609769/IMG_1198_normal.JPG</v>
      </c>
      <c r="H67" s="66"/>
      <c r="I67" s="70" t="s">
        <v>317</v>
      </c>
      <c r="J67" s="71"/>
      <c r="K67" s="71"/>
      <c r="L67" s="70" t="s">
        <v>1275</v>
      </c>
      <c r="M67" s="74">
        <v>28.62781537073069</v>
      </c>
      <c r="N67" s="75">
        <v>864.9891357421875</v>
      </c>
      <c r="O67" s="75">
        <v>2515.876708984375</v>
      </c>
      <c r="P67" s="76"/>
      <c r="Q67" s="77"/>
      <c r="R67" s="77"/>
      <c r="S67" s="89"/>
      <c r="T67" s="49">
        <v>1</v>
      </c>
      <c r="U67" s="49">
        <v>0</v>
      </c>
      <c r="V67" s="50">
        <v>0</v>
      </c>
      <c r="W67" s="50">
        <v>0.004444</v>
      </c>
      <c r="X67" s="50">
        <v>0.007856</v>
      </c>
      <c r="Y67" s="50">
        <v>0.395968</v>
      </c>
      <c r="Z67" s="50">
        <v>0</v>
      </c>
      <c r="AA67" s="50">
        <v>0</v>
      </c>
      <c r="AB67" s="72">
        <v>67</v>
      </c>
      <c r="AC67" s="72"/>
      <c r="AD67" s="73"/>
      <c r="AE67" s="79" t="s">
        <v>860</v>
      </c>
      <c r="AF67" s="87" t="s">
        <v>976</v>
      </c>
      <c r="AG67" s="79">
        <v>225</v>
      </c>
      <c r="AH67" s="79">
        <v>9407</v>
      </c>
      <c r="AI67" s="79">
        <v>3619</v>
      </c>
      <c r="AJ67" s="79">
        <v>5124</v>
      </c>
      <c r="AK67" s="79"/>
      <c r="AL67" s="79" t="s">
        <v>1089</v>
      </c>
      <c r="AM67" s="79" t="s">
        <v>1179</v>
      </c>
      <c r="AN67" s="83" t="str">
        <f>HYPERLINK("https://t.co/1bCfUjloeb")</f>
        <v>https://t.co/1bCfUjloeb</v>
      </c>
      <c r="AO67" s="79"/>
      <c r="AP67" s="81">
        <v>39915.061273148145</v>
      </c>
      <c r="AQ67" s="79"/>
      <c r="AR67" s="79" t="b">
        <v>1</v>
      </c>
      <c r="AS67" s="79" t="b">
        <v>0</v>
      </c>
      <c r="AT67" s="79" t="b">
        <v>0</v>
      </c>
      <c r="AU67" s="79"/>
      <c r="AV67" s="79">
        <v>96</v>
      </c>
      <c r="AW67" s="83" t="str">
        <f>HYPERLINK("https://abs.twimg.com/images/themes/theme1/bg.png")</f>
        <v>https://abs.twimg.com/images/themes/theme1/bg.png</v>
      </c>
      <c r="AX67" s="79" t="b">
        <v>0</v>
      </c>
      <c r="AY67" s="79" t="s">
        <v>1211</v>
      </c>
      <c r="AZ67" s="83" t="str">
        <f>HYPERLINK("https://twitter.com/mbrechner")</f>
        <v>https://twitter.com/mbrechner</v>
      </c>
      <c r="BA67" s="79" t="s">
        <v>65</v>
      </c>
      <c r="BB67" s="79" t="str">
        <f>REPLACE(INDEX(GroupVertices[Group],MATCH(Vertices[[#This Row],[Vertex]],GroupVertices[Vertex],0)),1,1,"")</f>
        <v>1</v>
      </c>
      <c r="BC67" s="49"/>
      <c r="BD67" s="49"/>
      <c r="BE67" s="49"/>
      <c r="BF67" s="49"/>
      <c r="BG67" s="49"/>
      <c r="BH67" s="49"/>
      <c r="BI67" s="49"/>
      <c r="BJ67" s="49"/>
      <c r="BK67" s="49"/>
      <c r="BL67" s="49"/>
      <c r="BM67" s="49"/>
      <c r="BN67" s="50"/>
      <c r="BO67" s="49"/>
      <c r="BP67" s="50"/>
      <c r="BQ67" s="49"/>
      <c r="BR67" s="50"/>
      <c r="BS67" s="49"/>
      <c r="BT67" s="50"/>
      <c r="BU67" s="49"/>
      <c r="BV67" s="2"/>
      <c r="BW67" s="3"/>
      <c r="BX67" s="3"/>
      <c r="BY67" s="3"/>
      <c r="BZ67" s="3"/>
    </row>
    <row r="68" spans="1:78" ht="34.05" customHeight="1">
      <c r="A68" s="65" t="s">
        <v>318</v>
      </c>
      <c r="C68" s="66"/>
      <c r="D68" s="66" t="s">
        <v>64</v>
      </c>
      <c r="E68" s="67">
        <v>246.16618862033903</v>
      </c>
      <c r="F68" s="69"/>
      <c r="G68" s="103" t="str">
        <f>HYPERLINK("https://pbs.twimg.com/profile_images/580471250/sakun_kuva_normal.jpg")</f>
        <v>https://pbs.twimg.com/profile_images/580471250/sakun_kuva_normal.jpg</v>
      </c>
      <c r="H68" s="66"/>
      <c r="I68" s="70" t="s">
        <v>318</v>
      </c>
      <c r="J68" s="71"/>
      <c r="K68" s="71"/>
      <c r="L68" s="70" t="s">
        <v>1276</v>
      </c>
      <c r="M68" s="74">
        <v>169.57490748001018</v>
      </c>
      <c r="N68" s="75">
        <v>2663.433349609375</v>
      </c>
      <c r="O68" s="75">
        <v>2005.900146484375</v>
      </c>
      <c r="P68" s="76"/>
      <c r="Q68" s="77"/>
      <c r="R68" s="77"/>
      <c r="S68" s="89"/>
      <c r="T68" s="49">
        <v>1</v>
      </c>
      <c r="U68" s="49">
        <v>0</v>
      </c>
      <c r="V68" s="50">
        <v>0</v>
      </c>
      <c r="W68" s="50">
        <v>0.004444</v>
      </c>
      <c r="X68" s="50">
        <v>0.007856</v>
      </c>
      <c r="Y68" s="50">
        <v>0.395968</v>
      </c>
      <c r="Z68" s="50">
        <v>0</v>
      </c>
      <c r="AA68" s="50">
        <v>0</v>
      </c>
      <c r="AB68" s="72">
        <v>68</v>
      </c>
      <c r="AC68" s="72"/>
      <c r="AD68" s="73"/>
      <c r="AE68" s="79" t="s">
        <v>861</v>
      </c>
      <c r="AF68" s="87" t="s">
        <v>977</v>
      </c>
      <c r="AG68" s="79">
        <v>1456</v>
      </c>
      <c r="AH68" s="79">
        <v>57393</v>
      </c>
      <c r="AI68" s="79">
        <v>4061</v>
      </c>
      <c r="AJ68" s="79">
        <v>8871</v>
      </c>
      <c r="AK68" s="79"/>
      <c r="AL68" s="79" t="s">
        <v>1090</v>
      </c>
      <c r="AM68" s="79" t="s">
        <v>1180</v>
      </c>
      <c r="AN68" s="83" t="str">
        <f>HYPERLINK("http://t.co/N8ZqNhgJcS")</f>
        <v>http://t.co/N8ZqNhgJcS</v>
      </c>
      <c r="AO68" s="79"/>
      <c r="AP68" s="81">
        <v>40164.81579861111</v>
      </c>
      <c r="AQ68" s="83" t="str">
        <f>HYPERLINK("https://pbs.twimg.com/profile_banners/97509586/1373491521")</f>
        <v>https://pbs.twimg.com/profile_banners/97509586/1373491521</v>
      </c>
      <c r="AR68" s="79" t="b">
        <v>1</v>
      </c>
      <c r="AS68" s="79" t="b">
        <v>0</v>
      </c>
      <c r="AT68" s="79" t="b">
        <v>1</v>
      </c>
      <c r="AU68" s="79"/>
      <c r="AV68" s="79">
        <v>222</v>
      </c>
      <c r="AW68" s="83" t="str">
        <f>HYPERLINK("https://abs.twimg.com/images/themes/theme1/bg.png")</f>
        <v>https://abs.twimg.com/images/themes/theme1/bg.png</v>
      </c>
      <c r="AX68" s="79" t="b">
        <v>0</v>
      </c>
      <c r="AY68" s="79" t="s">
        <v>1211</v>
      </c>
      <c r="AZ68" s="83" t="str">
        <f>HYPERLINK("https://twitter.com/sakuidealist")</f>
        <v>https://twitter.com/sakuidealist</v>
      </c>
      <c r="BA68" s="79" t="s">
        <v>65</v>
      </c>
      <c r="BB68" s="79" t="str">
        <f>REPLACE(INDEX(GroupVertices[Group],MATCH(Vertices[[#This Row],[Vertex]],GroupVertices[Vertex],0)),1,1,"")</f>
        <v>1</v>
      </c>
      <c r="BC68" s="49"/>
      <c r="BD68" s="49"/>
      <c r="BE68" s="49"/>
      <c r="BF68" s="49"/>
      <c r="BG68" s="49"/>
      <c r="BH68" s="49"/>
      <c r="BI68" s="49"/>
      <c r="BJ68" s="49"/>
      <c r="BK68" s="49"/>
      <c r="BL68" s="49"/>
      <c r="BM68" s="49"/>
      <c r="BN68" s="50"/>
      <c r="BO68" s="49"/>
      <c r="BP68" s="50"/>
      <c r="BQ68" s="49"/>
      <c r="BR68" s="50"/>
      <c r="BS68" s="49"/>
      <c r="BT68" s="50"/>
      <c r="BU68" s="49"/>
      <c r="BV68" s="2"/>
      <c r="BW68" s="3"/>
      <c r="BX68" s="3"/>
      <c r="BY68" s="3"/>
      <c r="BZ68" s="3"/>
    </row>
    <row r="69" spans="1:78" ht="34.05" customHeight="1">
      <c r="A69" s="65" t="s">
        <v>319</v>
      </c>
      <c r="C69" s="66"/>
      <c r="D69" s="66" t="s">
        <v>64</v>
      </c>
      <c r="E69" s="67">
        <v>162.26983863092664</v>
      </c>
      <c r="F69" s="69"/>
      <c r="G69" s="103" t="str">
        <f>HYPERLINK("https://pbs.twimg.com/profile_images/535831147717349376/ALdCeqQc_normal.jpeg")</f>
        <v>https://pbs.twimg.com/profile_images/535831147717349376/ALdCeqQc_normal.jpeg</v>
      </c>
      <c r="H69" s="66"/>
      <c r="I69" s="70" t="s">
        <v>319</v>
      </c>
      <c r="J69" s="71"/>
      <c r="K69" s="71"/>
      <c r="L69" s="70" t="s">
        <v>1277</v>
      </c>
      <c r="M69" s="74">
        <v>1.5404548190744682</v>
      </c>
      <c r="N69" s="75">
        <v>3743.70263671875</v>
      </c>
      <c r="O69" s="75">
        <v>4292.98876953125</v>
      </c>
      <c r="P69" s="76"/>
      <c r="Q69" s="77"/>
      <c r="R69" s="77"/>
      <c r="S69" s="89"/>
      <c r="T69" s="49">
        <v>1</v>
      </c>
      <c r="U69" s="49">
        <v>0</v>
      </c>
      <c r="V69" s="50">
        <v>0</v>
      </c>
      <c r="W69" s="50">
        <v>0.004444</v>
      </c>
      <c r="X69" s="50">
        <v>0.007856</v>
      </c>
      <c r="Y69" s="50">
        <v>0.395968</v>
      </c>
      <c r="Z69" s="50">
        <v>0</v>
      </c>
      <c r="AA69" s="50">
        <v>0</v>
      </c>
      <c r="AB69" s="72">
        <v>69</v>
      </c>
      <c r="AC69" s="72"/>
      <c r="AD69" s="73"/>
      <c r="AE69" s="79" t="s">
        <v>862</v>
      </c>
      <c r="AF69" s="87" t="s">
        <v>978</v>
      </c>
      <c r="AG69" s="79">
        <v>92</v>
      </c>
      <c r="AH69" s="79">
        <v>185</v>
      </c>
      <c r="AI69" s="79">
        <v>613</v>
      </c>
      <c r="AJ69" s="79">
        <v>429</v>
      </c>
      <c r="AK69" s="79"/>
      <c r="AL69" s="79" t="s">
        <v>1091</v>
      </c>
      <c r="AM69" s="79"/>
      <c r="AN69" s="83" t="str">
        <f>HYPERLINK("https://t.co/3CavknES6c")</f>
        <v>https://t.co/3CavknES6c</v>
      </c>
      <c r="AO69" s="79"/>
      <c r="AP69" s="81">
        <v>41592.45081018518</v>
      </c>
      <c r="AQ69" s="79"/>
      <c r="AR69" s="79" t="b">
        <v>1</v>
      </c>
      <c r="AS69" s="79" t="b">
        <v>0</v>
      </c>
      <c r="AT69" s="79" t="b">
        <v>1</v>
      </c>
      <c r="AU69" s="79"/>
      <c r="AV69" s="79">
        <v>1</v>
      </c>
      <c r="AW69" s="83" t="str">
        <f>HYPERLINK("https://abs.twimg.com/images/themes/theme1/bg.png")</f>
        <v>https://abs.twimg.com/images/themes/theme1/bg.png</v>
      </c>
      <c r="AX69" s="79" t="b">
        <v>0</v>
      </c>
      <c r="AY69" s="79" t="s">
        <v>1211</v>
      </c>
      <c r="AZ69" s="83" t="str">
        <f>HYPERLINK("https://twitter.com/blomgun")</f>
        <v>https://twitter.com/blomgun</v>
      </c>
      <c r="BA69" s="79" t="s">
        <v>65</v>
      </c>
      <c r="BB69" s="79" t="str">
        <f>REPLACE(INDEX(GroupVertices[Group],MATCH(Vertices[[#This Row],[Vertex]],GroupVertices[Vertex],0)),1,1,"")</f>
        <v>1</v>
      </c>
      <c r="BC69" s="49"/>
      <c r="BD69" s="49"/>
      <c r="BE69" s="49"/>
      <c r="BF69" s="49"/>
      <c r="BG69" s="49"/>
      <c r="BH69" s="49"/>
      <c r="BI69" s="49"/>
      <c r="BJ69" s="49"/>
      <c r="BK69" s="49"/>
      <c r="BL69" s="49"/>
      <c r="BM69" s="49"/>
      <c r="BN69" s="50"/>
      <c r="BO69" s="49"/>
      <c r="BP69" s="50"/>
      <c r="BQ69" s="49"/>
      <c r="BR69" s="50"/>
      <c r="BS69" s="49"/>
      <c r="BT69" s="50"/>
      <c r="BU69" s="49"/>
      <c r="BV69" s="2"/>
      <c r="BW69" s="3"/>
      <c r="BX69" s="3"/>
      <c r="BY69" s="3"/>
      <c r="BZ69" s="3"/>
    </row>
    <row r="70" spans="1:78" ht="34.05" customHeight="1">
      <c r="A70" s="65" t="s">
        <v>320</v>
      </c>
      <c r="C70" s="66"/>
      <c r="D70" s="66" t="s">
        <v>64</v>
      </c>
      <c r="E70" s="67">
        <v>162.58660571940575</v>
      </c>
      <c r="F70" s="69"/>
      <c r="G70" s="103" t="str">
        <f>HYPERLINK("https://pbs.twimg.com/profile_images/1106590721463799808/WCoksitg_normal.png")</f>
        <v>https://pbs.twimg.com/profile_images/1106590721463799808/WCoksitg_normal.png</v>
      </c>
      <c r="H70" s="66"/>
      <c r="I70" s="70" t="s">
        <v>320</v>
      </c>
      <c r="J70" s="71"/>
      <c r="K70" s="71"/>
      <c r="L70" s="70" t="s">
        <v>1278</v>
      </c>
      <c r="M70" s="74">
        <v>2.17490178059667</v>
      </c>
      <c r="N70" s="75">
        <v>3978.15087890625</v>
      </c>
      <c r="O70" s="75">
        <v>6898.60693359375</v>
      </c>
      <c r="P70" s="76"/>
      <c r="Q70" s="77"/>
      <c r="R70" s="77"/>
      <c r="S70" s="89"/>
      <c r="T70" s="49">
        <v>1</v>
      </c>
      <c r="U70" s="49">
        <v>0</v>
      </c>
      <c r="V70" s="50">
        <v>0</v>
      </c>
      <c r="W70" s="50">
        <v>0.004444</v>
      </c>
      <c r="X70" s="50">
        <v>0.007856</v>
      </c>
      <c r="Y70" s="50">
        <v>0.395968</v>
      </c>
      <c r="Z70" s="50">
        <v>0</v>
      </c>
      <c r="AA70" s="50">
        <v>0</v>
      </c>
      <c r="AB70" s="72">
        <v>70</v>
      </c>
      <c r="AC70" s="72"/>
      <c r="AD70" s="73"/>
      <c r="AE70" s="79" t="s">
        <v>863</v>
      </c>
      <c r="AF70" s="87" t="s">
        <v>979</v>
      </c>
      <c r="AG70" s="79">
        <v>135</v>
      </c>
      <c r="AH70" s="79">
        <v>401</v>
      </c>
      <c r="AI70" s="79">
        <v>582</v>
      </c>
      <c r="AJ70" s="79">
        <v>456</v>
      </c>
      <c r="AK70" s="79"/>
      <c r="AL70" s="79" t="s">
        <v>1092</v>
      </c>
      <c r="AM70" s="79" t="s">
        <v>1181</v>
      </c>
      <c r="AN70" s="83" t="str">
        <f>HYPERLINK("http://t.co/n6lRvcWRE7")</f>
        <v>http://t.co/n6lRvcWRE7</v>
      </c>
      <c r="AO70" s="79"/>
      <c r="AP70" s="81">
        <v>42068.61625</v>
      </c>
      <c r="AQ70" s="83" t="str">
        <f>HYPERLINK("https://pbs.twimg.com/profile_banners/3072533729/1590780157")</f>
        <v>https://pbs.twimg.com/profile_banners/3072533729/1590780157</v>
      </c>
      <c r="AR70" s="79" t="b">
        <v>0</v>
      </c>
      <c r="AS70" s="79" t="b">
        <v>0</v>
      </c>
      <c r="AT70" s="79" t="b">
        <v>1</v>
      </c>
      <c r="AU70" s="79"/>
      <c r="AV70" s="79">
        <v>10</v>
      </c>
      <c r="AW70" s="83" t="str">
        <f>HYPERLINK("https://abs.twimg.com/images/themes/theme1/bg.png")</f>
        <v>https://abs.twimg.com/images/themes/theme1/bg.png</v>
      </c>
      <c r="AX70" s="79" t="b">
        <v>0</v>
      </c>
      <c r="AY70" s="79" t="s">
        <v>1211</v>
      </c>
      <c r="AZ70" s="83" t="str">
        <f>HYPERLINK("https://twitter.com/gedcouncil")</f>
        <v>https://twitter.com/gedcouncil</v>
      </c>
      <c r="BA70" s="79" t="s">
        <v>65</v>
      </c>
      <c r="BB70" s="79" t="str">
        <f>REPLACE(INDEX(GroupVertices[Group],MATCH(Vertices[[#This Row],[Vertex]],GroupVertices[Vertex],0)),1,1,"")</f>
        <v>1</v>
      </c>
      <c r="BC70" s="49"/>
      <c r="BD70" s="49"/>
      <c r="BE70" s="49"/>
      <c r="BF70" s="49"/>
      <c r="BG70" s="49"/>
      <c r="BH70" s="49"/>
      <c r="BI70" s="49"/>
      <c r="BJ70" s="49"/>
      <c r="BK70" s="49"/>
      <c r="BL70" s="49"/>
      <c r="BM70" s="49"/>
      <c r="BN70" s="50"/>
      <c r="BO70" s="49"/>
      <c r="BP70" s="50"/>
      <c r="BQ70" s="49"/>
      <c r="BR70" s="50"/>
      <c r="BS70" s="49"/>
      <c r="BT70" s="50"/>
      <c r="BU70" s="49"/>
      <c r="BV70" s="2"/>
      <c r="BW70" s="3"/>
      <c r="BX70" s="3"/>
      <c r="BY70" s="3"/>
      <c r="BZ70" s="3"/>
    </row>
    <row r="71" spans="1:78" ht="34.05" customHeight="1">
      <c r="A71" s="65" t="s">
        <v>321</v>
      </c>
      <c r="C71" s="66"/>
      <c r="D71" s="66" t="s">
        <v>64</v>
      </c>
      <c r="E71" s="67">
        <v>657.4867864961684</v>
      </c>
      <c r="F71" s="69"/>
      <c r="G71" s="103" t="str">
        <f>HYPERLINK("https://pbs.twimg.com/profile_images/1298920423187460097/47g1HzA__normal.jpg")</f>
        <v>https://pbs.twimg.com/profile_images/1298920423187460097/47g1HzA__normal.jpg</v>
      </c>
      <c r="H71" s="66"/>
      <c r="I71" s="70" t="s">
        <v>321</v>
      </c>
      <c r="J71" s="71"/>
      <c r="K71" s="71"/>
      <c r="L71" s="70" t="s">
        <v>1279</v>
      </c>
      <c r="M71" s="74">
        <v>993.4013497621377</v>
      </c>
      <c r="N71" s="75">
        <v>498.5347595214844</v>
      </c>
      <c r="O71" s="75">
        <v>5290.3603515625</v>
      </c>
      <c r="P71" s="76"/>
      <c r="Q71" s="77"/>
      <c r="R71" s="77"/>
      <c r="S71" s="89"/>
      <c r="T71" s="49">
        <v>1</v>
      </c>
      <c r="U71" s="49">
        <v>0</v>
      </c>
      <c r="V71" s="50">
        <v>0</v>
      </c>
      <c r="W71" s="50">
        <v>0.004444</v>
      </c>
      <c r="X71" s="50">
        <v>0.007856</v>
      </c>
      <c r="Y71" s="50">
        <v>0.395968</v>
      </c>
      <c r="Z71" s="50">
        <v>0</v>
      </c>
      <c r="AA71" s="50">
        <v>0</v>
      </c>
      <c r="AB71" s="72">
        <v>71</v>
      </c>
      <c r="AC71" s="72"/>
      <c r="AD71" s="73"/>
      <c r="AE71" s="79" t="s">
        <v>864</v>
      </c>
      <c r="AF71" s="87" t="s">
        <v>980</v>
      </c>
      <c r="AG71" s="79">
        <v>135</v>
      </c>
      <c r="AH71" s="79">
        <v>337868</v>
      </c>
      <c r="AI71" s="79">
        <v>36045</v>
      </c>
      <c r="AJ71" s="79">
        <v>1244</v>
      </c>
      <c r="AK71" s="79"/>
      <c r="AL71" s="79" t="s">
        <v>1093</v>
      </c>
      <c r="AM71" s="79" t="s">
        <v>1182</v>
      </c>
      <c r="AN71" s="83" t="str">
        <f>HYPERLINK("https://t.co/ULhsCDo5wc")</f>
        <v>https://t.co/ULhsCDo5wc</v>
      </c>
      <c r="AO71" s="79"/>
      <c r="AP71" s="81">
        <v>40982.621886574074</v>
      </c>
      <c r="AQ71" s="83" t="str">
        <f>HYPERLINK("https://pbs.twimg.com/profile_banners/524425486/1607596398")</f>
        <v>https://pbs.twimg.com/profile_banners/524425486/1607596398</v>
      </c>
      <c r="AR71" s="79" t="b">
        <v>0</v>
      </c>
      <c r="AS71" s="79" t="b">
        <v>0</v>
      </c>
      <c r="AT71" s="79" t="b">
        <v>1</v>
      </c>
      <c r="AU71" s="79"/>
      <c r="AV71" s="79">
        <v>356</v>
      </c>
      <c r="AW71" s="83" t="str">
        <f>HYPERLINK("https://abs.twimg.com/images/themes/theme1/bg.png")</f>
        <v>https://abs.twimg.com/images/themes/theme1/bg.png</v>
      </c>
      <c r="AX71" s="79" t="b">
        <v>1</v>
      </c>
      <c r="AY71" s="79" t="s">
        <v>1211</v>
      </c>
      <c r="AZ71" s="83" t="str">
        <f>HYPERLINK("https://twitter.com/moeducationuae")</f>
        <v>https://twitter.com/moeducationuae</v>
      </c>
      <c r="BA71" s="79" t="s">
        <v>65</v>
      </c>
      <c r="BB71" s="79" t="str">
        <f>REPLACE(INDEX(GroupVertices[Group],MATCH(Vertices[[#This Row],[Vertex]],GroupVertices[Vertex],0)),1,1,"")</f>
        <v>1</v>
      </c>
      <c r="BC71" s="49"/>
      <c r="BD71" s="49"/>
      <c r="BE71" s="49"/>
      <c r="BF71" s="49"/>
      <c r="BG71" s="49"/>
      <c r="BH71" s="49"/>
      <c r="BI71" s="49"/>
      <c r="BJ71" s="49"/>
      <c r="BK71" s="49"/>
      <c r="BL71" s="49"/>
      <c r="BM71" s="49"/>
      <c r="BN71" s="50"/>
      <c r="BO71" s="49"/>
      <c r="BP71" s="50"/>
      <c r="BQ71" s="49"/>
      <c r="BR71" s="50"/>
      <c r="BS71" s="49"/>
      <c r="BT71" s="50"/>
      <c r="BU71" s="49"/>
      <c r="BV71" s="2"/>
      <c r="BW71" s="3"/>
      <c r="BX71" s="3"/>
      <c r="BY71" s="3"/>
      <c r="BZ71" s="3"/>
    </row>
    <row r="72" spans="1:78" ht="34.05" customHeight="1">
      <c r="A72" s="65" t="s">
        <v>322</v>
      </c>
      <c r="C72" s="66"/>
      <c r="D72" s="66" t="s">
        <v>64</v>
      </c>
      <c r="E72" s="67">
        <v>212.05506603689386</v>
      </c>
      <c r="F72" s="69"/>
      <c r="G72" s="103" t="str">
        <f>HYPERLINK("https://pbs.twimg.com/profile_images/1216304568792797185/gu9_3rhc_normal.jpg")</f>
        <v>https://pbs.twimg.com/profile_images/1216304568792797185/gu9_3rhc_normal.jpg</v>
      </c>
      <c r="H72" s="66"/>
      <c r="I72" s="70" t="s">
        <v>322</v>
      </c>
      <c r="J72" s="71"/>
      <c r="K72" s="71"/>
      <c r="L72" s="70" t="s">
        <v>1280</v>
      </c>
      <c r="M72" s="74">
        <v>101.25436893831383</v>
      </c>
      <c r="N72" s="75">
        <v>3127.047607421875</v>
      </c>
      <c r="O72" s="75">
        <v>8098.77197265625</v>
      </c>
      <c r="P72" s="76"/>
      <c r="Q72" s="77"/>
      <c r="R72" s="77"/>
      <c r="S72" s="89"/>
      <c r="T72" s="49">
        <v>1</v>
      </c>
      <c r="U72" s="49">
        <v>0</v>
      </c>
      <c r="V72" s="50">
        <v>0</v>
      </c>
      <c r="W72" s="50">
        <v>0.004444</v>
      </c>
      <c r="X72" s="50">
        <v>0.007856</v>
      </c>
      <c r="Y72" s="50">
        <v>0.395968</v>
      </c>
      <c r="Z72" s="50">
        <v>0</v>
      </c>
      <c r="AA72" s="50">
        <v>0</v>
      </c>
      <c r="AB72" s="72">
        <v>72</v>
      </c>
      <c r="AC72" s="72"/>
      <c r="AD72" s="73"/>
      <c r="AE72" s="79" t="s">
        <v>865</v>
      </c>
      <c r="AF72" s="87" t="s">
        <v>981</v>
      </c>
      <c r="AG72" s="79">
        <v>376</v>
      </c>
      <c r="AH72" s="79">
        <v>34133</v>
      </c>
      <c r="AI72" s="79">
        <v>22285</v>
      </c>
      <c r="AJ72" s="79">
        <v>15868</v>
      </c>
      <c r="AK72" s="79"/>
      <c r="AL72" s="79" t="s">
        <v>1094</v>
      </c>
      <c r="AM72" s="79" t="s">
        <v>1183</v>
      </c>
      <c r="AN72" s="79"/>
      <c r="AO72" s="79"/>
      <c r="AP72" s="81">
        <v>41609.33320601852</v>
      </c>
      <c r="AQ72" s="83" t="str">
        <f>HYPERLINK("https://pbs.twimg.com/profile_banners/2224450008/1610037411")</f>
        <v>https://pbs.twimg.com/profile_banners/2224450008/1610037411</v>
      </c>
      <c r="AR72" s="79" t="b">
        <v>0</v>
      </c>
      <c r="AS72" s="79" t="b">
        <v>0</v>
      </c>
      <c r="AT72" s="79" t="b">
        <v>1</v>
      </c>
      <c r="AU72" s="79"/>
      <c r="AV72" s="79">
        <v>69</v>
      </c>
      <c r="AW72" s="83" t="str">
        <f>HYPERLINK("https://abs.twimg.com/images/themes/theme16/bg.gif")</f>
        <v>https://abs.twimg.com/images/themes/theme16/bg.gif</v>
      </c>
      <c r="AX72" s="79" t="b">
        <v>1</v>
      </c>
      <c r="AY72" s="79" t="s">
        <v>1211</v>
      </c>
      <c r="AZ72" s="83" t="str">
        <f>HYPERLINK("https://twitter.com/moedumv")</f>
        <v>https://twitter.com/moedumv</v>
      </c>
      <c r="BA72" s="79" t="s">
        <v>65</v>
      </c>
      <c r="BB72" s="79" t="str">
        <f>REPLACE(INDEX(GroupVertices[Group],MATCH(Vertices[[#This Row],[Vertex]],GroupVertices[Vertex],0)),1,1,"")</f>
        <v>1</v>
      </c>
      <c r="BC72" s="49"/>
      <c r="BD72" s="49"/>
      <c r="BE72" s="49"/>
      <c r="BF72" s="49"/>
      <c r="BG72" s="49"/>
      <c r="BH72" s="49"/>
      <c r="BI72" s="49"/>
      <c r="BJ72" s="49"/>
      <c r="BK72" s="49"/>
      <c r="BL72" s="49"/>
      <c r="BM72" s="49"/>
      <c r="BN72" s="50"/>
      <c r="BO72" s="49"/>
      <c r="BP72" s="50"/>
      <c r="BQ72" s="49"/>
      <c r="BR72" s="50"/>
      <c r="BS72" s="49"/>
      <c r="BT72" s="50"/>
      <c r="BU72" s="49"/>
      <c r="BV72" s="2"/>
      <c r="BW72" s="3"/>
      <c r="BX72" s="3"/>
      <c r="BY72" s="3"/>
      <c r="BZ72" s="3"/>
    </row>
    <row r="73" spans="1:78" ht="34.05" customHeight="1">
      <c r="A73" s="65" t="s">
        <v>323</v>
      </c>
      <c r="C73" s="66"/>
      <c r="D73" s="66" t="s">
        <v>64</v>
      </c>
      <c r="E73" s="67">
        <v>163.0969526952888</v>
      </c>
      <c r="F73" s="69"/>
      <c r="G73" s="103" t="str">
        <f>HYPERLINK("https://pbs.twimg.com/profile_images/1054590151911923718/jE9LaBAi_normal.jpg")</f>
        <v>https://pbs.twimg.com/profile_images/1054590151911923718/jE9LaBAi_normal.jpg</v>
      </c>
      <c r="H73" s="66"/>
      <c r="I73" s="70" t="s">
        <v>323</v>
      </c>
      <c r="J73" s="71"/>
      <c r="K73" s="71"/>
      <c r="L73" s="70" t="s">
        <v>1281</v>
      </c>
      <c r="M73" s="74">
        <v>3.1970663297157724</v>
      </c>
      <c r="N73" s="75">
        <v>3742.9853515625</v>
      </c>
      <c r="O73" s="75">
        <v>7679.53564453125</v>
      </c>
      <c r="P73" s="76"/>
      <c r="Q73" s="77"/>
      <c r="R73" s="77"/>
      <c r="S73" s="89"/>
      <c r="T73" s="49">
        <v>1</v>
      </c>
      <c r="U73" s="49">
        <v>0</v>
      </c>
      <c r="V73" s="50">
        <v>0</v>
      </c>
      <c r="W73" s="50">
        <v>0.004444</v>
      </c>
      <c r="X73" s="50">
        <v>0.007856</v>
      </c>
      <c r="Y73" s="50">
        <v>0.395968</v>
      </c>
      <c r="Z73" s="50">
        <v>0</v>
      </c>
      <c r="AA73" s="50">
        <v>0</v>
      </c>
      <c r="AB73" s="72">
        <v>73</v>
      </c>
      <c r="AC73" s="72"/>
      <c r="AD73" s="73"/>
      <c r="AE73" s="79" t="s">
        <v>866</v>
      </c>
      <c r="AF73" s="87" t="s">
        <v>982</v>
      </c>
      <c r="AG73" s="79">
        <v>324</v>
      </c>
      <c r="AH73" s="79">
        <v>749</v>
      </c>
      <c r="AI73" s="79">
        <v>2178</v>
      </c>
      <c r="AJ73" s="79">
        <v>4431</v>
      </c>
      <c r="AK73" s="79"/>
      <c r="AL73" s="79" t="s">
        <v>1095</v>
      </c>
      <c r="AM73" s="79" t="s">
        <v>1184</v>
      </c>
      <c r="AN73" s="79"/>
      <c r="AO73" s="79"/>
      <c r="AP73" s="81">
        <v>40885.62509259259</v>
      </c>
      <c r="AQ73" s="79"/>
      <c r="AR73" s="79" t="b">
        <v>0</v>
      </c>
      <c r="AS73" s="79" t="b">
        <v>0</v>
      </c>
      <c r="AT73" s="79" t="b">
        <v>0</v>
      </c>
      <c r="AU73" s="79"/>
      <c r="AV73" s="79">
        <v>1</v>
      </c>
      <c r="AW73" s="83" t="str">
        <f>HYPERLINK("https://abs.twimg.com/images/themes/theme1/bg.png")</f>
        <v>https://abs.twimg.com/images/themes/theme1/bg.png</v>
      </c>
      <c r="AX73" s="79" t="b">
        <v>0</v>
      </c>
      <c r="AY73" s="79" t="s">
        <v>1211</v>
      </c>
      <c r="AZ73" s="83" t="str">
        <f>HYPERLINK("https://twitter.com/arasheedgn")</f>
        <v>https://twitter.com/arasheedgn</v>
      </c>
      <c r="BA73" s="79" t="s">
        <v>65</v>
      </c>
      <c r="BB73" s="79" t="str">
        <f>REPLACE(INDEX(GroupVertices[Group],MATCH(Vertices[[#This Row],[Vertex]],GroupVertices[Vertex],0)),1,1,"")</f>
        <v>1</v>
      </c>
      <c r="BC73" s="49"/>
      <c r="BD73" s="49"/>
      <c r="BE73" s="49"/>
      <c r="BF73" s="49"/>
      <c r="BG73" s="49"/>
      <c r="BH73" s="49"/>
      <c r="BI73" s="49"/>
      <c r="BJ73" s="49"/>
      <c r="BK73" s="49"/>
      <c r="BL73" s="49"/>
      <c r="BM73" s="49"/>
      <c r="BN73" s="50"/>
      <c r="BO73" s="49"/>
      <c r="BP73" s="50"/>
      <c r="BQ73" s="49"/>
      <c r="BR73" s="50"/>
      <c r="BS73" s="49"/>
      <c r="BT73" s="50"/>
      <c r="BU73" s="49"/>
      <c r="BV73" s="2"/>
      <c r="BW73" s="3"/>
      <c r="BX73" s="3"/>
      <c r="BY73" s="3"/>
      <c r="BZ73" s="3"/>
    </row>
    <row r="74" spans="1:78" ht="34.05" customHeight="1">
      <c r="A74" s="65" t="s">
        <v>282</v>
      </c>
      <c r="C74" s="66"/>
      <c r="D74" s="66" t="s">
        <v>64</v>
      </c>
      <c r="E74" s="67">
        <v>169.27097789203444</v>
      </c>
      <c r="F74" s="69"/>
      <c r="G74" s="103" t="str">
        <f>HYPERLINK("https://pbs.twimg.com/profile_images/1353646777224867841/svRzxZ4u_normal.jpg")</f>
        <v>https://pbs.twimg.com/profile_images/1353646777224867841/svRzxZ4u_normal.jpg</v>
      </c>
      <c r="H74" s="66"/>
      <c r="I74" s="70" t="s">
        <v>282</v>
      </c>
      <c r="J74" s="71"/>
      <c r="K74" s="71"/>
      <c r="L74" s="70" t="s">
        <v>1282</v>
      </c>
      <c r="M74" s="74">
        <v>15.562907570495723</v>
      </c>
      <c r="N74" s="75">
        <v>7929.0146484375</v>
      </c>
      <c r="O74" s="75">
        <v>8877.560546875</v>
      </c>
      <c r="P74" s="76"/>
      <c r="Q74" s="77"/>
      <c r="R74" s="77"/>
      <c r="S74" s="89"/>
      <c r="T74" s="49">
        <v>3</v>
      </c>
      <c r="U74" s="49">
        <v>2</v>
      </c>
      <c r="V74" s="50">
        <v>0</v>
      </c>
      <c r="W74" s="50">
        <v>0.004484</v>
      </c>
      <c r="X74" s="50">
        <v>0.009738</v>
      </c>
      <c r="Y74" s="50">
        <v>0.887237</v>
      </c>
      <c r="Z74" s="50">
        <v>0.8333333333333334</v>
      </c>
      <c r="AA74" s="50">
        <v>0.6666666666666666</v>
      </c>
      <c r="AB74" s="72">
        <v>74</v>
      </c>
      <c r="AC74" s="72"/>
      <c r="AD74" s="73"/>
      <c r="AE74" s="79" t="s">
        <v>867</v>
      </c>
      <c r="AF74" s="87" t="s">
        <v>983</v>
      </c>
      <c r="AG74" s="79">
        <v>463</v>
      </c>
      <c r="AH74" s="79">
        <v>4959</v>
      </c>
      <c r="AI74" s="79">
        <v>14056</v>
      </c>
      <c r="AJ74" s="79">
        <v>10189</v>
      </c>
      <c r="AK74" s="79"/>
      <c r="AL74" s="79" t="s">
        <v>1096</v>
      </c>
      <c r="AM74" s="79" t="s">
        <v>1185</v>
      </c>
      <c r="AN74" s="83" t="str">
        <f>HYPERLINK("https://t.co/seDgNDuI0y")</f>
        <v>https://t.co/seDgNDuI0y</v>
      </c>
      <c r="AO74" s="79"/>
      <c r="AP74" s="81">
        <v>39842.46671296296</v>
      </c>
      <c r="AQ74" s="83" t="str">
        <f>HYPERLINK("https://pbs.twimg.com/profile_banners/19706254/1611569571")</f>
        <v>https://pbs.twimg.com/profile_banners/19706254/1611569571</v>
      </c>
      <c r="AR74" s="79" t="b">
        <v>0</v>
      </c>
      <c r="AS74" s="79" t="b">
        <v>0</v>
      </c>
      <c r="AT74" s="79" t="b">
        <v>0</v>
      </c>
      <c r="AU74" s="79"/>
      <c r="AV74" s="79">
        <v>239</v>
      </c>
      <c r="AW74" s="83" t="str">
        <f>HYPERLINK("https://abs.twimg.com/images/themes/theme5/bg.gif")</f>
        <v>https://abs.twimg.com/images/themes/theme5/bg.gif</v>
      </c>
      <c r="AX74" s="79" t="b">
        <v>0</v>
      </c>
      <c r="AY74" s="79" t="s">
        <v>1211</v>
      </c>
      <c r="AZ74" s="83" t="str">
        <f>HYPERLINK("https://twitter.com/timunwin")</f>
        <v>https://twitter.com/timunwin</v>
      </c>
      <c r="BA74" s="79" t="s">
        <v>66</v>
      </c>
      <c r="BB74" s="79" t="str">
        <f>REPLACE(INDEX(GroupVertices[Group],MATCH(Vertices[[#This Row],[Vertex]],GroupVertices[Vertex],0)),1,1,"")</f>
        <v>3</v>
      </c>
      <c r="BC74" s="49" t="s">
        <v>1384</v>
      </c>
      <c r="BD74" s="49" t="s">
        <v>1384</v>
      </c>
      <c r="BE74" s="49" t="s">
        <v>444</v>
      </c>
      <c r="BF74" s="49" t="s">
        <v>444</v>
      </c>
      <c r="BG74" s="49" t="s">
        <v>456</v>
      </c>
      <c r="BH74" s="49" t="s">
        <v>1729</v>
      </c>
      <c r="BI74" s="108" t="s">
        <v>1756</v>
      </c>
      <c r="BJ74" s="108" t="s">
        <v>1771</v>
      </c>
      <c r="BK74" s="108" t="s">
        <v>1793</v>
      </c>
      <c r="BL74" s="108" t="s">
        <v>1808</v>
      </c>
      <c r="BM74" s="108">
        <v>2</v>
      </c>
      <c r="BN74" s="111">
        <v>3.1746031746031744</v>
      </c>
      <c r="BO74" s="108">
        <v>0</v>
      </c>
      <c r="BP74" s="111">
        <v>0</v>
      </c>
      <c r="BQ74" s="108">
        <v>0</v>
      </c>
      <c r="BR74" s="111">
        <v>0</v>
      </c>
      <c r="BS74" s="108">
        <v>61</v>
      </c>
      <c r="BT74" s="111">
        <v>96.82539682539682</v>
      </c>
      <c r="BU74" s="108">
        <v>63</v>
      </c>
      <c r="BV74" s="2"/>
      <c r="BW74" s="3"/>
      <c r="BX74" s="3"/>
      <c r="BY74" s="3"/>
      <c r="BZ74" s="3"/>
    </row>
    <row r="75" spans="1:78" ht="34.05" customHeight="1">
      <c r="A75" s="65" t="s">
        <v>283</v>
      </c>
      <c r="C75" s="66"/>
      <c r="D75" s="66" t="s">
        <v>64</v>
      </c>
      <c r="E75" s="67">
        <v>163.08375406660215</v>
      </c>
      <c r="F75" s="69"/>
      <c r="G75" s="103" t="str">
        <f>HYPERLINK("https://pbs.twimg.com/profile_images/781868419213881344/z7zV8J-1_normal.jpg")</f>
        <v>https://pbs.twimg.com/profile_images/781868419213881344/z7zV8J-1_normal.jpg</v>
      </c>
      <c r="H75" s="66"/>
      <c r="I75" s="70" t="s">
        <v>283</v>
      </c>
      <c r="J75" s="71"/>
      <c r="K75" s="71"/>
      <c r="L75" s="70" t="s">
        <v>1283</v>
      </c>
      <c r="M75" s="74">
        <v>3.1706310396523474</v>
      </c>
      <c r="N75" s="75">
        <v>7768.45361328125</v>
      </c>
      <c r="O75" s="75">
        <v>8416.3544921875</v>
      </c>
      <c r="P75" s="76"/>
      <c r="Q75" s="77"/>
      <c r="R75" s="77"/>
      <c r="S75" s="89"/>
      <c r="T75" s="49">
        <v>3</v>
      </c>
      <c r="U75" s="49">
        <v>2</v>
      </c>
      <c r="V75" s="50">
        <v>0</v>
      </c>
      <c r="W75" s="50">
        <v>0.004484</v>
      </c>
      <c r="X75" s="50">
        <v>0.009738</v>
      </c>
      <c r="Y75" s="50">
        <v>0.887237</v>
      </c>
      <c r="Z75" s="50">
        <v>0.8333333333333334</v>
      </c>
      <c r="AA75" s="50">
        <v>0.6666666666666666</v>
      </c>
      <c r="AB75" s="72">
        <v>75</v>
      </c>
      <c r="AC75" s="72"/>
      <c r="AD75" s="73"/>
      <c r="AE75" s="79" t="s">
        <v>868</v>
      </c>
      <c r="AF75" s="87" t="s">
        <v>984</v>
      </c>
      <c r="AG75" s="79">
        <v>100</v>
      </c>
      <c r="AH75" s="79">
        <v>740</v>
      </c>
      <c r="AI75" s="79">
        <v>453</v>
      </c>
      <c r="AJ75" s="79">
        <v>357</v>
      </c>
      <c r="AK75" s="79"/>
      <c r="AL75" s="79"/>
      <c r="AM75" s="79"/>
      <c r="AN75" s="83" t="str">
        <f>HYPERLINK("https://t.co/sp7tz2fTF4")</f>
        <v>https://t.co/sp7tz2fTF4</v>
      </c>
      <c r="AO75" s="79"/>
      <c r="AP75" s="81">
        <v>42643.61157407407</v>
      </c>
      <c r="AQ75" s="83" t="str">
        <f>HYPERLINK("https://pbs.twimg.com/profile_banners/781866355834380288/1475247647")</f>
        <v>https://pbs.twimg.com/profile_banners/781866355834380288/1475247647</v>
      </c>
      <c r="AR75" s="79" t="b">
        <v>0</v>
      </c>
      <c r="AS75" s="79" t="b">
        <v>0</v>
      </c>
      <c r="AT75" s="79" t="b">
        <v>0</v>
      </c>
      <c r="AU75" s="79"/>
      <c r="AV75" s="79">
        <v>19</v>
      </c>
      <c r="AW75" s="83" t="str">
        <f>HYPERLINK("https://abs.twimg.com/images/themes/theme1/bg.png")</f>
        <v>https://abs.twimg.com/images/themes/theme1/bg.png</v>
      </c>
      <c r="AX75" s="79" t="b">
        <v>0</v>
      </c>
      <c r="AY75" s="79" t="s">
        <v>1211</v>
      </c>
      <c r="AZ75" s="83" t="str">
        <f>HYPERLINK("https://twitter.com/unescoict4d")</f>
        <v>https://twitter.com/unescoict4d</v>
      </c>
      <c r="BA75" s="79" t="s">
        <v>66</v>
      </c>
      <c r="BB75" s="79" t="str">
        <f>REPLACE(INDEX(GroupVertices[Group],MATCH(Vertices[[#This Row],[Vertex]],GroupVertices[Vertex],0)),1,1,"")</f>
        <v>3</v>
      </c>
      <c r="BC75" s="49" t="s">
        <v>1384</v>
      </c>
      <c r="BD75" s="49" t="s">
        <v>1384</v>
      </c>
      <c r="BE75" s="49" t="s">
        <v>444</v>
      </c>
      <c r="BF75" s="49" t="s">
        <v>444</v>
      </c>
      <c r="BG75" s="49" t="s">
        <v>456</v>
      </c>
      <c r="BH75" s="49" t="s">
        <v>456</v>
      </c>
      <c r="BI75" s="108" t="s">
        <v>1757</v>
      </c>
      <c r="BJ75" s="108" t="s">
        <v>1757</v>
      </c>
      <c r="BK75" s="108" t="s">
        <v>1794</v>
      </c>
      <c r="BL75" s="108" t="s">
        <v>1794</v>
      </c>
      <c r="BM75" s="108">
        <v>0</v>
      </c>
      <c r="BN75" s="111">
        <v>0</v>
      </c>
      <c r="BO75" s="108">
        <v>0</v>
      </c>
      <c r="BP75" s="111">
        <v>0</v>
      </c>
      <c r="BQ75" s="108">
        <v>0</v>
      </c>
      <c r="BR75" s="111">
        <v>0</v>
      </c>
      <c r="BS75" s="108">
        <v>27</v>
      </c>
      <c r="BT75" s="111">
        <v>100</v>
      </c>
      <c r="BU75" s="108">
        <v>27</v>
      </c>
      <c r="BV75" s="2"/>
      <c r="BW75" s="3"/>
      <c r="BX75" s="3"/>
      <c r="BY75" s="3"/>
      <c r="BZ75" s="3"/>
    </row>
    <row r="76" spans="1:78" ht="34.05" customHeight="1">
      <c r="A76" s="65" t="s">
        <v>324</v>
      </c>
      <c r="C76" s="66"/>
      <c r="D76" s="66" t="s">
        <v>64</v>
      </c>
      <c r="E76" s="67">
        <v>1000</v>
      </c>
      <c r="F76" s="69"/>
      <c r="G76" s="103" t="str">
        <f>HYPERLINK("https://pbs.twimg.com/profile_images/1193577087308828678/qyDyCXQP_normal.jpg")</f>
        <v>https://pbs.twimg.com/profile_images/1193577087308828678/qyDyCXQP_normal.jpg</v>
      </c>
      <c r="H76" s="66"/>
      <c r="I76" s="70" t="s">
        <v>324</v>
      </c>
      <c r="J76" s="71"/>
      <c r="K76" s="71"/>
      <c r="L76" s="70" t="s">
        <v>1284</v>
      </c>
      <c r="M76" s="74">
        <v>9999</v>
      </c>
      <c r="N76" s="75">
        <v>8507.861328125</v>
      </c>
      <c r="O76" s="75">
        <v>9053.8095703125</v>
      </c>
      <c r="P76" s="76"/>
      <c r="Q76" s="77"/>
      <c r="R76" s="77"/>
      <c r="S76" s="89"/>
      <c r="T76" s="49">
        <v>2</v>
      </c>
      <c r="U76" s="49">
        <v>0</v>
      </c>
      <c r="V76" s="50">
        <v>0</v>
      </c>
      <c r="W76" s="50">
        <v>0.004464</v>
      </c>
      <c r="X76" s="50">
        <v>0.008869</v>
      </c>
      <c r="Y76" s="50">
        <v>0.635854</v>
      </c>
      <c r="Z76" s="50">
        <v>1</v>
      </c>
      <c r="AA76" s="50">
        <v>0</v>
      </c>
      <c r="AB76" s="72">
        <v>76</v>
      </c>
      <c r="AC76" s="72"/>
      <c r="AD76" s="73"/>
      <c r="AE76" s="79" t="s">
        <v>869</v>
      </c>
      <c r="AF76" s="87" t="s">
        <v>985</v>
      </c>
      <c r="AG76" s="79">
        <v>2103</v>
      </c>
      <c r="AH76" s="79">
        <v>3403860</v>
      </c>
      <c r="AI76" s="79">
        <v>29507</v>
      </c>
      <c r="AJ76" s="79">
        <v>22773</v>
      </c>
      <c r="AK76" s="79"/>
      <c r="AL76" s="79" t="s">
        <v>1097</v>
      </c>
      <c r="AM76" s="79"/>
      <c r="AN76" s="83" t="str">
        <f>HYPERLINK("https://t.co/BChdPGRroe")</f>
        <v>https://t.co/BChdPGRroe</v>
      </c>
      <c r="AO76" s="79"/>
      <c r="AP76" s="81">
        <v>39856.07376157407</v>
      </c>
      <c r="AQ76" s="83" t="str">
        <f>HYPERLINK("https://pbs.twimg.com/profile_banners/20646711/1604345463")</f>
        <v>https://pbs.twimg.com/profile_banners/20646711/1604345463</v>
      </c>
      <c r="AR76" s="79" t="b">
        <v>0</v>
      </c>
      <c r="AS76" s="79" t="b">
        <v>0</v>
      </c>
      <c r="AT76" s="79" t="b">
        <v>1</v>
      </c>
      <c r="AU76" s="79"/>
      <c r="AV76" s="79">
        <v>9404</v>
      </c>
      <c r="AW76" s="83" t="str">
        <f>HYPERLINK("https://abs.twimg.com/images/themes/theme4/bg.gif")</f>
        <v>https://abs.twimg.com/images/themes/theme4/bg.gif</v>
      </c>
      <c r="AX76" s="79" t="b">
        <v>1</v>
      </c>
      <c r="AY76" s="79" t="s">
        <v>1211</v>
      </c>
      <c r="AZ76" s="83" t="str">
        <f>HYPERLINK("https://twitter.com/unesco")</f>
        <v>https://twitter.com/unesco</v>
      </c>
      <c r="BA76" s="79" t="s">
        <v>65</v>
      </c>
      <c r="BB76" s="79" t="str">
        <f>REPLACE(INDEX(GroupVertices[Group],MATCH(Vertices[[#This Row],[Vertex]],GroupVertices[Vertex],0)),1,1,"")</f>
        <v>3</v>
      </c>
      <c r="BC76" s="49"/>
      <c r="BD76" s="49"/>
      <c r="BE76" s="49"/>
      <c r="BF76" s="49"/>
      <c r="BG76" s="49"/>
      <c r="BH76" s="49"/>
      <c r="BI76" s="49"/>
      <c r="BJ76" s="49"/>
      <c r="BK76" s="49"/>
      <c r="BL76" s="49"/>
      <c r="BM76" s="49"/>
      <c r="BN76" s="50"/>
      <c r="BO76" s="49"/>
      <c r="BP76" s="50"/>
      <c r="BQ76" s="49"/>
      <c r="BR76" s="50"/>
      <c r="BS76" s="49"/>
      <c r="BT76" s="50"/>
      <c r="BU76" s="49"/>
      <c r="BV76" s="2"/>
      <c r="BW76" s="3"/>
      <c r="BX76" s="3"/>
      <c r="BY76" s="3"/>
      <c r="BZ76" s="3"/>
    </row>
    <row r="77" spans="1:78" ht="34.05" customHeight="1">
      <c r="A77" s="65" t="s">
        <v>325</v>
      </c>
      <c r="C77" s="66"/>
      <c r="D77" s="66" t="s">
        <v>64</v>
      </c>
      <c r="E77" s="67">
        <v>1000</v>
      </c>
      <c r="F77" s="69"/>
      <c r="G77" s="103" t="str">
        <f>HYPERLINK("https://pbs.twimg.com/profile_images/762605287207342080/S6dpdHM8_normal.jpg")</f>
        <v>https://pbs.twimg.com/profile_images/762605287207342080/S6dpdHM8_normal.jpg</v>
      </c>
      <c r="H77" s="66"/>
      <c r="I77" s="70" t="s">
        <v>325</v>
      </c>
      <c r="J77" s="71"/>
      <c r="K77" s="71"/>
      <c r="L77" s="70" t="s">
        <v>1285</v>
      </c>
      <c r="M77" s="74">
        <v>5049.6616296385955</v>
      </c>
      <c r="N77" s="75">
        <v>2542.977783203125</v>
      </c>
      <c r="O77" s="75">
        <v>8191.001953125</v>
      </c>
      <c r="P77" s="76"/>
      <c r="Q77" s="77"/>
      <c r="R77" s="77"/>
      <c r="S77" s="89"/>
      <c r="T77" s="49">
        <v>1</v>
      </c>
      <c r="U77" s="49">
        <v>0</v>
      </c>
      <c r="V77" s="50">
        <v>0</v>
      </c>
      <c r="W77" s="50">
        <v>0.004444</v>
      </c>
      <c r="X77" s="50">
        <v>0.007856</v>
      </c>
      <c r="Y77" s="50">
        <v>0.395968</v>
      </c>
      <c r="Z77" s="50">
        <v>0</v>
      </c>
      <c r="AA77" s="50">
        <v>0</v>
      </c>
      <c r="AB77" s="72">
        <v>77</v>
      </c>
      <c r="AC77" s="72"/>
      <c r="AD77" s="73"/>
      <c r="AE77" s="79" t="s">
        <v>870</v>
      </c>
      <c r="AF77" s="87" t="s">
        <v>986</v>
      </c>
      <c r="AG77" s="79">
        <v>202</v>
      </c>
      <c r="AH77" s="79">
        <v>1718838</v>
      </c>
      <c r="AI77" s="79">
        <v>63081</v>
      </c>
      <c r="AJ77" s="79">
        <v>405</v>
      </c>
      <c r="AK77" s="79"/>
      <c r="AL77" s="79" t="s">
        <v>1098</v>
      </c>
      <c r="AM77" s="79" t="s">
        <v>1186</v>
      </c>
      <c r="AN77" s="83" t="str">
        <f>HYPERLINK("https://t.co/c2zAHp1bDD")</f>
        <v>https://t.co/c2zAHp1bDD</v>
      </c>
      <c r="AO77" s="79"/>
      <c r="AP77" s="81">
        <v>41816.197650462964</v>
      </c>
      <c r="AQ77" s="83" t="str">
        <f>HYPERLINK("https://pbs.twimg.com/profile_banners/2588841246/1572422367")</f>
        <v>https://pbs.twimg.com/profile_banners/2588841246/1572422367</v>
      </c>
      <c r="AR77" s="79" t="b">
        <v>0</v>
      </c>
      <c r="AS77" s="79" t="b">
        <v>0</v>
      </c>
      <c r="AT77" s="79" t="b">
        <v>0</v>
      </c>
      <c r="AU77" s="79"/>
      <c r="AV77" s="79">
        <v>495</v>
      </c>
      <c r="AW77" s="83" t="str">
        <f>HYPERLINK("https://abs.twimg.com/images/themes/theme1/bg.png")</f>
        <v>https://abs.twimg.com/images/themes/theme1/bg.png</v>
      </c>
      <c r="AX77" s="79" t="b">
        <v>1</v>
      </c>
      <c r="AY77" s="79" t="s">
        <v>1211</v>
      </c>
      <c r="AZ77" s="83" t="str">
        <f>HYPERLINK("https://twitter.com/upgovt")</f>
        <v>https://twitter.com/upgovt</v>
      </c>
      <c r="BA77" s="79" t="s">
        <v>65</v>
      </c>
      <c r="BB77" s="79" t="str">
        <f>REPLACE(INDEX(GroupVertices[Group],MATCH(Vertices[[#This Row],[Vertex]],GroupVertices[Vertex],0)),1,1,"")</f>
        <v>1</v>
      </c>
      <c r="BC77" s="49"/>
      <c r="BD77" s="49"/>
      <c r="BE77" s="49"/>
      <c r="BF77" s="49"/>
      <c r="BG77" s="49"/>
      <c r="BH77" s="49"/>
      <c r="BI77" s="49"/>
      <c r="BJ77" s="49"/>
      <c r="BK77" s="49"/>
      <c r="BL77" s="49"/>
      <c r="BM77" s="49"/>
      <c r="BN77" s="50"/>
      <c r="BO77" s="49"/>
      <c r="BP77" s="50"/>
      <c r="BQ77" s="49"/>
      <c r="BR77" s="50"/>
      <c r="BS77" s="49"/>
      <c r="BT77" s="50"/>
      <c r="BU77" s="49"/>
      <c r="BV77" s="2"/>
      <c r="BW77" s="3"/>
      <c r="BX77" s="3"/>
      <c r="BY77" s="3"/>
      <c r="BZ77" s="3"/>
    </row>
    <row r="78" spans="1:78" ht="34.05" customHeight="1">
      <c r="A78" s="65" t="s">
        <v>326</v>
      </c>
      <c r="C78" s="66"/>
      <c r="D78" s="66" t="s">
        <v>64</v>
      </c>
      <c r="E78" s="67">
        <v>162.17891474441876</v>
      </c>
      <c r="F78" s="69"/>
      <c r="G78" s="103" t="str">
        <f>HYPERLINK("https://pbs.twimg.com/profile_images/378800000020339633/bf59172a557b30322a076fe07a643eb0_normal.jpeg")</f>
        <v>https://pbs.twimg.com/profile_images/378800000020339633/bf59172a557b30322a076fe07a643eb0_normal.jpeg</v>
      </c>
      <c r="H78" s="66"/>
      <c r="I78" s="70" t="s">
        <v>326</v>
      </c>
      <c r="J78" s="71"/>
      <c r="K78" s="71"/>
      <c r="L78" s="70" t="s">
        <v>1286</v>
      </c>
      <c r="M78" s="74">
        <v>1.3583450430819843</v>
      </c>
      <c r="N78" s="75">
        <v>3070.160888671875</v>
      </c>
      <c r="O78" s="75">
        <v>5499.73193359375</v>
      </c>
      <c r="P78" s="76"/>
      <c r="Q78" s="77"/>
      <c r="R78" s="77"/>
      <c r="S78" s="89"/>
      <c r="T78" s="49">
        <v>1</v>
      </c>
      <c r="U78" s="49">
        <v>0</v>
      </c>
      <c r="V78" s="50">
        <v>0</v>
      </c>
      <c r="W78" s="50">
        <v>0.004444</v>
      </c>
      <c r="X78" s="50">
        <v>0.007856</v>
      </c>
      <c r="Y78" s="50">
        <v>0.395968</v>
      </c>
      <c r="Z78" s="50">
        <v>0</v>
      </c>
      <c r="AA78" s="50">
        <v>0</v>
      </c>
      <c r="AB78" s="72">
        <v>78</v>
      </c>
      <c r="AC78" s="72"/>
      <c r="AD78" s="73"/>
      <c r="AE78" s="79" t="s">
        <v>871</v>
      </c>
      <c r="AF78" s="87" t="s">
        <v>987</v>
      </c>
      <c r="AG78" s="79">
        <v>36</v>
      </c>
      <c r="AH78" s="79">
        <v>123</v>
      </c>
      <c r="AI78" s="79">
        <v>147</v>
      </c>
      <c r="AJ78" s="79">
        <v>13</v>
      </c>
      <c r="AK78" s="79"/>
      <c r="AL78" s="79"/>
      <c r="AM78" s="79"/>
      <c r="AN78" s="79"/>
      <c r="AO78" s="79"/>
      <c r="AP78" s="81">
        <v>40652.80489583333</v>
      </c>
      <c r="AQ78" s="79"/>
      <c r="AR78" s="79" t="b">
        <v>1</v>
      </c>
      <c r="AS78" s="79" t="b">
        <v>0</v>
      </c>
      <c r="AT78" s="79" t="b">
        <v>0</v>
      </c>
      <c r="AU78" s="79"/>
      <c r="AV78" s="79">
        <v>4</v>
      </c>
      <c r="AW78" s="83" t="str">
        <f>HYPERLINK("https://abs.twimg.com/images/themes/theme1/bg.png")</f>
        <v>https://abs.twimg.com/images/themes/theme1/bg.png</v>
      </c>
      <c r="AX78" s="79" t="b">
        <v>0</v>
      </c>
      <c r="AY78" s="79" t="s">
        <v>1211</v>
      </c>
      <c r="AZ78" s="83" t="str">
        <f>HYPERLINK("https://twitter.com/diana_elazar")</f>
        <v>https://twitter.com/diana_elazar</v>
      </c>
      <c r="BA78" s="79" t="s">
        <v>65</v>
      </c>
      <c r="BB78" s="79" t="str">
        <f>REPLACE(INDEX(GroupVertices[Group],MATCH(Vertices[[#This Row],[Vertex]],GroupVertices[Vertex],0)),1,1,"")</f>
        <v>1</v>
      </c>
      <c r="BC78" s="49"/>
      <c r="BD78" s="49"/>
      <c r="BE78" s="49"/>
      <c r="BF78" s="49"/>
      <c r="BG78" s="49"/>
      <c r="BH78" s="49"/>
      <c r="BI78" s="49"/>
      <c r="BJ78" s="49"/>
      <c r="BK78" s="49"/>
      <c r="BL78" s="49"/>
      <c r="BM78" s="49"/>
      <c r="BN78" s="50"/>
      <c r="BO78" s="49"/>
      <c r="BP78" s="50"/>
      <c r="BQ78" s="49"/>
      <c r="BR78" s="50"/>
      <c r="BS78" s="49"/>
      <c r="BT78" s="50"/>
      <c r="BU78" s="49"/>
      <c r="BV78" s="2"/>
      <c r="BW78" s="3"/>
      <c r="BX78" s="3"/>
      <c r="BY78" s="3"/>
      <c r="BZ78" s="3"/>
    </row>
    <row r="79" spans="1:78" ht="34.05" customHeight="1">
      <c r="A79" s="65" t="s">
        <v>327</v>
      </c>
      <c r="C79" s="66"/>
      <c r="D79" s="66" t="s">
        <v>64</v>
      </c>
      <c r="E79" s="67">
        <v>190.8610013947636</v>
      </c>
      <c r="F79" s="69"/>
      <c r="G79" s="103" t="str">
        <f>HYPERLINK("https://pbs.twimg.com/profile_images/829123099757002756/W4Vddj9E_normal.jpg")</f>
        <v>https://pbs.twimg.com/profile_images/829123099757002756/W4Vddj9E_normal.jpg</v>
      </c>
      <c r="H79" s="66"/>
      <c r="I79" s="70" t="s">
        <v>327</v>
      </c>
      <c r="J79" s="71"/>
      <c r="K79" s="71"/>
      <c r="L79" s="70" t="s">
        <v>1287</v>
      </c>
      <c r="M79" s="74">
        <v>58.805167605356154</v>
      </c>
      <c r="N79" s="75">
        <v>569.3906860351562</v>
      </c>
      <c r="O79" s="75">
        <v>6162.86474609375</v>
      </c>
      <c r="P79" s="76"/>
      <c r="Q79" s="77"/>
      <c r="R79" s="77"/>
      <c r="S79" s="89"/>
      <c r="T79" s="49">
        <v>1</v>
      </c>
      <c r="U79" s="49">
        <v>0</v>
      </c>
      <c r="V79" s="50">
        <v>0</v>
      </c>
      <c r="W79" s="50">
        <v>0.004444</v>
      </c>
      <c r="X79" s="50">
        <v>0.007856</v>
      </c>
      <c r="Y79" s="50">
        <v>0.395968</v>
      </c>
      <c r="Z79" s="50">
        <v>0</v>
      </c>
      <c r="AA79" s="50">
        <v>0</v>
      </c>
      <c r="AB79" s="72">
        <v>79</v>
      </c>
      <c r="AC79" s="72"/>
      <c r="AD79" s="73"/>
      <c r="AE79" s="79" t="s">
        <v>872</v>
      </c>
      <c r="AF79" s="87" t="s">
        <v>988</v>
      </c>
      <c r="AG79" s="79">
        <v>1078</v>
      </c>
      <c r="AH79" s="79">
        <v>19681</v>
      </c>
      <c r="AI79" s="79">
        <v>10246</v>
      </c>
      <c r="AJ79" s="79">
        <v>619</v>
      </c>
      <c r="AK79" s="79"/>
      <c r="AL79" s="79" t="s">
        <v>1099</v>
      </c>
      <c r="AM79" s="79" t="s">
        <v>1187</v>
      </c>
      <c r="AN79" s="83" t="str">
        <f>HYPERLINK("http://t.co/X5UtziRIkD")</f>
        <v>http://t.co/X5UtziRIkD</v>
      </c>
      <c r="AO79" s="79"/>
      <c r="AP79" s="81">
        <v>39800.988530092596</v>
      </c>
      <c r="AQ79" s="83" t="str">
        <f>HYPERLINK("https://pbs.twimg.com/profile_banners/18228921/1507075529")</f>
        <v>https://pbs.twimg.com/profile_banners/18228921/1507075529</v>
      </c>
      <c r="AR79" s="79" t="b">
        <v>0</v>
      </c>
      <c r="AS79" s="79" t="b">
        <v>0</v>
      </c>
      <c r="AT79" s="79" t="b">
        <v>1</v>
      </c>
      <c r="AU79" s="79"/>
      <c r="AV79" s="79">
        <v>914</v>
      </c>
      <c r="AW79" s="83" t="str">
        <f>HYPERLINK("https://abs.twimg.com/images/themes/theme1/bg.png")</f>
        <v>https://abs.twimg.com/images/themes/theme1/bg.png</v>
      </c>
      <c r="AX79" s="79" t="b">
        <v>0</v>
      </c>
      <c r="AY79" s="79" t="s">
        <v>1211</v>
      </c>
      <c r="AZ79" s="83" t="str">
        <f>HYPERLINK("https://twitter.com/christenseninst")</f>
        <v>https://twitter.com/christenseninst</v>
      </c>
      <c r="BA79" s="79" t="s">
        <v>65</v>
      </c>
      <c r="BB79" s="79" t="str">
        <f>REPLACE(INDEX(GroupVertices[Group],MATCH(Vertices[[#This Row],[Vertex]],GroupVertices[Vertex],0)),1,1,"")</f>
        <v>1</v>
      </c>
      <c r="BC79" s="49"/>
      <c r="BD79" s="49"/>
      <c r="BE79" s="49"/>
      <c r="BF79" s="49"/>
      <c r="BG79" s="49"/>
      <c r="BH79" s="49"/>
      <c r="BI79" s="49"/>
      <c r="BJ79" s="49"/>
      <c r="BK79" s="49"/>
      <c r="BL79" s="49"/>
      <c r="BM79" s="49"/>
      <c r="BN79" s="50"/>
      <c r="BO79" s="49"/>
      <c r="BP79" s="50"/>
      <c r="BQ79" s="49"/>
      <c r="BR79" s="50"/>
      <c r="BS79" s="49"/>
      <c r="BT79" s="50"/>
      <c r="BU79" s="49"/>
      <c r="BV79" s="2"/>
      <c r="BW79" s="3"/>
      <c r="BX79" s="3"/>
      <c r="BY79" s="3"/>
      <c r="BZ79" s="3"/>
    </row>
    <row r="80" spans="1:78" ht="34.05" customHeight="1">
      <c r="A80" s="65" t="s">
        <v>328</v>
      </c>
      <c r="C80" s="66"/>
      <c r="D80" s="66" t="s">
        <v>64</v>
      </c>
      <c r="E80" s="67">
        <v>162.83884617875023</v>
      </c>
      <c r="F80" s="69"/>
      <c r="G80" s="103" t="str">
        <f>HYPERLINK("https://pbs.twimg.com/profile_images/982370187419643905/WykR7lvr_normal.jpg")</f>
        <v>https://pbs.twimg.com/profile_images/982370187419643905/WykR7lvr_normal.jpg</v>
      </c>
      <c r="H80" s="66"/>
      <c r="I80" s="70" t="s">
        <v>328</v>
      </c>
      <c r="J80" s="71"/>
      <c r="K80" s="71"/>
      <c r="L80" s="70" t="s">
        <v>1288</v>
      </c>
      <c r="M80" s="74">
        <v>2.680109546253238</v>
      </c>
      <c r="N80" s="75">
        <v>3758.580078125</v>
      </c>
      <c r="O80" s="75">
        <v>5555.6328125</v>
      </c>
      <c r="P80" s="76"/>
      <c r="Q80" s="77"/>
      <c r="R80" s="77"/>
      <c r="S80" s="89"/>
      <c r="T80" s="49">
        <v>1</v>
      </c>
      <c r="U80" s="49">
        <v>0</v>
      </c>
      <c r="V80" s="50">
        <v>0</v>
      </c>
      <c r="W80" s="50">
        <v>0.004444</v>
      </c>
      <c r="X80" s="50">
        <v>0.007856</v>
      </c>
      <c r="Y80" s="50">
        <v>0.395968</v>
      </c>
      <c r="Z80" s="50">
        <v>0</v>
      </c>
      <c r="AA80" s="50">
        <v>0</v>
      </c>
      <c r="AB80" s="72">
        <v>80</v>
      </c>
      <c r="AC80" s="72"/>
      <c r="AD80" s="73"/>
      <c r="AE80" s="79" t="s">
        <v>873</v>
      </c>
      <c r="AF80" s="87" t="s">
        <v>989</v>
      </c>
      <c r="AG80" s="79">
        <v>580</v>
      </c>
      <c r="AH80" s="79">
        <v>573</v>
      </c>
      <c r="AI80" s="79">
        <v>629</v>
      </c>
      <c r="AJ80" s="79">
        <v>836</v>
      </c>
      <c r="AK80" s="79"/>
      <c r="AL80" s="79" t="s">
        <v>1100</v>
      </c>
      <c r="AM80" s="79" t="s">
        <v>1188</v>
      </c>
      <c r="AN80" s="83" t="str">
        <f>HYPERLINK("https://t.co/qwE9bBDjao")</f>
        <v>https://t.co/qwE9bBDjao</v>
      </c>
      <c r="AO80" s="79"/>
      <c r="AP80" s="81">
        <v>40171.03089120371</v>
      </c>
      <c r="AQ80" s="83" t="str">
        <f>HYPERLINK("https://pbs.twimg.com/profile_banners/98993403/1606168635")</f>
        <v>https://pbs.twimg.com/profile_banners/98993403/1606168635</v>
      </c>
      <c r="AR80" s="79" t="b">
        <v>0</v>
      </c>
      <c r="AS80" s="79" t="b">
        <v>0</v>
      </c>
      <c r="AT80" s="79" t="b">
        <v>0</v>
      </c>
      <c r="AU80" s="79"/>
      <c r="AV80" s="79">
        <v>25</v>
      </c>
      <c r="AW80" s="83" t="str">
        <f>HYPERLINK("https://abs.twimg.com/images/themes/theme13/bg.gif")</f>
        <v>https://abs.twimg.com/images/themes/theme13/bg.gif</v>
      </c>
      <c r="AX80" s="79" t="b">
        <v>0</v>
      </c>
      <c r="AY80" s="79" t="s">
        <v>1211</v>
      </c>
      <c r="AZ80" s="83" t="str">
        <f>HYPERLINK("https://twitter.com/chelseawaite")</f>
        <v>https://twitter.com/chelseawaite</v>
      </c>
      <c r="BA80" s="79" t="s">
        <v>65</v>
      </c>
      <c r="BB80" s="79" t="str">
        <f>REPLACE(INDEX(GroupVertices[Group],MATCH(Vertices[[#This Row],[Vertex]],GroupVertices[Vertex],0)),1,1,"")</f>
        <v>1</v>
      </c>
      <c r="BC80" s="49"/>
      <c r="BD80" s="49"/>
      <c r="BE80" s="49"/>
      <c r="BF80" s="49"/>
      <c r="BG80" s="49"/>
      <c r="BH80" s="49"/>
      <c r="BI80" s="49"/>
      <c r="BJ80" s="49"/>
      <c r="BK80" s="49"/>
      <c r="BL80" s="49"/>
      <c r="BM80" s="49"/>
      <c r="BN80" s="50"/>
      <c r="BO80" s="49"/>
      <c r="BP80" s="50"/>
      <c r="BQ80" s="49"/>
      <c r="BR80" s="50"/>
      <c r="BS80" s="49"/>
      <c r="BT80" s="50"/>
      <c r="BU80" s="49"/>
      <c r="BV80" s="2"/>
      <c r="BW80" s="3"/>
      <c r="BX80" s="3"/>
      <c r="BY80" s="3"/>
      <c r="BZ80" s="3"/>
    </row>
    <row r="81" spans="1:78" ht="34.05" customHeight="1">
      <c r="A81" s="65" t="s">
        <v>329</v>
      </c>
      <c r="C81" s="66"/>
      <c r="D81" s="66" t="s">
        <v>64</v>
      </c>
      <c r="E81" s="67">
        <v>163.8639396734118</v>
      </c>
      <c r="F81" s="69"/>
      <c r="G81" s="103" t="str">
        <f>HYPERLINK("https://pbs.twimg.com/profile_images/616510508125003776/NdNLEZJR_normal.jpg")</f>
        <v>https://pbs.twimg.com/profile_images/616510508125003776/NdNLEZJR_normal.jpg</v>
      </c>
      <c r="H81" s="66"/>
      <c r="I81" s="70" t="s">
        <v>329</v>
      </c>
      <c r="J81" s="71"/>
      <c r="K81" s="71"/>
      <c r="L81" s="70" t="s">
        <v>1289</v>
      </c>
      <c r="M81" s="74">
        <v>4.733250407845919</v>
      </c>
      <c r="N81" s="75">
        <v>2981.001220703125</v>
      </c>
      <c r="O81" s="75">
        <v>9002.6025390625</v>
      </c>
      <c r="P81" s="76"/>
      <c r="Q81" s="77"/>
      <c r="R81" s="77"/>
      <c r="S81" s="89"/>
      <c r="T81" s="49">
        <v>1</v>
      </c>
      <c r="U81" s="49">
        <v>0</v>
      </c>
      <c r="V81" s="50">
        <v>0</v>
      </c>
      <c r="W81" s="50">
        <v>0.004444</v>
      </c>
      <c r="X81" s="50">
        <v>0.007856</v>
      </c>
      <c r="Y81" s="50">
        <v>0.395968</v>
      </c>
      <c r="Z81" s="50">
        <v>0</v>
      </c>
      <c r="AA81" s="50">
        <v>0</v>
      </c>
      <c r="AB81" s="72">
        <v>81</v>
      </c>
      <c r="AC81" s="72"/>
      <c r="AD81" s="73"/>
      <c r="AE81" s="79" t="s">
        <v>874</v>
      </c>
      <c r="AF81" s="87" t="s">
        <v>990</v>
      </c>
      <c r="AG81" s="79">
        <v>309</v>
      </c>
      <c r="AH81" s="79">
        <v>1272</v>
      </c>
      <c r="AI81" s="79">
        <v>1173</v>
      </c>
      <c r="AJ81" s="79">
        <v>342</v>
      </c>
      <c r="AK81" s="79"/>
      <c r="AL81" s="79" t="s">
        <v>1101</v>
      </c>
      <c r="AM81" s="79" t="s">
        <v>1189</v>
      </c>
      <c r="AN81" s="83" t="str">
        <f>HYPERLINK("https://t.co/aZyBvXu5oy")</f>
        <v>https://t.co/aZyBvXu5oy</v>
      </c>
      <c r="AO81" s="79"/>
      <c r="AP81" s="81">
        <v>39930.335277777776</v>
      </c>
      <c r="AQ81" s="79"/>
      <c r="AR81" s="79" t="b">
        <v>1</v>
      </c>
      <c r="AS81" s="79" t="b">
        <v>0</v>
      </c>
      <c r="AT81" s="79" t="b">
        <v>1</v>
      </c>
      <c r="AU81" s="79"/>
      <c r="AV81" s="79">
        <v>85</v>
      </c>
      <c r="AW81" s="83" t="str">
        <f>HYPERLINK("https://abs.twimg.com/images/themes/theme1/bg.png")</f>
        <v>https://abs.twimg.com/images/themes/theme1/bg.png</v>
      </c>
      <c r="AX81" s="79" t="b">
        <v>0</v>
      </c>
      <c r="AY81" s="79" t="s">
        <v>1211</v>
      </c>
      <c r="AZ81" s="83" t="str">
        <f>HYPERLINK("https://twitter.com/irislapinski")</f>
        <v>https://twitter.com/irislapinski</v>
      </c>
      <c r="BA81" s="79" t="s">
        <v>65</v>
      </c>
      <c r="BB81" s="79" t="str">
        <f>REPLACE(INDEX(GroupVertices[Group],MATCH(Vertices[[#This Row],[Vertex]],GroupVertices[Vertex],0)),1,1,"")</f>
        <v>1</v>
      </c>
      <c r="BC81" s="49"/>
      <c r="BD81" s="49"/>
      <c r="BE81" s="49"/>
      <c r="BF81" s="49"/>
      <c r="BG81" s="49"/>
      <c r="BH81" s="49"/>
      <c r="BI81" s="49"/>
      <c r="BJ81" s="49"/>
      <c r="BK81" s="49"/>
      <c r="BL81" s="49"/>
      <c r="BM81" s="49"/>
      <c r="BN81" s="50"/>
      <c r="BO81" s="49"/>
      <c r="BP81" s="50"/>
      <c r="BQ81" s="49"/>
      <c r="BR81" s="50"/>
      <c r="BS81" s="49"/>
      <c r="BT81" s="50"/>
      <c r="BU81" s="49"/>
      <c r="BV81" s="2"/>
      <c r="BW81" s="3"/>
      <c r="BX81" s="3"/>
      <c r="BY81" s="3"/>
      <c r="BZ81" s="3"/>
    </row>
    <row r="82" spans="1:78" ht="34.05" customHeight="1">
      <c r="A82" s="65" t="s">
        <v>330</v>
      </c>
      <c r="C82" s="66"/>
      <c r="D82" s="66" t="s">
        <v>64</v>
      </c>
      <c r="E82" s="67">
        <v>162.42235611797216</v>
      </c>
      <c r="F82" s="69"/>
      <c r="G82" s="103" t="str">
        <f>HYPERLINK("https://pbs.twimg.com/profile_images/1235716572385329154/dZUaWVO__normal.jpg")</f>
        <v>https://pbs.twimg.com/profile_images/1235716572385329154/dZUaWVO__normal.jpg</v>
      </c>
      <c r="H82" s="66"/>
      <c r="I82" s="70" t="s">
        <v>330</v>
      </c>
      <c r="J82" s="71"/>
      <c r="K82" s="71"/>
      <c r="L82" s="70" t="s">
        <v>1290</v>
      </c>
      <c r="M82" s="74">
        <v>1.8459292820296023</v>
      </c>
      <c r="N82" s="75">
        <v>3182.70263671875</v>
      </c>
      <c r="O82" s="75">
        <v>4135.705078125</v>
      </c>
      <c r="P82" s="76"/>
      <c r="Q82" s="77"/>
      <c r="R82" s="77"/>
      <c r="S82" s="89"/>
      <c r="T82" s="49">
        <v>1</v>
      </c>
      <c r="U82" s="49">
        <v>0</v>
      </c>
      <c r="V82" s="50">
        <v>0</v>
      </c>
      <c r="W82" s="50">
        <v>0.004444</v>
      </c>
      <c r="X82" s="50">
        <v>0.007856</v>
      </c>
      <c r="Y82" s="50">
        <v>0.395968</v>
      </c>
      <c r="Z82" s="50">
        <v>0</v>
      </c>
      <c r="AA82" s="50">
        <v>0</v>
      </c>
      <c r="AB82" s="72">
        <v>82</v>
      </c>
      <c r="AC82" s="72"/>
      <c r="AD82" s="73"/>
      <c r="AE82" s="79" t="s">
        <v>875</v>
      </c>
      <c r="AF82" s="87" t="s">
        <v>991</v>
      </c>
      <c r="AG82" s="79">
        <v>746</v>
      </c>
      <c r="AH82" s="79">
        <v>289</v>
      </c>
      <c r="AI82" s="79">
        <v>436</v>
      </c>
      <c r="AJ82" s="79">
        <v>146</v>
      </c>
      <c r="AK82" s="79"/>
      <c r="AL82" s="79" t="s">
        <v>1102</v>
      </c>
      <c r="AM82" s="79" t="s">
        <v>1190</v>
      </c>
      <c r="AN82" s="79"/>
      <c r="AO82" s="79"/>
      <c r="AP82" s="81">
        <v>42423.77159722222</v>
      </c>
      <c r="AQ82" s="83" t="str">
        <f>HYPERLINK("https://pbs.twimg.com/profile_banners/702199014184263680/1583452764")</f>
        <v>https://pbs.twimg.com/profile_banners/702199014184263680/1583452764</v>
      </c>
      <c r="AR82" s="79" t="b">
        <v>0</v>
      </c>
      <c r="AS82" s="79" t="b">
        <v>0</v>
      </c>
      <c r="AT82" s="79" t="b">
        <v>0</v>
      </c>
      <c r="AU82" s="79"/>
      <c r="AV82" s="79">
        <v>19</v>
      </c>
      <c r="AW82" s="83" t="str">
        <f>HYPERLINK("https://abs.twimg.com/images/themes/theme16/bg.gif")</f>
        <v>https://abs.twimg.com/images/themes/theme16/bg.gif</v>
      </c>
      <c r="AX82" s="79" t="b">
        <v>0</v>
      </c>
      <c r="AY82" s="79" t="s">
        <v>1211</v>
      </c>
      <c r="AZ82" s="83" t="str">
        <f>HYPERLINK("https://twitter.com/gus_education")</f>
        <v>https://twitter.com/gus_education</v>
      </c>
      <c r="BA82" s="79" t="s">
        <v>65</v>
      </c>
      <c r="BB82" s="79" t="str">
        <f>REPLACE(INDEX(GroupVertices[Group],MATCH(Vertices[[#This Row],[Vertex]],GroupVertices[Vertex],0)),1,1,"")</f>
        <v>1</v>
      </c>
      <c r="BC82" s="49"/>
      <c r="BD82" s="49"/>
      <c r="BE82" s="49"/>
      <c r="BF82" s="49"/>
      <c r="BG82" s="49"/>
      <c r="BH82" s="49"/>
      <c r="BI82" s="49"/>
      <c r="BJ82" s="49"/>
      <c r="BK82" s="49"/>
      <c r="BL82" s="49"/>
      <c r="BM82" s="49"/>
      <c r="BN82" s="50"/>
      <c r="BO82" s="49"/>
      <c r="BP82" s="50"/>
      <c r="BQ82" s="49"/>
      <c r="BR82" s="50"/>
      <c r="BS82" s="49"/>
      <c r="BT82" s="50"/>
      <c r="BU82" s="49"/>
      <c r="BV82" s="2"/>
      <c r="BW82" s="3"/>
      <c r="BX82" s="3"/>
      <c r="BY82" s="3"/>
      <c r="BZ82" s="3"/>
    </row>
    <row r="83" spans="1:78" ht="34.05" customHeight="1">
      <c r="A83" s="65" t="s">
        <v>331</v>
      </c>
      <c r="C83" s="66"/>
      <c r="D83" s="66" t="s">
        <v>64</v>
      </c>
      <c r="E83" s="67">
        <v>162.43995428955432</v>
      </c>
      <c r="F83" s="69"/>
      <c r="G83" s="103" t="str">
        <f>HYPERLINK("https://pbs.twimg.com/profile_images/912703084958146560/L2c-ozsg_normal.jpg")</f>
        <v>https://pbs.twimg.com/profile_images/912703084958146560/L2c-ozsg_normal.jpg</v>
      </c>
      <c r="H83" s="66"/>
      <c r="I83" s="70" t="s">
        <v>331</v>
      </c>
      <c r="J83" s="71"/>
      <c r="K83" s="71"/>
      <c r="L83" s="70" t="s">
        <v>1291</v>
      </c>
      <c r="M83" s="74">
        <v>1.8811763354475024</v>
      </c>
      <c r="N83" s="75">
        <v>1097.3887939453125</v>
      </c>
      <c r="O83" s="75">
        <v>1778.9256591796875</v>
      </c>
      <c r="P83" s="76"/>
      <c r="Q83" s="77"/>
      <c r="R83" s="77"/>
      <c r="S83" s="89"/>
      <c r="T83" s="49">
        <v>1</v>
      </c>
      <c r="U83" s="49">
        <v>0</v>
      </c>
      <c r="V83" s="50">
        <v>0</v>
      </c>
      <c r="W83" s="50">
        <v>0.004444</v>
      </c>
      <c r="X83" s="50">
        <v>0.007856</v>
      </c>
      <c r="Y83" s="50">
        <v>0.395968</v>
      </c>
      <c r="Z83" s="50">
        <v>0</v>
      </c>
      <c r="AA83" s="50">
        <v>0</v>
      </c>
      <c r="AB83" s="72">
        <v>83</v>
      </c>
      <c r="AC83" s="72"/>
      <c r="AD83" s="73"/>
      <c r="AE83" s="79" t="s">
        <v>876</v>
      </c>
      <c r="AF83" s="87" t="s">
        <v>992</v>
      </c>
      <c r="AG83" s="79">
        <v>118</v>
      </c>
      <c r="AH83" s="79">
        <v>301</v>
      </c>
      <c r="AI83" s="79">
        <v>1027</v>
      </c>
      <c r="AJ83" s="79">
        <v>22</v>
      </c>
      <c r="AK83" s="79"/>
      <c r="AL83" s="79" t="s">
        <v>1103</v>
      </c>
      <c r="AM83" s="79" t="s">
        <v>1191</v>
      </c>
      <c r="AN83" s="79"/>
      <c r="AO83" s="79"/>
      <c r="AP83" s="81">
        <v>41647.050520833334</v>
      </c>
      <c r="AQ83" s="79"/>
      <c r="AR83" s="79" t="b">
        <v>0</v>
      </c>
      <c r="AS83" s="79" t="b">
        <v>0</v>
      </c>
      <c r="AT83" s="79" t="b">
        <v>0</v>
      </c>
      <c r="AU83" s="79"/>
      <c r="AV83" s="79">
        <v>0</v>
      </c>
      <c r="AW83" s="83" t="str">
        <f>HYPERLINK("https://abs.twimg.com/images/themes/theme13/bg.gif")</f>
        <v>https://abs.twimg.com/images/themes/theme13/bg.gif</v>
      </c>
      <c r="AX83" s="79" t="b">
        <v>0</v>
      </c>
      <c r="AY83" s="79" t="s">
        <v>1211</v>
      </c>
      <c r="AZ83" s="83" t="str">
        <f>HYPERLINK("https://twitter.com/michellewade99")</f>
        <v>https://twitter.com/michellewade99</v>
      </c>
      <c r="BA83" s="79" t="s">
        <v>65</v>
      </c>
      <c r="BB83" s="79" t="str">
        <f>REPLACE(INDEX(GroupVertices[Group],MATCH(Vertices[[#This Row],[Vertex]],GroupVertices[Vertex],0)),1,1,"")</f>
        <v>1</v>
      </c>
      <c r="BC83" s="49"/>
      <c r="BD83" s="49"/>
      <c r="BE83" s="49"/>
      <c r="BF83" s="49"/>
      <c r="BG83" s="49"/>
      <c r="BH83" s="49"/>
      <c r="BI83" s="49"/>
      <c r="BJ83" s="49"/>
      <c r="BK83" s="49"/>
      <c r="BL83" s="49"/>
      <c r="BM83" s="49"/>
      <c r="BN83" s="50"/>
      <c r="BO83" s="49"/>
      <c r="BP83" s="50"/>
      <c r="BQ83" s="49"/>
      <c r="BR83" s="50"/>
      <c r="BS83" s="49"/>
      <c r="BT83" s="50"/>
      <c r="BU83" s="49"/>
      <c r="BV83" s="2"/>
      <c r="BW83" s="3"/>
      <c r="BX83" s="3"/>
      <c r="BY83" s="3"/>
      <c r="BZ83" s="3"/>
    </row>
    <row r="84" spans="1:78" ht="34.05" customHeight="1">
      <c r="A84" s="65" t="s">
        <v>332</v>
      </c>
      <c r="C84" s="66"/>
      <c r="D84" s="66" t="s">
        <v>64</v>
      </c>
      <c r="E84" s="67">
        <v>162.89897326498934</v>
      </c>
      <c r="F84" s="69"/>
      <c r="G84" s="103" t="str">
        <f>HYPERLINK("https://pbs.twimg.com/profile_images/1218144399953211392/2ZUfvxdN_normal.jpg")</f>
        <v>https://pbs.twimg.com/profile_images/1218144399953211392/2ZUfvxdN_normal.jpg</v>
      </c>
      <c r="H84" s="66"/>
      <c r="I84" s="70" t="s">
        <v>332</v>
      </c>
      <c r="J84" s="71"/>
      <c r="K84" s="71"/>
      <c r="L84" s="70" t="s">
        <v>1292</v>
      </c>
      <c r="M84" s="74">
        <v>2.800536978764397</v>
      </c>
      <c r="N84" s="75">
        <v>1710.4884033203125</v>
      </c>
      <c r="O84" s="75">
        <v>4010.2373046875</v>
      </c>
      <c r="P84" s="76"/>
      <c r="Q84" s="77"/>
      <c r="R84" s="77"/>
      <c r="S84" s="89"/>
      <c r="T84" s="49">
        <v>1</v>
      </c>
      <c r="U84" s="49">
        <v>0</v>
      </c>
      <c r="V84" s="50">
        <v>0</v>
      </c>
      <c r="W84" s="50">
        <v>0.004444</v>
      </c>
      <c r="X84" s="50">
        <v>0.007856</v>
      </c>
      <c r="Y84" s="50">
        <v>0.395968</v>
      </c>
      <c r="Z84" s="50">
        <v>0</v>
      </c>
      <c r="AA84" s="50">
        <v>0</v>
      </c>
      <c r="AB84" s="72">
        <v>84</v>
      </c>
      <c r="AC84" s="72"/>
      <c r="AD84" s="73"/>
      <c r="AE84" s="79" t="s">
        <v>877</v>
      </c>
      <c r="AF84" s="87" t="s">
        <v>993</v>
      </c>
      <c r="AG84" s="79">
        <v>984</v>
      </c>
      <c r="AH84" s="79">
        <v>614</v>
      </c>
      <c r="AI84" s="79">
        <v>1562</v>
      </c>
      <c r="AJ84" s="79">
        <v>2626</v>
      </c>
      <c r="AK84" s="79"/>
      <c r="AL84" s="79" t="s">
        <v>1104</v>
      </c>
      <c r="AM84" s="79" t="s">
        <v>1192</v>
      </c>
      <c r="AN84" s="83" t="str">
        <f>HYPERLINK("https://t.co/F5aKsHkylr")</f>
        <v>https://t.co/F5aKsHkylr</v>
      </c>
      <c r="AO84" s="79"/>
      <c r="AP84" s="81">
        <v>43571.81177083333</v>
      </c>
      <c r="AQ84" s="83" t="str">
        <f>HYPERLINK("https://pbs.twimg.com/profile_banners/1118234844478279681/1588068852")</f>
        <v>https://pbs.twimg.com/profile_banners/1118234844478279681/1588068852</v>
      </c>
      <c r="AR84" s="79" t="b">
        <v>0</v>
      </c>
      <c r="AS84" s="79" t="b">
        <v>0</v>
      </c>
      <c r="AT84" s="79" t="b">
        <v>0</v>
      </c>
      <c r="AU84" s="79"/>
      <c r="AV84" s="79">
        <v>18</v>
      </c>
      <c r="AW84" s="83" t="str">
        <f>HYPERLINK("https://abs.twimg.com/images/themes/theme1/bg.png")</f>
        <v>https://abs.twimg.com/images/themes/theme1/bg.png</v>
      </c>
      <c r="AX84" s="79" t="b">
        <v>0</v>
      </c>
      <c r="AY84" s="79" t="s">
        <v>1211</v>
      </c>
      <c r="AZ84" s="83" t="str">
        <f>HYPERLINK("https://twitter.com/thoughtbox_ed")</f>
        <v>https://twitter.com/thoughtbox_ed</v>
      </c>
      <c r="BA84" s="79" t="s">
        <v>65</v>
      </c>
      <c r="BB84" s="79" t="str">
        <f>REPLACE(INDEX(GroupVertices[Group],MATCH(Vertices[[#This Row],[Vertex]],GroupVertices[Vertex],0)),1,1,"")</f>
        <v>1</v>
      </c>
      <c r="BC84" s="49"/>
      <c r="BD84" s="49"/>
      <c r="BE84" s="49"/>
      <c r="BF84" s="49"/>
      <c r="BG84" s="49"/>
      <c r="BH84" s="49"/>
      <c r="BI84" s="49"/>
      <c r="BJ84" s="49"/>
      <c r="BK84" s="49"/>
      <c r="BL84" s="49"/>
      <c r="BM84" s="49"/>
      <c r="BN84" s="50"/>
      <c r="BO84" s="49"/>
      <c r="BP84" s="50"/>
      <c r="BQ84" s="49"/>
      <c r="BR84" s="50"/>
      <c r="BS84" s="49"/>
      <c r="BT84" s="50"/>
      <c r="BU84" s="49"/>
      <c r="BV84" s="2"/>
      <c r="BW84" s="3"/>
      <c r="BX84" s="3"/>
      <c r="BY84" s="3"/>
      <c r="BZ84" s="3"/>
    </row>
    <row r="85" spans="1:78" ht="34.05" customHeight="1">
      <c r="A85" s="65" t="s">
        <v>333</v>
      </c>
      <c r="C85" s="66"/>
      <c r="D85" s="66" t="s">
        <v>64</v>
      </c>
      <c r="E85" s="67">
        <v>172.83754066602148</v>
      </c>
      <c r="F85" s="69"/>
      <c r="G85" s="103" t="str">
        <f>HYPERLINK("https://pbs.twimg.com/profile_images/701750537042194434/Fpg_mrkO_normal.jpg")</f>
        <v>https://pbs.twimg.com/profile_images/701750537042194434/Fpg_mrkO_normal.jpg</v>
      </c>
      <c r="H85" s="66"/>
      <c r="I85" s="70" t="s">
        <v>333</v>
      </c>
      <c r="J85" s="71"/>
      <c r="K85" s="71"/>
      <c r="L85" s="70" t="s">
        <v>1293</v>
      </c>
      <c r="M85" s="74">
        <v>22.706310396523474</v>
      </c>
      <c r="N85" s="75">
        <v>1137.081787109375</v>
      </c>
      <c r="O85" s="75">
        <v>3546.492919921875</v>
      </c>
      <c r="P85" s="76"/>
      <c r="Q85" s="77"/>
      <c r="R85" s="77"/>
      <c r="S85" s="89"/>
      <c r="T85" s="49">
        <v>1</v>
      </c>
      <c r="U85" s="49">
        <v>0</v>
      </c>
      <c r="V85" s="50">
        <v>0</v>
      </c>
      <c r="W85" s="50">
        <v>0.004444</v>
      </c>
      <c r="X85" s="50">
        <v>0.007856</v>
      </c>
      <c r="Y85" s="50">
        <v>0.395968</v>
      </c>
      <c r="Z85" s="50">
        <v>0</v>
      </c>
      <c r="AA85" s="50">
        <v>0</v>
      </c>
      <c r="AB85" s="72">
        <v>85</v>
      </c>
      <c r="AC85" s="72"/>
      <c r="AD85" s="73"/>
      <c r="AE85" s="79" t="s">
        <v>878</v>
      </c>
      <c r="AF85" s="87" t="s">
        <v>994</v>
      </c>
      <c r="AG85" s="79">
        <v>372</v>
      </c>
      <c r="AH85" s="79">
        <v>7391</v>
      </c>
      <c r="AI85" s="79">
        <v>4595</v>
      </c>
      <c r="AJ85" s="79">
        <v>2134</v>
      </c>
      <c r="AK85" s="79"/>
      <c r="AL85" s="79" t="s">
        <v>1105</v>
      </c>
      <c r="AM85" s="79"/>
      <c r="AN85" s="83" t="str">
        <f>HYPERLINK("https://t.co/e0PevDOLUH")</f>
        <v>https://t.co/e0PevDOLUH</v>
      </c>
      <c r="AO85" s="79"/>
      <c r="AP85" s="81">
        <v>41548.72511574074</v>
      </c>
      <c r="AQ85" s="83" t="str">
        <f>HYPERLINK("https://pbs.twimg.com/profile_banners/1924036020/1425725821")</f>
        <v>https://pbs.twimg.com/profile_banners/1924036020/1425725821</v>
      </c>
      <c r="AR85" s="79" t="b">
        <v>0</v>
      </c>
      <c r="AS85" s="79" t="b">
        <v>0</v>
      </c>
      <c r="AT85" s="79" t="b">
        <v>1</v>
      </c>
      <c r="AU85" s="79"/>
      <c r="AV85" s="79">
        <v>98</v>
      </c>
      <c r="AW85" s="83" t="str">
        <f>HYPERLINK("https://abs.twimg.com/images/themes/theme1/bg.png")</f>
        <v>https://abs.twimg.com/images/themes/theme1/bg.png</v>
      </c>
      <c r="AX85" s="79" t="b">
        <v>0</v>
      </c>
      <c r="AY85" s="79" t="s">
        <v>1211</v>
      </c>
      <c r="AZ85" s="83" t="str">
        <f>HYPERLINK("https://twitter.com/drrussq")</f>
        <v>https://twitter.com/drrussq</v>
      </c>
      <c r="BA85" s="79" t="s">
        <v>65</v>
      </c>
      <c r="BB85" s="79" t="str">
        <f>REPLACE(INDEX(GroupVertices[Group],MATCH(Vertices[[#This Row],[Vertex]],GroupVertices[Vertex],0)),1,1,"")</f>
        <v>1</v>
      </c>
      <c r="BC85" s="49"/>
      <c r="BD85" s="49"/>
      <c r="BE85" s="49"/>
      <c r="BF85" s="49"/>
      <c r="BG85" s="49"/>
      <c r="BH85" s="49"/>
      <c r="BI85" s="49"/>
      <c r="BJ85" s="49"/>
      <c r="BK85" s="49"/>
      <c r="BL85" s="49"/>
      <c r="BM85" s="49"/>
      <c r="BN85" s="50"/>
      <c r="BO85" s="49"/>
      <c r="BP85" s="50"/>
      <c r="BQ85" s="49"/>
      <c r="BR85" s="50"/>
      <c r="BS85" s="49"/>
      <c r="BT85" s="50"/>
      <c r="BU85" s="49"/>
      <c r="BV85" s="2"/>
      <c r="BW85" s="3"/>
      <c r="BX85" s="3"/>
      <c r="BY85" s="3"/>
      <c r="BZ85" s="3"/>
    </row>
    <row r="86" spans="1:78" ht="34.05" customHeight="1">
      <c r="A86" s="65" t="s">
        <v>285</v>
      </c>
      <c r="C86" s="66"/>
      <c r="D86" s="66" t="s">
        <v>64</v>
      </c>
      <c r="E86" s="67">
        <v>162.53821074755479</v>
      </c>
      <c r="F86" s="69"/>
      <c r="G86" s="103" t="str">
        <f>HYPERLINK("https://pbs.twimg.com/profile_images/378800000628264629/6a81205818acd273704babd3f3f0ff52_normal.jpeg")</f>
        <v>https://pbs.twimg.com/profile_images/378800000628264629/6a81205818acd273704babd3f3f0ff52_normal.jpeg</v>
      </c>
      <c r="H86" s="66"/>
      <c r="I86" s="70" t="s">
        <v>285</v>
      </c>
      <c r="J86" s="71"/>
      <c r="K86" s="71"/>
      <c r="L86" s="70" t="s">
        <v>1294</v>
      </c>
      <c r="M86" s="74">
        <v>2.0779723836974444</v>
      </c>
      <c r="N86" s="75">
        <v>6013.4638671875</v>
      </c>
      <c r="O86" s="75">
        <v>9221.8759765625</v>
      </c>
      <c r="P86" s="76"/>
      <c r="Q86" s="77"/>
      <c r="R86" s="77"/>
      <c r="S86" s="89"/>
      <c r="T86" s="49">
        <v>1</v>
      </c>
      <c r="U86" s="49">
        <v>3</v>
      </c>
      <c r="V86" s="50">
        <v>0</v>
      </c>
      <c r="W86" s="50">
        <v>0.004545</v>
      </c>
      <c r="X86" s="50">
        <v>0.01077</v>
      </c>
      <c r="Y86" s="50">
        <v>0.865604</v>
      </c>
      <c r="Z86" s="50">
        <v>0.8333333333333334</v>
      </c>
      <c r="AA86" s="50">
        <v>0.3333333333333333</v>
      </c>
      <c r="AB86" s="72">
        <v>86</v>
      </c>
      <c r="AC86" s="72"/>
      <c r="AD86" s="73"/>
      <c r="AE86" s="79" t="s">
        <v>879</v>
      </c>
      <c r="AF86" s="87" t="s">
        <v>995</v>
      </c>
      <c r="AG86" s="79">
        <v>166</v>
      </c>
      <c r="AH86" s="79">
        <v>368</v>
      </c>
      <c r="AI86" s="79">
        <v>426</v>
      </c>
      <c r="AJ86" s="79">
        <v>325</v>
      </c>
      <c r="AK86" s="79"/>
      <c r="AL86" s="79" t="s">
        <v>1106</v>
      </c>
      <c r="AM86" s="79" t="s">
        <v>1193</v>
      </c>
      <c r="AN86" s="83" t="str">
        <f>HYPERLINK("https://t.co/fiP6Pcpxko")</f>
        <v>https://t.co/fiP6Pcpxko</v>
      </c>
      <c r="AO86" s="79"/>
      <c r="AP86" s="81">
        <v>40182.524363425924</v>
      </c>
      <c r="AQ86" s="79"/>
      <c r="AR86" s="79" t="b">
        <v>0</v>
      </c>
      <c r="AS86" s="79" t="b">
        <v>0</v>
      </c>
      <c r="AT86" s="79" t="b">
        <v>0</v>
      </c>
      <c r="AU86" s="79"/>
      <c r="AV86" s="79">
        <v>11</v>
      </c>
      <c r="AW86" s="83" t="str">
        <f>HYPERLINK("https://abs.twimg.com/images/themes/theme14/bg.gif")</f>
        <v>https://abs.twimg.com/images/themes/theme14/bg.gif</v>
      </c>
      <c r="AX86" s="79" t="b">
        <v>0</v>
      </c>
      <c r="AY86" s="79" t="s">
        <v>1211</v>
      </c>
      <c r="AZ86" s="83" t="str">
        <f>HYPERLINK("https://twitter.com/connect_aditya")</f>
        <v>https://twitter.com/connect_aditya</v>
      </c>
      <c r="BA86" s="79" t="s">
        <v>66</v>
      </c>
      <c r="BB86" s="79" t="str">
        <f>REPLACE(INDEX(GroupVertices[Group],MATCH(Vertices[[#This Row],[Vertex]],GroupVertices[Vertex],0)),1,1,"")</f>
        <v>2</v>
      </c>
      <c r="BC86" s="49" t="s">
        <v>1712</v>
      </c>
      <c r="BD86" s="49" t="s">
        <v>1712</v>
      </c>
      <c r="BE86" s="49" t="s">
        <v>444</v>
      </c>
      <c r="BF86" s="49" t="s">
        <v>444</v>
      </c>
      <c r="BG86" s="49" t="s">
        <v>450</v>
      </c>
      <c r="BH86" s="49" t="s">
        <v>1730</v>
      </c>
      <c r="BI86" s="108" t="s">
        <v>1758</v>
      </c>
      <c r="BJ86" s="108" t="s">
        <v>1772</v>
      </c>
      <c r="BK86" s="108" t="s">
        <v>1795</v>
      </c>
      <c r="BL86" s="108" t="s">
        <v>1809</v>
      </c>
      <c r="BM86" s="108">
        <v>3</v>
      </c>
      <c r="BN86" s="111">
        <v>4.6875</v>
      </c>
      <c r="BO86" s="108">
        <v>0</v>
      </c>
      <c r="BP86" s="111">
        <v>0</v>
      </c>
      <c r="BQ86" s="108">
        <v>0</v>
      </c>
      <c r="BR86" s="111">
        <v>0</v>
      </c>
      <c r="BS86" s="108">
        <v>61</v>
      </c>
      <c r="BT86" s="111">
        <v>95.3125</v>
      </c>
      <c r="BU86" s="108">
        <v>64</v>
      </c>
      <c r="BV86" s="2"/>
      <c r="BW86" s="3"/>
      <c r="BX86" s="3"/>
      <c r="BY86" s="3"/>
      <c r="BZ86" s="3"/>
    </row>
    <row r="87" spans="1:78" ht="34.05" customHeight="1">
      <c r="A87" s="65" t="s">
        <v>294</v>
      </c>
      <c r="C87" s="66"/>
      <c r="D87" s="66" t="s">
        <v>64</v>
      </c>
      <c r="E87" s="67">
        <v>210.58121916688688</v>
      </c>
      <c r="F87" s="69"/>
      <c r="G87" s="103" t="str">
        <f>HYPERLINK("https://pbs.twimg.com/profile_images/958652911734657026/t-Yc_PC1_normal.jpg")</f>
        <v>https://pbs.twimg.com/profile_images/958652911734657026/t-Yc_PC1_normal.jpg</v>
      </c>
      <c r="H87" s="66"/>
      <c r="I87" s="70" t="s">
        <v>294</v>
      </c>
      <c r="J87" s="71"/>
      <c r="K87" s="71"/>
      <c r="L87" s="70" t="s">
        <v>1295</v>
      </c>
      <c r="M87" s="74">
        <v>98.3024282145647</v>
      </c>
      <c r="N87" s="75">
        <v>6272.7431640625</v>
      </c>
      <c r="O87" s="75">
        <v>8767.7138671875</v>
      </c>
      <c r="P87" s="76"/>
      <c r="Q87" s="77"/>
      <c r="R87" s="77"/>
      <c r="S87" s="89"/>
      <c r="T87" s="49">
        <v>4</v>
      </c>
      <c r="U87" s="49">
        <v>2</v>
      </c>
      <c r="V87" s="50">
        <v>181.666667</v>
      </c>
      <c r="W87" s="50">
        <v>0.004587</v>
      </c>
      <c r="X87" s="50">
        <v>0.011248</v>
      </c>
      <c r="Y87" s="50">
        <v>1.399614</v>
      </c>
      <c r="Z87" s="50">
        <v>0.35</v>
      </c>
      <c r="AA87" s="50">
        <v>0.2</v>
      </c>
      <c r="AB87" s="72">
        <v>87</v>
      </c>
      <c r="AC87" s="72"/>
      <c r="AD87" s="73"/>
      <c r="AE87" s="79" t="s">
        <v>880</v>
      </c>
      <c r="AF87" s="87" t="s">
        <v>996</v>
      </c>
      <c r="AG87" s="79">
        <v>3198</v>
      </c>
      <c r="AH87" s="79">
        <v>33128</v>
      </c>
      <c r="AI87" s="79">
        <v>17415</v>
      </c>
      <c r="AJ87" s="79">
        <v>10326</v>
      </c>
      <c r="AK87" s="79"/>
      <c r="AL87" s="79" t="s">
        <v>1107</v>
      </c>
      <c r="AM87" s="79" t="s">
        <v>1194</v>
      </c>
      <c r="AN87" s="83" t="str">
        <f>HYPERLINK("https://t.co/oYwYIE3Itz")</f>
        <v>https://t.co/oYwYIE3Itz</v>
      </c>
      <c r="AO87" s="79"/>
      <c r="AP87" s="81">
        <v>39939.28105324074</v>
      </c>
      <c r="AQ87" s="83" t="str">
        <f>HYPERLINK("https://pbs.twimg.com/profile_banners/38130326/1605188506")</f>
        <v>https://pbs.twimg.com/profile_banners/38130326/1605188506</v>
      </c>
      <c r="AR87" s="79" t="b">
        <v>0</v>
      </c>
      <c r="AS87" s="79" t="b">
        <v>0</v>
      </c>
      <c r="AT87" s="79" t="b">
        <v>1</v>
      </c>
      <c r="AU87" s="79"/>
      <c r="AV87" s="79">
        <v>447</v>
      </c>
      <c r="AW87" s="83" t="str">
        <f>HYPERLINK("https://abs.twimg.com/images/themes/theme1/bg.png")</f>
        <v>https://abs.twimg.com/images/themes/theme1/bg.png</v>
      </c>
      <c r="AX87" s="79" t="b">
        <v>1</v>
      </c>
      <c r="AY87" s="79" t="s">
        <v>1211</v>
      </c>
      <c r="AZ87" s="83" t="str">
        <f>HYPERLINK("https://twitter.com/uopeople")</f>
        <v>https://twitter.com/uopeople</v>
      </c>
      <c r="BA87" s="79" t="s">
        <v>66</v>
      </c>
      <c r="BB87" s="79" t="str">
        <f>REPLACE(INDEX(GroupVertices[Group],MATCH(Vertices[[#This Row],[Vertex]],GroupVertices[Vertex],0)),1,1,"")</f>
        <v>2</v>
      </c>
      <c r="BC87" s="49" t="s">
        <v>1713</v>
      </c>
      <c r="BD87" s="49" t="s">
        <v>1713</v>
      </c>
      <c r="BE87" s="49" t="s">
        <v>1718</v>
      </c>
      <c r="BF87" s="49" t="s">
        <v>1718</v>
      </c>
      <c r="BG87" s="49" t="s">
        <v>1722</v>
      </c>
      <c r="BH87" s="49" t="s">
        <v>1731</v>
      </c>
      <c r="BI87" s="108" t="s">
        <v>1759</v>
      </c>
      <c r="BJ87" s="108" t="s">
        <v>1773</v>
      </c>
      <c r="BK87" s="108" t="s">
        <v>1796</v>
      </c>
      <c r="BL87" s="108" t="s">
        <v>1799</v>
      </c>
      <c r="BM87" s="108">
        <v>2</v>
      </c>
      <c r="BN87" s="111">
        <v>3.5714285714285716</v>
      </c>
      <c r="BO87" s="108">
        <v>0</v>
      </c>
      <c r="BP87" s="111">
        <v>0</v>
      </c>
      <c r="BQ87" s="108">
        <v>0</v>
      </c>
      <c r="BR87" s="111">
        <v>0</v>
      </c>
      <c r="BS87" s="108">
        <v>54</v>
      </c>
      <c r="BT87" s="111">
        <v>96.42857142857143</v>
      </c>
      <c r="BU87" s="108">
        <v>56</v>
      </c>
      <c r="BV87" s="2"/>
      <c r="BW87" s="3"/>
      <c r="BX87" s="3"/>
      <c r="BY87" s="3"/>
      <c r="BZ87" s="3"/>
    </row>
    <row r="88" spans="1:78" ht="34.05" customHeight="1">
      <c r="A88" s="65" t="s">
        <v>292</v>
      </c>
      <c r="C88" s="66"/>
      <c r="D88" s="66" t="s">
        <v>64</v>
      </c>
      <c r="E88" s="67">
        <v>174.4873692518502</v>
      </c>
      <c r="F88" s="69"/>
      <c r="G88" s="103" t="str">
        <f>HYPERLINK("https://pbs.twimg.com/profile_images/1037722831134576642/ApiiOdhL_normal.jpg")</f>
        <v>https://pbs.twimg.com/profile_images/1037722831134576642/ApiiOdhL_normal.jpg</v>
      </c>
      <c r="H88" s="66"/>
      <c r="I88" s="70" t="s">
        <v>292</v>
      </c>
      <c r="J88" s="71"/>
      <c r="K88" s="71"/>
      <c r="L88" s="70" t="s">
        <v>1296</v>
      </c>
      <c r="M88" s="74">
        <v>26.010721654451608</v>
      </c>
      <c r="N88" s="75">
        <v>5972.79541015625</v>
      </c>
      <c r="O88" s="75">
        <v>7848.60546875</v>
      </c>
      <c r="P88" s="76"/>
      <c r="Q88" s="77"/>
      <c r="R88" s="77"/>
      <c r="S88" s="89"/>
      <c r="T88" s="49">
        <v>7</v>
      </c>
      <c r="U88" s="49">
        <v>12</v>
      </c>
      <c r="V88" s="50">
        <v>548.333333</v>
      </c>
      <c r="W88" s="50">
        <v>0.004902</v>
      </c>
      <c r="X88" s="50">
        <v>0.021393</v>
      </c>
      <c r="Y88" s="50">
        <v>4.634035</v>
      </c>
      <c r="Z88" s="50">
        <v>0.07083333333333333</v>
      </c>
      <c r="AA88" s="50">
        <v>0.0625</v>
      </c>
      <c r="AB88" s="72">
        <v>88</v>
      </c>
      <c r="AC88" s="72"/>
      <c r="AD88" s="73"/>
      <c r="AE88" s="79" t="s">
        <v>881</v>
      </c>
      <c r="AF88" s="87" t="s">
        <v>997</v>
      </c>
      <c r="AG88" s="79">
        <v>1693</v>
      </c>
      <c r="AH88" s="79">
        <v>8516</v>
      </c>
      <c r="AI88" s="79">
        <v>4212</v>
      </c>
      <c r="AJ88" s="79">
        <v>1471</v>
      </c>
      <c r="AK88" s="79"/>
      <c r="AL88" s="79" t="s">
        <v>1108</v>
      </c>
      <c r="AM88" s="79"/>
      <c r="AN88" s="83" t="str">
        <f>HYPERLINK("http://t.co/oYwYIE3Itz")</f>
        <v>http://t.co/oYwYIE3Itz</v>
      </c>
      <c r="AO88" s="79"/>
      <c r="AP88" s="81">
        <v>39864.71537037037</v>
      </c>
      <c r="AQ88" s="83" t="str">
        <f>HYPERLINK("https://pbs.twimg.com/profile_banners/21413547/1517480750")</f>
        <v>https://pbs.twimg.com/profile_banners/21413547/1517480750</v>
      </c>
      <c r="AR88" s="79" t="b">
        <v>0</v>
      </c>
      <c r="AS88" s="79" t="b">
        <v>0</v>
      </c>
      <c r="AT88" s="79" t="b">
        <v>1</v>
      </c>
      <c r="AU88" s="79"/>
      <c r="AV88" s="79">
        <v>194</v>
      </c>
      <c r="AW88" s="83" t="str">
        <f>HYPERLINK("https://abs.twimg.com/images/themes/theme1/bg.png")</f>
        <v>https://abs.twimg.com/images/themes/theme1/bg.png</v>
      </c>
      <c r="AX88" s="79" t="b">
        <v>0</v>
      </c>
      <c r="AY88" s="79" t="s">
        <v>1211</v>
      </c>
      <c r="AZ88" s="83" t="str">
        <f>HYPERLINK("https://twitter.com/shaireshef")</f>
        <v>https://twitter.com/shaireshef</v>
      </c>
      <c r="BA88" s="79" t="s">
        <v>66</v>
      </c>
      <c r="BB88" s="79" t="str">
        <f>REPLACE(INDEX(GroupVertices[Group],MATCH(Vertices[[#This Row],[Vertex]],GroupVertices[Vertex],0)),1,1,"")</f>
        <v>2</v>
      </c>
      <c r="BC88" s="49" t="s">
        <v>1714</v>
      </c>
      <c r="BD88" s="49" t="s">
        <v>1714</v>
      </c>
      <c r="BE88" s="49" t="s">
        <v>444</v>
      </c>
      <c r="BF88" s="49" t="s">
        <v>444</v>
      </c>
      <c r="BG88" s="49" t="s">
        <v>1723</v>
      </c>
      <c r="BH88" s="49" t="s">
        <v>1732</v>
      </c>
      <c r="BI88" s="108" t="s">
        <v>1760</v>
      </c>
      <c r="BJ88" s="108" t="s">
        <v>1760</v>
      </c>
      <c r="BK88" s="108" t="s">
        <v>1797</v>
      </c>
      <c r="BL88" s="108" t="s">
        <v>1797</v>
      </c>
      <c r="BM88" s="108">
        <v>2</v>
      </c>
      <c r="BN88" s="111">
        <v>4.761904761904762</v>
      </c>
      <c r="BO88" s="108">
        <v>0</v>
      </c>
      <c r="BP88" s="111">
        <v>0</v>
      </c>
      <c r="BQ88" s="108">
        <v>0</v>
      </c>
      <c r="BR88" s="111">
        <v>0</v>
      </c>
      <c r="BS88" s="108">
        <v>40</v>
      </c>
      <c r="BT88" s="111">
        <v>95.23809523809524</v>
      </c>
      <c r="BU88" s="108">
        <v>42</v>
      </c>
      <c r="BV88" s="2"/>
      <c r="BW88" s="3"/>
      <c r="BX88" s="3"/>
      <c r="BY88" s="3"/>
      <c r="BZ88" s="3"/>
    </row>
    <row r="89" spans="1:78" ht="34.05" customHeight="1">
      <c r="A89" s="65" t="s">
        <v>334</v>
      </c>
      <c r="C89" s="66"/>
      <c r="D89" s="66" t="s">
        <v>64</v>
      </c>
      <c r="E89" s="67">
        <v>164.4725431072953</v>
      </c>
      <c r="F89" s="69"/>
      <c r="G89" s="103" t="str">
        <f>HYPERLINK("https://pbs.twimg.com/profile_images/861540144763072512/yo4AyaCJ_normal.jpg")</f>
        <v>https://pbs.twimg.com/profile_images/861540144763072512/yo4AyaCJ_normal.jpg</v>
      </c>
      <c r="H89" s="66"/>
      <c r="I89" s="70" t="s">
        <v>334</v>
      </c>
      <c r="J89" s="71"/>
      <c r="K89" s="71"/>
      <c r="L89" s="70" t="s">
        <v>1297</v>
      </c>
      <c r="M89" s="74">
        <v>5.952211005214964</v>
      </c>
      <c r="N89" s="75">
        <v>497.68182373046875</v>
      </c>
      <c r="O89" s="75">
        <v>4149.86474609375</v>
      </c>
      <c r="P89" s="76"/>
      <c r="Q89" s="77"/>
      <c r="R89" s="77"/>
      <c r="S89" s="89"/>
      <c r="T89" s="49">
        <v>1</v>
      </c>
      <c r="U89" s="49">
        <v>0</v>
      </c>
      <c r="V89" s="50">
        <v>0</v>
      </c>
      <c r="W89" s="50">
        <v>0.004444</v>
      </c>
      <c r="X89" s="50">
        <v>0.007856</v>
      </c>
      <c r="Y89" s="50">
        <v>0.395968</v>
      </c>
      <c r="Z89" s="50">
        <v>0</v>
      </c>
      <c r="AA89" s="50">
        <v>0</v>
      </c>
      <c r="AB89" s="72">
        <v>89</v>
      </c>
      <c r="AC89" s="72"/>
      <c r="AD89" s="73"/>
      <c r="AE89" s="79" t="s">
        <v>882</v>
      </c>
      <c r="AF89" s="87" t="s">
        <v>998</v>
      </c>
      <c r="AG89" s="79">
        <v>629</v>
      </c>
      <c r="AH89" s="79">
        <v>1687</v>
      </c>
      <c r="AI89" s="79">
        <v>2479</v>
      </c>
      <c r="AJ89" s="79">
        <v>3877</v>
      </c>
      <c r="AK89" s="79"/>
      <c r="AL89" s="79" t="s">
        <v>1109</v>
      </c>
      <c r="AM89" s="79" t="s">
        <v>1150</v>
      </c>
      <c r="AN89" s="83" t="str">
        <f>HYPERLINK("https://t.co/afHrmphtXu")</f>
        <v>https://t.co/afHrmphtXu</v>
      </c>
      <c r="AO89" s="79"/>
      <c r="AP89" s="81">
        <v>42406.488969907405</v>
      </c>
      <c r="AQ89" s="83" t="str">
        <f>HYPERLINK("https://pbs.twimg.com/profile_banners/4881249112/1494241427")</f>
        <v>https://pbs.twimg.com/profile_banners/4881249112/1494241427</v>
      </c>
      <c r="AR89" s="79" t="b">
        <v>0</v>
      </c>
      <c r="AS89" s="79" t="b">
        <v>0</v>
      </c>
      <c r="AT89" s="79" t="b">
        <v>0</v>
      </c>
      <c r="AU89" s="79"/>
      <c r="AV89" s="79">
        <v>31</v>
      </c>
      <c r="AW89" s="83" t="str">
        <f>HYPERLINK("https://abs.twimg.com/images/themes/theme1/bg.png")</f>
        <v>https://abs.twimg.com/images/themes/theme1/bg.png</v>
      </c>
      <c r="AX89" s="79" t="b">
        <v>0</v>
      </c>
      <c r="AY89" s="79" t="s">
        <v>1211</v>
      </c>
      <c r="AZ89" s="83" t="str">
        <f>HYPERLINK("https://twitter.com/cjpwright")</f>
        <v>https://twitter.com/cjpwright</v>
      </c>
      <c r="BA89" s="79" t="s">
        <v>65</v>
      </c>
      <c r="BB89" s="79" t="str">
        <f>REPLACE(INDEX(GroupVertices[Group],MATCH(Vertices[[#This Row],[Vertex]],GroupVertices[Vertex],0)),1,1,"")</f>
        <v>1</v>
      </c>
      <c r="BC89" s="49"/>
      <c r="BD89" s="49"/>
      <c r="BE89" s="49"/>
      <c r="BF89" s="49"/>
      <c r="BG89" s="49"/>
      <c r="BH89" s="49"/>
      <c r="BI89" s="49"/>
      <c r="BJ89" s="49"/>
      <c r="BK89" s="49"/>
      <c r="BL89" s="49"/>
      <c r="BM89" s="49"/>
      <c r="BN89" s="50"/>
      <c r="BO89" s="49"/>
      <c r="BP89" s="50"/>
      <c r="BQ89" s="49"/>
      <c r="BR89" s="50"/>
      <c r="BS89" s="49"/>
      <c r="BT89" s="50"/>
      <c r="BU89" s="49"/>
      <c r="BV89" s="2"/>
      <c r="BW89" s="3"/>
      <c r="BX89" s="3"/>
      <c r="BY89" s="3"/>
      <c r="BZ89" s="3"/>
    </row>
    <row r="90" spans="1:78" ht="34.05" customHeight="1">
      <c r="A90" s="65" t="s">
        <v>335</v>
      </c>
      <c r="C90" s="66"/>
      <c r="D90" s="66" t="s">
        <v>64</v>
      </c>
      <c r="E90" s="67">
        <v>796.2703671360796</v>
      </c>
      <c r="F90" s="69"/>
      <c r="G90" s="103" t="str">
        <f>HYPERLINK("https://pbs.twimg.com/profile_images/1326928261394411525/nz4GpqIm_normal.jpg")</f>
        <v>https://pbs.twimg.com/profile_images/1326928261394411525/nz4GpqIm_normal.jpg</v>
      </c>
      <c r="H90" s="66"/>
      <c r="I90" s="70" t="s">
        <v>335</v>
      </c>
      <c r="J90" s="71"/>
      <c r="K90" s="71"/>
      <c r="L90" s="70" t="s">
        <v>1298</v>
      </c>
      <c r="M90" s="74">
        <v>1271.3684247790522</v>
      </c>
      <c r="N90" s="75">
        <v>4199.580078125</v>
      </c>
      <c r="O90" s="75">
        <v>4960.93408203125</v>
      </c>
      <c r="P90" s="76"/>
      <c r="Q90" s="77"/>
      <c r="R90" s="77"/>
      <c r="S90" s="89"/>
      <c r="T90" s="49">
        <v>1</v>
      </c>
      <c r="U90" s="49">
        <v>0</v>
      </c>
      <c r="V90" s="50">
        <v>0</v>
      </c>
      <c r="W90" s="50">
        <v>0.004444</v>
      </c>
      <c r="X90" s="50">
        <v>0.007856</v>
      </c>
      <c r="Y90" s="50">
        <v>0.395968</v>
      </c>
      <c r="Z90" s="50">
        <v>0</v>
      </c>
      <c r="AA90" s="50">
        <v>0</v>
      </c>
      <c r="AB90" s="72">
        <v>90</v>
      </c>
      <c r="AC90" s="72"/>
      <c r="AD90" s="73"/>
      <c r="AE90" s="79" t="s">
        <v>883</v>
      </c>
      <c r="AF90" s="87" t="s">
        <v>999</v>
      </c>
      <c r="AG90" s="79">
        <v>2746</v>
      </c>
      <c r="AH90" s="79">
        <v>432503</v>
      </c>
      <c r="AI90" s="79">
        <v>30401</v>
      </c>
      <c r="AJ90" s="79">
        <v>2215</v>
      </c>
      <c r="AK90" s="79"/>
      <c r="AL90" s="79" t="s">
        <v>1110</v>
      </c>
      <c r="AM90" s="79" t="s">
        <v>1177</v>
      </c>
      <c r="AN90" s="83" t="str">
        <f>HYPERLINK("https://t.co/qvJzxR9dBe")</f>
        <v>https://t.co/qvJzxR9dBe</v>
      </c>
      <c r="AO90" s="79"/>
      <c r="AP90" s="81">
        <v>40310.51592592592</v>
      </c>
      <c r="AQ90" s="83" t="str">
        <f>HYPERLINK("https://pbs.twimg.com/profile_banners/143039548/1609854447")</f>
        <v>https://pbs.twimg.com/profile_banners/143039548/1609854447</v>
      </c>
      <c r="AR90" s="79" t="b">
        <v>0</v>
      </c>
      <c r="AS90" s="79" t="b">
        <v>0</v>
      </c>
      <c r="AT90" s="79" t="b">
        <v>1</v>
      </c>
      <c r="AU90" s="79"/>
      <c r="AV90" s="79">
        <v>3325</v>
      </c>
      <c r="AW90" s="83" t="str">
        <f>HYPERLINK("https://abs.twimg.com/images/themes/theme1/bg.png")</f>
        <v>https://abs.twimg.com/images/themes/theme1/bg.png</v>
      </c>
      <c r="AX90" s="79" t="b">
        <v>1</v>
      </c>
      <c r="AY90" s="79" t="s">
        <v>1211</v>
      </c>
      <c r="AZ90" s="83" t="str">
        <f>HYPERLINK("https://twitter.com/educationgovuk")</f>
        <v>https://twitter.com/educationgovuk</v>
      </c>
      <c r="BA90" s="79" t="s">
        <v>65</v>
      </c>
      <c r="BB90" s="79" t="str">
        <f>REPLACE(INDEX(GroupVertices[Group],MATCH(Vertices[[#This Row],[Vertex]],GroupVertices[Vertex],0)),1,1,"")</f>
        <v>1</v>
      </c>
      <c r="BC90" s="49"/>
      <c r="BD90" s="49"/>
      <c r="BE90" s="49"/>
      <c r="BF90" s="49"/>
      <c r="BG90" s="49"/>
      <c r="BH90" s="49"/>
      <c r="BI90" s="49"/>
      <c r="BJ90" s="49"/>
      <c r="BK90" s="49"/>
      <c r="BL90" s="49"/>
      <c r="BM90" s="49"/>
      <c r="BN90" s="50"/>
      <c r="BO90" s="49"/>
      <c r="BP90" s="50"/>
      <c r="BQ90" s="49"/>
      <c r="BR90" s="50"/>
      <c r="BS90" s="49"/>
      <c r="BT90" s="50"/>
      <c r="BU90" s="49"/>
      <c r="BV90" s="2"/>
      <c r="BW90" s="3"/>
      <c r="BX90" s="3"/>
      <c r="BY90" s="3"/>
      <c r="BZ90" s="3"/>
    </row>
    <row r="91" spans="1:78" ht="34.05" customHeight="1">
      <c r="A91" s="65" t="s">
        <v>336</v>
      </c>
      <c r="C91" s="66"/>
      <c r="D91" s="66" t="s">
        <v>64</v>
      </c>
      <c r="E91" s="67">
        <v>211.25874877280054</v>
      </c>
      <c r="F91" s="69"/>
      <c r="G91" s="103" t="str">
        <f>HYPERLINK("https://pbs.twimg.com/profile_images/798112377745108992/LT63On3B_normal.jpg")</f>
        <v>https://pbs.twimg.com/profile_images/798112377745108992/LT63On3B_normal.jpg</v>
      </c>
      <c r="H91" s="66"/>
      <c r="I91" s="70" t="s">
        <v>336</v>
      </c>
      <c r="J91" s="71"/>
      <c r="K91" s="71"/>
      <c r="L91" s="70" t="s">
        <v>1299</v>
      </c>
      <c r="M91" s="74">
        <v>99.65943977115386</v>
      </c>
      <c r="N91" s="75">
        <v>2424.549560546875</v>
      </c>
      <c r="O91" s="75">
        <v>777.1243286132812</v>
      </c>
      <c r="P91" s="76"/>
      <c r="Q91" s="77"/>
      <c r="R91" s="77"/>
      <c r="S91" s="89"/>
      <c r="T91" s="49">
        <v>1</v>
      </c>
      <c r="U91" s="49">
        <v>0</v>
      </c>
      <c r="V91" s="50">
        <v>0</v>
      </c>
      <c r="W91" s="50">
        <v>0.004444</v>
      </c>
      <c r="X91" s="50">
        <v>0.007856</v>
      </c>
      <c r="Y91" s="50">
        <v>0.395968</v>
      </c>
      <c r="Z91" s="50">
        <v>0</v>
      </c>
      <c r="AA91" s="50">
        <v>0</v>
      </c>
      <c r="AB91" s="72">
        <v>91</v>
      </c>
      <c r="AC91" s="72"/>
      <c r="AD91" s="73"/>
      <c r="AE91" s="79" t="s">
        <v>884</v>
      </c>
      <c r="AF91" s="87" t="s">
        <v>1000</v>
      </c>
      <c r="AG91" s="79">
        <v>1834</v>
      </c>
      <c r="AH91" s="79">
        <v>33590</v>
      </c>
      <c r="AI91" s="79">
        <v>3439</v>
      </c>
      <c r="AJ91" s="79">
        <v>1205</v>
      </c>
      <c r="AK91" s="79"/>
      <c r="AL91" s="79" t="s">
        <v>1111</v>
      </c>
      <c r="AM91" s="79" t="s">
        <v>1195</v>
      </c>
      <c r="AN91" s="83" t="str">
        <f>HYPERLINK("https://t.co/plvWVKz3zg")</f>
        <v>https://t.co/plvWVKz3zg</v>
      </c>
      <c r="AO91" s="79"/>
      <c r="AP91" s="81">
        <v>39565.8215162037</v>
      </c>
      <c r="AQ91" s="83" t="str">
        <f>HYPERLINK("https://pbs.twimg.com/profile_banners/14561015/1420244855")</f>
        <v>https://pbs.twimg.com/profile_banners/14561015/1420244855</v>
      </c>
      <c r="AR91" s="79" t="b">
        <v>0</v>
      </c>
      <c r="AS91" s="79" t="b">
        <v>0</v>
      </c>
      <c r="AT91" s="79" t="b">
        <v>1</v>
      </c>
      <c r="AU91" s="79"/>
      <c r="AV91" s="79">
        <v>611</v>
      </c>
      <c r="AW91" s="83" t="str">
        <f>HYPERLINK("https://abs.twimg.com/images/themes/theme9/bg.gif")</f>
        <v>https://abs.twimg.com/images/themes/theme9/bg.gif</v>
      </c>
      <c r="AX91" s="79" t="b">
        <v>1</v>
      </c>
      <c r="AY91" s="79" t="s">
        <v>1211</v>
      </c>
      <c r="AZ91" s="83" t="str">
        <f>HYPERLINK("https://twitter.com/damianhinds")</f>
        <v>https://twitter.com/damianhinds</v>
      </c>
      <c r="BA91" s="79" t="s">
        <v>65</v>
      </c>
      <c r="BB91" s="79" t="str">
        <f>REPLACE(INDEX(GroupVertices[Group],MATCH(Vertices[[#This Row],[Vertex]],GroupVertices[Vertex],0)),1,1,"")</f>
        <v>1</v>
      </c>
      <c r="BC91" s="49"/>
      <c r="BD91" s="49"/>
      <c r="BE91" s="49"/>
      <c r="BF91" s="49"/>
      <c r="BG91" s="49"/>
      <c r="BH91" s="49"/>
      <c r="BI91" s="49"/>
      <c r="BJ91" s="49"/>
      <c r="BK91" s="49"/>
      <c r="BL91" s="49"/>
      <c r="BM91" s="49"/>
      <c r="BN91" s="50"/>
      <c r="BO91" s="49"/>
      <c r="BP91" s="50"/>
      <c r="BQ91" s="49"/>
      <c r="BR91" s="50"/>
      <c r="BS91" s="49"/>
      <c r="BT91" s="50"/>
      <c r="BU91" s="49"/>
      <c r="BV91" s="2"/>
      <c r="BW91" s="3"/>
      <c r="BX91" s="3"/>
      <c r="BY91" s="3"/>
      <c r="BZ91" s="3"/>
    </row>
    <row r="92" spans="1:78" ht="34.05" customHeight="1">
      <c r="A92" s="65" t="s">
        <v>337</v>
      </c>
      <c r="C92" s="66"/>
      <c r="D92" s="66" t="s">
        <v>64</v>
      </c>
      <c r="E92" s="67">
        <v>162.72592457776463</v>
      </c>
      <c r="F92" s="69"/>
      <c r="G92" s="103" t="str">
        <f>HYPERLINK("https://pbs.twimg.com/profile_images/1187186312891326465/_0ACIOyf_normal.jpg")</f>
        <v>https://pbs.twimg.com/profile_images/1187186312891326465/_0ACIOyf_normal.jpg</v>
      </c>
      <c r="H92" s="66"/>
      <c r="I92" s="70" t="s">
        <v>337</v>
      </c>
      <c r="J92" s="71"/>
      <c r="K92" s="71"/>
      <c r="L92" s="70" t="s">
        <v>1300</v>
      </c>
      <c r="M92" s="74">
        <v>2.453940953488379</v>
      </c>
      <c r="N92" s="75">
        <v>3516.88818359375</v>
      </c>
      <c r="O92" s="75">
        <v>1795.50634765625</v>
      </c>
      <c r="P92" s="76"/>
      <c r="Q92" s="77"/>
      <c r="R92" s="77"/>
      <c r="S92" s="89"/>
      <c r="T92" s="49">
        <v>1</v>
      </c>
      <c r="U92" s="49">
        <v>0</v>
      </c>
      <c r="V92" s="50">
        <v>0</v>
      </c>
      <c r="W92" s="50">
        <v>0.004444</v>
      </c>
      <c r="X92" s="50">
        <v>0.007856</v>
      </c>
      <c r="Y92" s="50">
        <v>0.395968</v>
      </c>
      <c r="Z92" s="50">
        <v>0</v>
      </c>
      <c r="AA92" s="50">
        <v>0</v>
      </c>
      <c r="AB92" s="72">
        <v>92</v>
      </c>
      <c r="AC92" s="72"/>
      <c r="AD92" s="73"/>
      <c r="AE92" s="79" t="s">
        <v>885</v>
      </c>
      <c r="AF92" s="87" t="s">
        <v>1001</v>
      </c>
      <c r="AG92" s="79">
        <v>232</v>
      </c>
      <c r="AH92" s="79">
        <v>496</v>
      </c>
      <c r="AI92" s="79">
        <v>109</v>
      </c>
      <c r="AJ92" s="79">
        <v>18</v>
      </c>
      <c r="AK92" s="79"/>
      <c r="AL92" s="79" t="s">
        <v>1112</v>
      </c>
      <c r="AM92" s="79" t="s">
        <v>1196</v>
      </c>
      <c r="AN92" s="83" t="str">
        <f>HYPERLINK("https://t.co/rmh5OrScUP")</f>
        <v>https://t.co/rmh5OrScUP</v>
      </c>
      <c r="AO92" s="79"/>
      <c r="AP92" s="81">
        <v>39844.44857638889</v>
      </c>
      <c r="AQ92" s="79"/>
      <c r="AR92" s="79" t="b">
        <v>1</v>
      </c>
      <c r="AS92" s="79" t="b">
        <v>0</v>
      </c>
      <c r="AT92" s="79" t="b">
        <v>1</v>
      </c>
      <c r="AU92" s="79"/>
      <c r="AV92" s="79">
        <v>17</v>
      </c>
      <c r="AW92" s="83" t="str">
        <f>HYPERLINK("https://abs.twimg.com/images/themes/theme1/bg.png")</f>
        <v>https://abs.twimg.com/images/themes/theme1/bg.png</v>
      </c>
      <c r="AX92" s="79" t="b">
        <v>0</v>
      </c>
      <c r="AY92" s="79" t="s">
        <v>1211</v>
      </c>
      <c r="AZ92" s="83" t="str">
        <f>HYPERLINK("https://twitter.com/sharath36")</f>
        <v>https://twitter.com/sharath36</v>
      </c>
      <c r="BA92" s="79" t="s">
        <v>65</v>
      </c>
      <c r="BB92" s="79" t="str">
        <f>REPLACE(INDEX(GroupVertices[Group],MATCH(Vertices[[#This Row],[Vertex]],GroupVertices[Vertex],0)),1,1,"")</f>
        <v>1</v>
      </c>
      <c r="BC92" s="49"/>
      <c r="BD92" s="49"/>
      <c r="BE92" s="49"/>
      <c r="BF92" s="49"/>
      <c r="BG92" s="49"/>
      <c r="BH92" s="49"/>
      <c r="BI92" s="49"/>
      <c r="BJ92" s="49"/>
      <c r="BK92" s="49"/>
      <c r="BL92" s="49"/>
      <c r="BM92" s="49"/>
      <c r="BN92" s="50"/>
      <c r="BO92" s="49"/>
      <c r="BP92" s="50"/>
      <c r="BQ92" s="49"/>
      <c r="BR92" s="50"/>
      <c r="BS92" s="49"/>
      <c r="BT92" s="50"/>
      <c r="BU92" s="49"/>
      <c r="BV92" s="2"/>
      <c r="BW92" s="3"/>
      <c r="BX92" s="3"/>
      <c r="BY92" s="3"/>
      <c r="BZ92" s="3"/>
    </row>
    <row r="93" spans="1:78" ht="34.05" customHeight="1">
      <c r="A93" s="65" t="s">
        <v>286</v>
      </c>
      <c r="C93" s="66"/>
      <c r="D93" s="66" t="s">
        <v>64</v>
      </c>
      <c r="E93" s="67">
        <v>162.65846492003297</v>
      </c>
      <c r="F93" s="69"/>
      <c r="G93" s="103" t="str">
        <f>HYPERLINK("https://pbs.twimg.com/profile_images/738828705070518272/X2a85qZD_normal.jpg")</f>
        <v>https://pbs.twimg.com/profile_images/738828705070518272/X2a85qZD_normal.jpg</v>
      </c>
      <c r="H93" s="66"/>
      <c r="I93" s="70" t="s">
        <v>286</v>
      </c>
      <c r="J93" s="71"/>
      <c r="K93" s="71"/>
      <c r="L93" s="70" t="s">
        <v>1301</v>
      </c>
      <c r="M93" s="74">
        <v>2.318827248719762</v>
      </c>
      <c r="N93" s="75">
        <v>2832.816650390625</v>
      </c>
      <c r="O93" s="75">
        <v>6906.05419921875</v>
      </c>
      <c r="P93" s="76"/>
      <c r="Q93" s="77"/>
      <c r="R93" s="77"/>
      <c r="S93" s="89"/>
      <c r="T93" s="49">
        <v>1</v>
      </c>
      <c r="U93" s="49">
        <v>1</v>
      </c>
      <c r="V93" s="50">
        <v>0</v>
      </c>
      <c r="W93" s="50">
        <v>0.004444</v>
      </c>
      <c r="X93" s="50">
        <v>0.007856</v>
      </c>
      <c r="Y93" s="50">
        <v>0.395968</v>
      </c>
      <c r="Z93" s="50">
        <v>0</v>
      </c>
      <c r="AA93" s="50">
        <v>1</v>
      </c>
      <c r="AB93" s="72">
        <v>93</v>
      </c>
      <c r="AC93" s="72"/>
      <c r="AD93" s="73"/>
      <c r="AE93" s="79" t="s">
        <v>886</v>
      </c>
      <c r="AF93" s="87" t="s">
        <v>1002</v>
      </c>
      <c r="AG93" s="79">
        <v>316</v>
      </c>
      <c r="AH93" s="79">
        <v>450</v>
      </c>
      <c r="AI93" s="79">
        <v>10920</v>
      </c>
      <c r="AJ93" s="79">
        <v>16430</v>
      </c>
      <c r="AK93" s="79"/>
      <c r="AL93" s="79" t="s">
        <v>1113</v>
      </c>
      <c r="AM93" s="79"/>
      <c r="AN93" s="79"/>
      <c r="AO93" s="79"/>
      <c r="AP93" s="81">
        <v>42524.8380787037</v>
      </c>
      <c r="AQ93" s="83" t="str">
        <f>HYPERLINK("https://pbs.twimg.com/profile_banners/738824280717299712/1464989508")</f>
        <v>https://pbs.twimg.com/profile_banners/738824280717299712/1464989508</v>
      </c>
      <c r="AR93" s="79" t="b">
        <v>1</v>
      </c>
      <c r="AS93" s="79" t="b">
        <v>0</v>
      </c>
      <c r="AT93" s="79" t="b">
        <v>1</v>
      </c>
      <c r="AU93" s="79"/>
      <c r="AV93" s="79">
        <v>5</v>
      </c>
      <c r="AW93" s="79"/>
      <c r="AX93" s="79" t="b">
        <v>0</v>
      </c>
      <c r="AY93" s="79" t="s">
        <v>1211</v>
      </c>
      <c r="AZ93" s="83" t="str">
        <f>HYPERLINK("https://twitter.com/grausger")</f>
        <v>https://twitter.com/grausger</v>
      </c>
      <c r="BA93" s="79" t="s">
        <v>66</v>
      </c>
      <c r="BB93" s="79" t="str">
        <f>REPLACE(INDEX(GroupVertices[Group],MATCH(Vertices[[#This Row],[Vertex]],GroupVertices[Vertex],0)),1,1,"")</f>
        <v>1</v>
      </c>
      <c r="BC93" s="49" t="s">
        <v>1377</v>
      </c>
      <c r="BD93" s="49" t="s">
        <v>1377</v>
      </c>
      <c r="BE93" s="49" t="s">
        <v>444</v>
      </c>
      <c r="BF93" s="49" t="s">
        <v>444</v>
      </c>
      <c r="BG93" s="49" t="s">
        <v>449</v>
      </c>
      <c r="BH93" s="49" t="s">
        <v>449</v>
      </c>
      <c r="BI93" s="108" t="s">
        <v>1754</v>
      </c>
      <c r="BJ93" s="108" t="s">
        <v>1754</v>
      </c>
      <c r="BK93" s="108" t="s">
        <v>1798</v>
      </c>
      <c r="BL93" s="108" t="s">
        <v>1798</v>
      </c>
      <c r="BM93" s="108">
        <v>2</v>
      </c>
      <c r="BN93" s="111">
        <v>5.882352941176471</v>
      </c>
      <c r="BO93" s="108">
        <v>0</v>
      </c>
      <c r="BP93" s="111">
        <v>0</v>
      </c>
      <c r="BQ93" s="108">
        <v>0</v>
      </c>
      <c r="BR93" s="111">
        <v>0</v>
      </c>
      <c r="BS93" s="108">
        <v>32</v>
      </c>
      <c r="BT93" s="111">
        <v>94.11764705882354</v>
      </c>
      <c r="BU93" s="108">
        <v>34</v>
      </c>
      <c r="BV93" s="2"/>
      <c r="BW93" s="3"/>
      <c r="BX93" s="3"/>
      <c r="BY93" s="3"/>
      <c r="BZ93" s="3"/>
    </row>
    <row r="94" spans="1:78" ht="34.05" customHeight="1">
      <c r="A94" s="65" t="s">
        <v>338</v>
      </c>
      <c r="C94" s="66"/>
      <c r="D94" s="66" t="s">
        <v>64</v>
      </c>
      <c r="E94" s="67">
        <v>162.23317577346378</v>
      </c>
      <c r="F94" s="69"/>
      <c r="G94" s="103" t="str">
        <f>HYPERLINK("https://pbs.twimg.com/profile_images/1304148782037299202/pV7-pSHl_normal.png")</f>
        <v>https://pbs.twimg.com/profile_images/1304148782037299202/pV7-pSHl_normal.png</v>
      </c>
      <c r="H94" s="66"/>
      <c r="I94" s="70" t="s">
        <v>338</v>
      </c>
      <c r="J94" s="71"/>
      <c r="K94" s="71"/>
      <c r="L94" s="70" t="s">
        <v>1302</v>
      </c>
      <c r="M94" s="74">
        <v>1.4670234577871764</v>
      </c>
      <c r="N94" s="75">
        <v>4146.189453125</v>
      </c>
      <c r="O94" s="75">
        <v>6029.65478515625</v>
      </c>
      <c r="P94" s="76"/>
      <c r="Q94" s="77"/>
      <c r="R94" s="77"/>
      <c r="S94" s="89"/>
      <c r="T94" s="49">
        <v>1</v>
      </c>
      <c r="U94" s="49">
        <v>0</v>
      </c>
      <c r="V94" s="50">
        <v>0</v>
      </c>
      <c r="W94" s="50">
        <v>0.004444</v>
      </c>
      <c r="X94" s="50">
        <v>0.007856</v>
      </c>
      <c r="Y94" s="50">
        <v>0.395968</v>
      </c>
      <c r="Z94" s="50">
        <v>0</v>
      </c>
      <c r="AA94" s="50">
        <v>0</v>
      </c>
      <c r="AB94" s="72">
        <v>94</v>
      </c>
      <c r="AC94" s="72"/>
      <c r="AD94" s="73"/>
      <c r="AE94" s="79" t="s">
        <v>887</v>
      </c>
      <c r="AF94" s="87" t="s">
        <v>1003</v>
      </c>
      <c r="AG94" s="79">
        <v>25</v>
      </c>
      <c r="AH94" s="79">
        <v>160</v>
      </c>
      <c r="AI94" s="79">
        <v>44</v>
      </c>
      <c r="AJ94" s="79">
        <v>39</v>
      </c>
      <c r="AK94" s="79"/>
      <c r="AL94" s="79" t="s">
        <v>1114</v>
      </c>
      <c r="AM94" s="79" t="s">
        <v>1197</v>
      </c>
      <c r="AN94" s="83" t="str">
        <f>HYPERLINK("https://t.co/OUc0q6FbFs")</f>
        <v>https://t.co/OUc0q6FbFs</v>
      </c>
      <c r="AO94" s="79"/>
      <c r="AP94" s="81">
        <v>44056.95795138889</v>
      </c>
      <c r="AQ94" s="83" t="str">
        <f>HYPERLINK("https://pbs.twimg.com/profile_banners/1294045862633644034/1599768276")</f>
        <v>https://pbs.twimg.com/profile_banners/1294045862633644034/1599768276</v>
      </c>
      <c r="AR94" s="79" t="b">
        <v>1</v>
      </c>
      <c r="AS94" s="79" t="b">
        <v>0</v>
      </c>
      <c r="AT94" s="79" t="b">
        <v>0</v>
      </c>
      <c r="AU94" s="79"/>
      <c r="AV94" s="79">
        <v>0</v>
      </c>
      <c r="AW94" s="79"/>
      <c r="AX94" s="79" t="b">
        <v>0</v>
      </c>
      <c r="AY94" s="79" t="s">
        <v>1211</v>
      </c>
      <c r="AZ94" s="83" t="str">
        <f>HYPERLINK("https://twitter.com/cit_ccise")</f>
        <v>https://twitter.com/cit_ccise</v>
      </c>
      <c r="BA94" s="79" t="s">
        <v>65</v>
      </c>
      <c r="BB94" s="79" t="str">
        <f>REPLACE(INDEX(GroupVertices[Group],MATCH(Vertices[[#This Row],[Vertex]],GroupVertices[Vertex],0)),1,1,"")</f>
        <v>1</v>
      </c>
      <c r="BC94" s="49"/>
      <c r="BD94" s="49"/>
      <c r="BE94" s="49"/>
      <c r="BF94" s="49"/>
      <c r="BG94" s="49"/>
      <c r="BH94" s="49"/>
      <c r="BI94" s="49"/>
      <c r="BJ94" s="49"/>
      <c r="BK94" s="49"/>
      <c r="BL94" s="49"/>
      <c r="BM94" s="49"/>
      <c r="BN94" s="50"/>
      <c r="BO94" s="49"/>
      <c r="BP94" s="50"/>
      <c r="BQ94" s="49"/>
      <c r="BR94" s="50"/>
      <c r="BS94" s="49"/>
      <c r="BT94" s="50"/>
      <c r="BU94" s="49"/>
      <c r="BV94" s="2"/>
      <c r="BW94" s="3"/>
      <c r="BX94" s="3"/>
      <c r="BY94" s="3"/>
      <c r="BZ94" s="3"/>
    </row>
    <row r="95" spans="1:78" ht="34.05" customHeight="1">
      <c r="A95" s="65" t="s">
        <v>339</v>
      </c>
      <c r="C95" s="66"/>
      <c r="D95" s="66" t="s">
        <v>64</v>
      </c>
      <c r="E95" s="67">
        <v>163.48997852729065</v>
      </c>
      <c r="F95" s="69"/>
      <c r="G95" s="103" t="str">
        <f>HYPERLINK("https://pbs.twimg.com/profile_images/949484564120047617/u1OiGKIy_normal.jpg")</f>
        <v>https://pbs.twimg.com/profile_images/949484564120047617/u1OiGKIy_normal.jpg</v>
      </c>
      <c r="H95" s="66"/>
      <c r="I95" s="70" t="s">
        <v>339</v>
      </c>
      <c r="J95" s="71"/>
      <c r="K95" s="71"/>
      <c r="L95" s="70" t="s">
        <v>1303</v>
      </c>
      <c r="M95" s="74">
        <v>3.9842505227155414</v>
      </c>
      <c r="N95" s="75">
        <v>3193.9189453125</v>
      </c>
      <c r="O95" s="75">
        <v>1339.623291015625</v>
      </c>
      <c r="P95" s="76"/>
      <c r="Q95" s="77"/>
      <c r="R95" s="77"/>
      <c r="S95" s="89"/>
      <c r="T95" s="49">
        <v>1</v>
      </c>
      <c r="U95" s="49">
        <v>0</v>
      </c>
      <c r="V95" s="50">
        <v>0</v>
      </c>
      <c r="W95" s="50">
        <v>0.004444</v>
      </c>
      <c r="X95" s="50">
        <v>0.007856</v>
      </c>
      <c r="Y95" s="50">
        <v>0.395968</v>
      </c>
      <c r="Z95" s="50">
        <v>0</v>
      </c>
      <c r="AA95" s="50">
        <v>0</v>
      </c>
      <c r="AB95" s="72">
        <v>95</v>
      </c>
      <c r="AC95" s="72"/>
      <c r="AD95" s="73"/>
      <c r="AE95" s="79" t="s">
        <v>888</v>
      </c>
      <c r="AF95" s="87" t="s">
        <v>1004</v>
      </c>
      <c r="AG95" s="79">
        <v>165</v>
      </c>
      <c r="AH95" s="79">
        <v>1017</v>
      </c>
      <c r="AI95" s="79">
        <v>49</v>
      </c>
      <c r="AJ95" s="79">
        <v>2</v>
      </c>
      <c r="AK95" s="79"/>
      <c r="AL95" s="79" t="s">
        <v>1115</v>
      </c>
      <c r="AM95" s="79"/>
      <c r="AN95" s="79"/>
      <c r="AO95" s="79"/>
      <c r="AP95" s="81">
        <v>40810.73457175926</v>
      </c>
      <c r="AQ95" s="79"/>
      <c r="AR95" s="79" t="b">
        <v>1</v>
      </c>
      <c r="AS95" s="79" t="b">
        <v>0</v>
      </c>
      <c r="AT95" s="79" t="b">
        <v>0</v>
      </c>
      <c r="AU95" s="79"/>
      <c r="AV95" s="79">
        <v>1</v>
      </c>
      <c r="AW95" s="83" t="str">
        <f>HYPERLINK("https://abs.twimg.com/images/themes/theme1/bg.png")</f>
        <v>https://abs.twimg.com/images/themes/theme1/bg.png</v>
      </c>
      <c r="AX95" s="79" t="b">
        <v>0</v>
      </c>
      <c r="AY95" s="79" t="s">
        <v>1211</v>
      </c>
      <c r="AZ95" s="83" t="str">
        <f>HYPERLINK("https://twitter.com/anju_sharma_ind")</f>
        <v>https://twitter.com/anju_sharma_ind</v>
      </c>
      <c r="BA95" s="79" t="s">
        <v>65</v>
      </c>
      <c r="BB95" s="79" t="str">
        <f>REPLACE(INDEX(GroupVertices[Group],MATCH(Vertices[[#This Row],[Vertex]],GroupVertices[Vertex],0)),1,1,"")</f>
        <v>1</v>
      </c>
      <c r="BC95" s="49"/>
      <c r="BD95" s="49"/>
      <c r="BE95" s="49"/>
      <c r="BF95" s="49"/>
      <c r="BG95" s="49"/>
      <c r="BH95" s="49"/>
      <c r="BI95" s="49"/>
      <c r="BJ95" s="49"/>
      <c r="BK95" s="49"/>
      <c r="BL95" s="49"/>
      <c r="BM95" s="49"/>
      <c r="BN95" s="50"/>
      <c r="BO95" s="49"/>
      <c r="BP95" s="50"/>
      <c r="BQ95" s="49"/>
      <c r="BR95" s="50"/>
      <c r="BS95" s="49"/>
      <c r="BT95" s="50"/>
      <c r="BU95" s="49"/>
      <c r="BV95" s="2"/>
      <c r="BW95" s="3"/>
      <c r="BX95" s="3"/>
      <c r="BY95" s="3"/>
      <c r="BZ95" s="3"/>
    </row>
    <row r="96" spans="1:78" ht="34.05" customHeight="1">
      <c r="A96" s="65" t="s">
        <v>340</v>
      </c>
      <c r="C96" s="66"/>
      <c r="D96" s="66" t="s">
        <v>64</v>
      </c>
      <c r="E96" s="67">
        <v>1000</v>
      </c>
      <c r="F96" s="69"/>
      <c r="G96" s="103" t="str">
        <f>HYPERLINK("https://pbs.twimg.com/profile_images/1229003286176382976/NYtsfSfI_normal.jpg")</f>
        <v>https://pbs.twimg.com/profile_images/1229003286176382976/NYtsfSfI_normal.jpg</v>
      </c>
      <c r="H96" s="66"/>
      <c r="I96" s="70" t="s">
        <v>340</v>
      </c>
      <c r="J96" s="71"/>
      <c r="K96" s="71"/>
      <c r="L96" s="70" t="s">
        <v>1304</v>
      </c>
      <c r="M96" s="74">
        <v>7634.275186193083</v>
      </c>
      <c r="N96" s="75">
        <v>2837.192626953125</v>
      </c>
      <c r="O96" s="75">
        <v>940.7066650390625</v>
      </c>
      <c r="P96" s="76"/>
      <c r="Q96" s="77"/>
      <c r="R96" s="77"/>
      <c r="S96" s="89"/>
      <c r="T96" s="49">
        <v>1</v>
      </c>
      <c r="U96" s="49">
        <v>0</v>
      </c>
      <c r="V96" s="50">
        <v>0</v>
      </c>
      <c r="W96" s="50">
        <v>0.004444</v>
      </c>
      <c r="X96" s="50">
        <v>0.007856</v>
      </c>
      <c r="Y96" s="50">
        <v>0.395968</v>
      </c>
      <c r="Z96" s="50">
        <v>0</v>
      </c>
      <c r="AA96" s="50">
        <v>0</v>
      </c>
      <c r="AB96" s="72">
        <v>96</v>
      </c>
      <c r="AC96" s="72"/>
      <c r="AD96" s="73"/>
      <c r="AE96" s="79" t="s">
        <v>889</v>
      </c>
      <c r="AF96" s="87" t="s">
        <v>1005</v>
      </c>
      <c r="AG96" s="79">
        <v>254</v>
      </c>
      <c r="AH96" s="79">
        <v>2598780</v>
      </c>
      <c r="AI96" s="79">
        <v>18207</v>
      </c>
      <c r="AJ96" s="79">
        <v>544</v>
      </c>
      <c r="AK96" s="79"/>
      <c r="AL96" s="79" t="s">
        <v>1116</v>
      </c>
      <c r="AM96" s="79" t="s">
        <v>1198</v>
      </c>
      <c r="AN96" s="83" t="str">
        <f>HYPERLINK("https://t.co/4JAW1V5d08")</f>
        <v>https://t.co/4JAW1V5d08</v>
      </c>
      <c r="AO96" s="79"/>
      <c r="AP96" s="81">
        <v>39914.31164351852</v>
      </c>
      <c r="AQ96" s="83" t="str">
        <f>HYPERLINK("https://pbs.twimg.com/profile_banners/30417501/1581852290")</f>
        <v>https://pbs.twimg.com/profile_banners/30417501/1581852290</v>
      </c>
      <c r="AR96" s="79" t="b">
        <v>1</v>
      </c>
      <c r="AS96" s="79" t="b">
        <v>0</v>
      </c>
      <c r="AT96" s="79" t="b">
        <v>1</v>
      </c>
      <c r="AU96" s="79"/>
      <c r="AV96" s="79">
        <v>1122</v>
      </c>
      <c r="AW96" s="83" t="str">
        <f>HYPERLINK("https://abs.twimg.com/images/themes/theme1/bg.png")</f>
        <v>https://abs.twimg.com/images/themes/theme1/bg.png</v>
      </c>
      <c r="AX96" s="79" t="b">
        <v>1</v>
      </c>
      <c r="AY96" s="79" t="s">
        <v>1211</v>
      </c>
      <c r="AZ96" s="83" t="str">
        <f>HYPERLINK("https://twitter.com/msisodia")</f>
        <v>https://twitter.com/msisodia</v>
      </c>
      <c r="BA96" s="79" t="s">
        <v>65</v>
      </c>
      <c r="BB96" s="79" t="str">
        <f>REPLACE(INDEX(GroupVertices[Group],MATCH(Vertices[[#This Row],[Vertex]],GroupVertices[Vertex],0)),1,1,"")</f>
        <v>1</v>
      </c>
      <c r="BC96" s="49"/>
      <c r="BD96" s="49"/>
      <c r="BE96" s="49"/>
      <c r="BF96" s="49"/>
      <c r="BG96" s="49"/>
      <c r="BH96" s="49"/>
      <c r="BI96" s="49"/>
      <c r="BJ96" s="49"/>
      <c r="BK96" s="49"/>
      <c r="BL96" s="49"/>
      <c r="BM96" s="49"/>
      <c r="BN96" s="50"/>
      <c r="BO96" s="49"/>
      <c r="BP96" s="50"/>
      <c r="BQ96" s="49"/>
      <c r="BR96" s="50"/>
      <c r="BS96" s="49"/>
      <c r="BT96" s="50"/>
      <c r="BU96" s="49"/>
      <c r="BV96" s="2"/>
      <c r="BW96" s="3"/>
      <c r="BX96" s="3"/>
      <c r="BY96" s="3"/>
      <c r="BZ96" s="3"/>
    </row>
    <row r="97" spans="1:78" ht="34.05" customHeight="1">
      <c r="A97" s="65" t="s">
        <v>341</v>
      </c>
      <c r="C97" s="66"/>
      <c r="D97" s="66" t="s">
        <v>64</v>
      </c>
      <c r="E97" s="67">
        <v>193.82775982065826</v>
      </c>
      <c r="F97" s="69"/>
      <c r="G97" s="103" t="str">
        <f>HYPERLINK("https://pbs.twimg.com/profile_images/1244522632168361984/YMUZWFc8_normal.jpg")</f>
        <v>https://pbs.twimg.com/profile_images/1244522632168361984/YMUZWFc8_normal.jpg</v>
      </c>
      <c r="H97" s="66"/>
      <c r="I97" s="70" t="s">
        <v>341</v>
      </c>
      <c r="J97" s="71"/>
      <c r="K97" s="71"/>
      <c r="L97" s="70" t="s">
        <v>1305</v>
      </c>
      <c r="M97" s="74">
        <v>64.74723336072381</v>
      </c>
      <c r="N97" s="75">
        <v>3191.172607421875</v>
      </c>
      <c r="O97" s="75">
        <v>2725.914794921875</v>
      </c>
      <c r="P97" s="76"/>
      <c r="Q97" s="77"/>
      <c r="R97" s="77"/>
      <c r="S97" s="89"/>
      <c r="T97" s="49">
        <v>1</v>
      </c>
      <c r="U97" s="49">
        <v>0</v>
      </c>
      <c r="V97" s="50">
        <v>0</v>
      </c>
      <c r="W97" s="50">
        <v>0.004444</v>
      </c>
      <c r="X97" s="50">
        <v>0.007856</v>
      </c>
      <c r="Y97" s="50">
        <v>0.395968</v>
      </c>
      <c r="Z97" s="50">
        <v>0</v>
      </c>
      <c r="AA97" s="50">
        <v>0</v>
      </c>
      <c r="AB97" s="72">
        <v>97</v>
      </c>
      <c r="AC97" s="72"/>
      <c r="AD97" s="73"/>
      <c r="AE97" s="79" t="s">
        <v>890</v>
      </c>
      <c r="AF97" s="87" t="s">
        <v>1006</v>
      </c>
      <c r="AG97" s="79">
        <v>179</v>
      </c>
      <c r="AH97" s="79">
        <v>21704</v>
      </c>
      <c r="AI97" s="79">
        <v>320</v>
      </c>
      <c r="AJ97" s="79">
        <v>293</v>
      </c>
      <c r="AK97" s="79"/>
      <c r="AL97" s="79" t="s">
        <v>1117</v>
      </c>
      <c r="AM97" s="79" t="s">
        <v>890</v>
      </c>
      <c r="AN97" s="83" t="str">
        <f>HYPERLINK("https://t.co/45c3ssiH2Q")</f>
        <v>https://t.co/45c3ssiH2Q</v>
      </c>
      <c r="AO97" s="79"/>
      <c r="AP97" s="81">
        <v>39157.42171296296</v>
      </c>
      <c r="AQ97" s="83" t="str">
        <f>HYPERLINK("https://pbs.twimg.com/profile_banners/1276481/1585552282")</f>
        <v>https://pbs.twimg.com/profile_banners/1276481/1585552282</v>
      </c>
      <c r="AR97" s="79" t="b">
        <v>0</v>
      </c>
      <c r="AS97" s="79" t="b">
        <v>0</v>
      </c>
      <c r="AT97" s="79" t="b">
        <v>0</v>
      </c>
      <c r="AU97" s="79"/>
      <c r="AV97" s="79">
        <v>155</v>
      </c>
      <c r="AW97" s="83" t="str">
        <f>HYPERLINK("https://abs.twimg.com/images/themes/theme1/bg.png")</f>
        <v>https://abs.twimg.com/images/themes/theme1/bg.png</v>
      </c>
      <c r="AX97" s="79" t="b">
        <v>0</v>
      </c>
      <c r="AY97" s="79" t="s">
        <v>1211</v>
      </c>
      <c r="AZ97" s="83" t="str">
        <f>HYPERLINK("https://twitter.com/india")</f>
        <v>https://twitter.com/india</v>
      </c>
      <c r="BA97" s="79" t="s">
        <v>65</v>
      </c>
      <c r="BB97" s="79" t="str">
        <f>REPLACE(INDEX(GroupVertices[Group],MATCH(Vertices[[#This Row],[Vertex]],GroupVertices[Vertex],0)),1,1,"")</f>
        <v>1</v>
      </c>
      <c r="BC97" s="49"/>
      <c r="BD97" s="49"/>
      <c r="BE97" s="49"/>
      <c r="BF97" s="49"/>
      <c r="BG97" s="49"/>
      <c r="BH97" s="49"/>
      <c r="BI97" s="49"/>
      <c r="BJ97" s="49"/>
      <c r="BK97" s="49"/>
      <c r="BL97" s="49"/>
      <c r="BM97" s="49"/>
      <c r="BN97" s="50"/>
      <c r="BO97" s="49"/>
      <c r="BP97" s="50"/>
      <c r="BQ97" s="49"/>
      <c r="BR97" s="50"/>
      <c r="BS97" s="49"/>
      <c r="BT97" s="50"/>
      <c r="BU97" s="49"/>
      <c r="BV97" s="2"/>
      <c r="BW97" s="3"/>
      <c r="BX97" s="3"/>
      <c r="BY97" s="3"/>
      <c r="BZ97" s="3"/>
    </row>
    <row r="98" spans="1:78" ht="34.05" customHeight="1">
      <c r="A98" s="65" t="s">
        <v>290</v>
      </c>
      <c r="C98" s="66"/>
      <c r="D98" s="66" t="s">
        <v>64</v>
      </c>
      <c r="E98" s="67">
        <v>162.14811794414996</v>
      </c>
      <c r="F98" s="69"/>
      <c r="G98" s="103" t="str">
        <f>HYPERLINK("https://pbs.twimg.com/profile_images/1297810209822449665/XqhbL50x_normal.jpg")</f>
        <v>https://pbs.twimg.com/profile_images/1297810209822449665/XqhbL50x_normal.jpg</v>
      </c>
      <c r="H98" s="66"/>
      <c r="I98" s="70" t="s">
        <v>290</v>
      </c>
      <c r="J98" s="71"/>
      <c r="K98" s="71"/>
      <c r="L98" s="70" t="s">
        <v>1306</v>
      </c>
      <c r="M98" s="74">
        <v>1.2966626996006592</v>
      </c>
      <c r="N98" s="75">
        <v>8876.03515625</v>
      </c>
      <c r="O98" s="75">
        <v>3367.538818359375</v>
      </c>
      <c r="P98" s="76"/>
      <c r="Q98" s="77"/>
      <c r="R98" s="77"/>
      <c r="S98" s="89"/>
      <c r="T98" s="49">
        <v>3</v>
      </c>
      <c r="U98" s="49">
        <v>2</v>
      </c>
      <c r="V98" s="50">
        <v>0</v>
      </c>
      <c r="W98" s="50">
        <v>0.004484</v>
      </c>
      <c r="X98" s="50">
        <v>0.009564</v>
      </c>
      <c r="Y98" s="50">
        <v>0.913772</v>
      </c>
      <c r="Z98" s="50">
        <v>0.6666666666666666</v>
      </c>
      <c r="AA98" s="50">
        <v>0.6666666666666666</v>
      </c>
      <c r="AB98" s="72">
        <v>98</v>
      </c>
      <c r="AC98" s="72"/>
      <c r="AD98" s="73"/>
      <c r="AE98" s="79" t="s">
        <v>891</v>
      </c>
      <c r="AF98" s="87" t="s">
        <v>1007</v>
      </c>
      <c r="AG98" s="79">
        <v>72</v>
      </c>
      <c r="AH98" s="79">
        <v>102</v>
      </c>
      <c r="AI98" s="79">
        <v>55</v>
      </c>
      <c r="AJ98" s="79">
        <v>79</v>
      </c>
      <c r="AK98" s="79"/>
      <c r="AL98" s="79" t="s">
        <v>1118</v>
      </c>
      <c r="AM98" s="79" t="s">
        <v>1199</v>
      </c>
      <c r="AN98" s="79"/>
      <c r="AO98" s="79"/>
      <c r="AP98" s="81">
        <v>43958.505590277775</v>
      </c>
      <c r="AQ98" s="83" t="str">
        <f>HYPERLINK("https://pbs.twimg.com/profile_banners/1258367819667865606/1598257041")</f>
        <v>https://pbs.twimg.com/profile_banners/1258367819667865606/1598257041</v>
      </c>
      <c r="AR98" s="79" t="b">
        <v>1</v>
      </c>
      <c r="AS98" s="79" t="b">
        <v>0</v>
      </c>
      <c r="AT98" s="79" t="b">
        <v>0</v>
      </c>
      <c r="AU98" s="79"/>
      <c r="AV98" s="79">
        <v>0</v>
      </c>
      <c r="AW98" s="79"/>
      <c r="AX98" s="79" t="b">
        <v>0</v>
      </c>
      <c r="AY98" s="79" t="s">
        <v>1211</v>
      </c>
      <c r="AZ98" s="83" t="str">
        <f>HYPERLINK("https://twitter.com/yaoydo")</f>
        <v>https://twitter.com/yaoydo</v>
      </c>
      <c r="BA98" s="79" t="s">
        <v>66</v>
      </c>
      <c r="BB98" s="79" t="str">
        <f>REPLACE(INDEX(GroupVertices[Group],MATCH(Vertices[[#This Row],[Vertex]],GroupVertices[Vertex],0)),1,1,"")</f>
        <v>10</v>
      </c>
      <c r="BC98" s="49" t="s">
        <v>1365</v>
      </c>
      <c r="BD98" s="49" t="s">
        <v>1365</v>
      </c>
      <c r="BE98" s="49" t="s">
        <v>444</v>
      </c>
      <c r="BF98" s="49" t="s">
        <v>444</v>
      </c>
      <c r="BG98" s="49" t="s">
        <v>455</v>
      </c>
      <c r="BH98" s="49" t="s">
        <v>455</v>
      </c>
      <c r="BI98" s="108" t="s">
        <v>1761</v>
      </c>
      <c r="BJ98" s="108" t="s">
        <v>1761</v>
      </c>
      <c r="BK98" s="108" t="s">
        <v>1645</v>
      </c>
      <c r="BL98" s="108" t="s">
        <v>1645</v>
      </c>
      <c r="BM98" s="108">
        <v>1</v>
      </c>
      <c r="BN98" s="111">
        <v>3.4482758620689653</v>
      </c>
      <c r="BO98" s="108">
        <v>0</v>
      </c>
      <c r="BP98" s="111">
        <v>0</v>
      </c>
      <c r="BQ98" s="108">
        <v>0</v>
      </c>
      <c r="BR98" s="111">
        <v>0</v>
      </c>
      <c r="BS98" s="108">
        <v>28</v>
      </c>
      <c r="BT98" s="111">
        <v>96.55172413793103</v>
      </c>
      <c r="BU98" s="108">
        <v>29</v>
      </c>
      <c r="BV98" s="2"/>
      <c r="BW98" s="3"/>
      <c r="BX98" s="3"/>
      <c r="BY98" s="3"/>
      <c r="BZ98" s="3"/>
    </row>
    <row r="99" spans="1:78" ht="34.05" customHeight="1">
      <c r="A99" s="65" t="s">
        <v>289</v>
      </c>
      <c r="C99" s="66"/>
      <c r="D99" s="66" t="s">
        <v>64</v>
      </c>
      <c r="E99" s="67">
        <v>173.60306112984603</v>
      </c>
      <c r="F99" s="69"/>
      <c r="G99" s="103" t="str">
        <f>HYPERLINK("https://pbs.twimg.com/profile_images/984336322469998592/IPqnym1I_normal.jpg")</f>
        <v>https://pbs.twimg.com/profile_images/984336322469998592/IPqnym1I_normal.jpg</v>
      </c>
      <c r="H99" s="66"/>
      <c r="I99" s="70" t="s">
        <v>289</v>
      </c>
      <c r="J99" s="71"/>
      <c r="K99" s="71"/>
      <c r="L99" s="70" t="s">
        <v>1307</v>
      </c>
      <c r="M99" s="74">
        <v>24.23955722020213</v>
      </c>
      <c r="N99" s="75">
        <v>9537.5078125</v>
      </c>
      <c r="O99" s="75">
        <v>2820.6259765625</v>
      </c>
      <c r="P99" s="76"/>
      <c r="Q99" s="77"/>
      <c r="R99" s="77"/>
      <c r="S99" s="89"/>
      <c r="T99" s="49">
        <v>3</v>
      </c>
      <c r="U99" s="49">
        <v>2</v>
      </c>
      <c r="V99" s="50">
        <v>0</v>
      </c>
      <c r="W99" s="50">
        <v>0.004484</v>
      </c>
      <c r="X99" s="50">
        <v>0.009564</v>
      </c>
      <c r="Y99" s="50">
        <v>0.913772</v>
      </c>
      <c r="Z99" s="50">
        <v>0.6666666666666666</v>
      </c>
      <c r="AA99" s="50">
        <v>0.6666666666666666</v>
      </c>
      <c r="AB99" s="72">
        <v>99</v>
      </c>
      <c r="AC99" s="72"/>
      <c r="AD99" s="73"/>
      <c r="AE99" s="79" t="s">
        <v>892</v>
      </c>
      <c r="AF99" s="87" t="s">
        <v>1008</v>
      </c>
      <c r="AG99" s="79">
        <v>1143</v>
      </c>
      <c r="AH99" s="79">
        <v>7913</v>
      </c>
      <c r="AI99" s="79">
        <v>5492</v>
      </c>
      <c r="AJ99" s="79">
        <v>4873</v>
      </c>
      <c r="AK99" s="79"/>
      <c r="AL99" s="79" t="s">
        <v>1119</v>
      </c>
      <c r="AM99" s="79" t="s">
        <v>1199</v>
      </c>
      <c r="AN99" s="83" t="str">
        <f>HYPERLINK("https://t.co/0g0C9Z17rN")</f>
        <v>https://t.co/0g0C9Z17rN</v>
      </c>
      <c r="AO99" s="79"/>
      <c r="AP99" s="81">
        <v>42115.514699074076</v>
      </c>
      <c r="AQ99" s="83" t="str">
        <f>HYPERLINK("https://pbs.twimg.com/profile_banners/3190562235/1499760507")</f>
        <v>https://pbs.twimg.com/profile_banners/3190562235/1499760507</v>
      </c>
      <c r="AR99" s="79" t="b">
        <v>0</v>
      </c>
      <c r="AS99" s="79" t="b">
        <v>0</v>
      </c>
      <c r="AT99" s="79" t="b">
        <v>1</v>
      </c>
      <c r="AU99" s="79"/>
      <c r="AV99" s="79">
        <v>143</v>
      </c>
      <c r="AW99" s="83" t="str">
        <f>HYPERLINK("https://abs.twimg.com/images/themes/theme1/bg.png")</f>
        <v>https://abs.twimg.com/images/themes/theme1/bg.png</v>
      </c>
      <c r="AX99" s="79" t="b">
        <v>0</v>
      </c>
      <c r="AY99" s="79" t="s">
        <v>1211</v>
      </c>
      <c r="AZ99" s="83" t="str">
        <f>HYPERLINK("https://twitter.com/ibe_unesco")</f>
        <v>https://twitter.com/ibe_unesco</v>
      </c>
      <c r="BA99" s="79" t="s">
        <v>66</v>
      </c>
      <c r="BB99" s="79" t="str">
        <f>REPLACE(INDEX(GroupVertices[Group],MATCH(Vertices[[#This Row],[Vertex]],GroupVertices[Vertex],0)),1,1,"")</f>
        <v>10</v>
      </c>
      <c r="BC99" s="49" t="s">
        <v>1365</v>
      </c>
      <c r="BD99" s="49" t="s">
        <v>1365</v>
      </c>
      <c r="BE99" s="49" t="s">
        <v>444</v>
      </c>
      <c r="BF99" s="49" t="s">
        <v>444</v>
      </c>
      <c r="BG99" s="49" t="s">
        <v>455</v>
      </c>
      <c r="BH99" s="49" t="s">
        <v>455</v>
      </c>
      <c r="BI99" s="108" t="s">
        <v>1761</v>
      </c>
      <c r="BJ99" s="108" t="s">
        <v>1761</v>
      </c>
      <c r="BK99" s="108" t="s">
        <v>1645</v>
      </c>
      <c r="BL99" s="108" t="s">
        <v>1645</v>
      </c>
      <c r="BM99" s="108">
        <v>1</v>
      </c>
      <c r="BN99" s="111">
        <v>3.4482758620689653</v>
      </c>
      <c r="BO99" s="108">
        <v>0</v>
      </c>
      <c r="BP99" s="111">
        <v>0</v>
      </c>
      <c r="BQ99" s="108">
        <v>0</v>
      </c>
      <c r="BR99" s="111">
        <v>0</v>
      </c>
      <c r="BS99" s="108">
        <v>28</v>
      </c>
      <c r="BT99" s="111">
        <v>96.55172413793103</v>
      </c>
      <c r="BU99" s="108">
        <v>29</v>
      </c>
      <c r="BV99" s="2"/>
      <c r="BW99" s="3"/>
      <c r="BX99" s="3"/>
      <c r="BY99" s="3"/>
      <c r="BZ99" s="3"/>
    </row>
    <row r="100" spans="1:78" ht="34.05" customHeight="1">
      <c r="A100" s="65" t="s">
        <v>291</v>
      </c>
      <c r="C100" s="66"/>
      <c r="D100" s="66" t="s">
        <v>64</v>
      </c>
      <c r="E100" s="67">
        <v>229.48312196043912</v>
      </c>
      <c r="F100" s="69"/>
      <c r="G100" s="103" t="str">
        <f>HYPERLINK("https://pbs.twimg.com/profile_images/993812908118339586/5GHeTzF5_normal.jpg")</f>
        <v>https://pbs.twimg.com/profile_images/993812908118339586/5GHeTzF5_normal.jpg</v>
      </c>
      <c r="H100" s="66"/>
      <c r="I100" s="70" t="s">
        <v>291</v>
      </c>
      <c r="J100" s="71"/>
      <c r="K100" s="71"/>
      <c r="L100" s="70" t="s">
        <v>1308</v>
      </c>
      <c r="M100" s="74">
        <v>136.1607008398409</v>
      </c>
      <c r="N100" s="75">
        <v>8927.0380859375</v>
      </c>
      <c r="O100" s="75">
        <v>2124.139892578125</v>
      </c>
      <c r="P100" s="76"/>
      <c r="Q100" s="77"/>
      <c r="R100" s="77"/>
      <c r="S100" s="89"/>
      <c r="T100" s="49">
        <v>0</v>
      </c>
      <c r="U100" s="49">
        <v>3</v>
      </c>
      <c r="V100" s="50">
        <v>0</v>
      </c>
      <c r="W100" s="50">
        <v>0.004484</v>
      </c>
      <c r="X100" s="50">
        <v>0.009564</v>
      </c>
      <c r="Y100" s="50">
        <v>0.913772</v>
      </c>
      <c r="Z100" s="50">
        <v>1</v>
      </c>
      <c r="AA100" s="50">
        <v>0</v>
      </c>
      <c r="AB100" s="72">
        <v>100</v>
      </c>
      <c r="AC100" s="72"/>
      <c r="AD100" s="73"/>
      <c r="AE100" s="79" t="s">
        <v>893</v>
      </c>
      <c r="AF100" s="87" t="s">
        <v>1009</v>
      </c>
      <c r="AG100" s="79">
        <v>635</v>
      </c>
      <c r="AH100" s="79">
        <v>46017</v>
      </c>
      <c r="AI100" s="79">
        <v>7279</v>
      </c>
      <c r="AJ100" s="79">
        <v>6545</v>
      </c>
      <c r="AK100" s="79"/>
      <c r="AL100" s="79" t="s">
        <v>1120</v>
      </c>
      <c r="AM100" s="79" t="s">
        <v>1200</v>
      </c>
      <c r="AN100" s="83" t="str">
        <f>HYPERLINK("https://t.co/V3YeHQHpqX")</f>
        <v>https://t.co/V3YeHQHpqX</v>
      </c>
      <c r="AO100" s="79"/>
      <c r="AP100" s="81">
        <v>42758.57539351852</v>
      </c>
      <c r="AQ100" s="83" t="str">
        <f>HYPERLINK("https://pbs.twimg.com/profile_banners/823527849520939009/1523942410")</f>
        <v>https://pbs.twimg.com/profile_banners/823527849520939009/1523942410</v>
      </c>
      <c r="AR100" s="79" t="b">
        <v>1</v>
      </c>
      <c r="AS100" s="79" t="b">
        <v>0</v>
      </c>
      <c r="AT100" s="79" t="b">
        <v>1</v>
      </c>
      <c r="AU100" s="79"/>
      <c r="AV100" s="79">
        <v>31</v>
      </c>
      <c r="AW100" s="79"/>
      <c r="AX100" s="79" t="b">
        <v>0</v>
      </c>
      <c r="AY100" s="79" t="s">
        <v>1211</v>
      </c>
      <c r="AZ100" s="83" t="str">
        <f>HYPERLINK("https://twitter.com/ciet_ncert")</f>
        <v>https://twitter.com/ciet_ncert</v>
      </c>
      <c r="BA100" s="79" t="s">
        <v>66</v>
      </c>
      <c r="BB100" s="79" t="str">
        <f>REPLACE(INDEX(GroupVertices[Group],MATCH(Vertices[[#This Row],[Vertex]],GroupVertices[Vertex],0)),1,1,"")</f>
        <v>10</v>
      </c>
      <c r="BC100" s="49" t="s">
        <v>1365</v>
      </c>
      <c r="BD100" s="49" t="s">
        <v>1365</v>
      </c>
      <c r="BE100" s="49" t="s">
        <v>444</v>
      </c>
      <c r="BF100" s="49" t="s">
        <v>444</v>
      </c>
      <c r="BG100" s="49" t="s">
        <v>455</v>
      </c>
      <c r="BH100" s="49" t="s">
        <v>455</v>
      </c>
      <c r="BI100" s="108" t="s">
        <v>1761</v>
      </c>
      <c r="BJ100" s="108" t="s">
        <v>1761</v>
      </c>
      <c r="BK100" s="108" t="s">
        <v>1645</v>
      </c>
      <c r="BL100" s="108" t="s">
        <v>1645</v>
      </c>
      <c r="BM100" s="108">
        <v>1</v>
      </c>
      <c r="BN100" s="111">
        <v>3.4482758620689653</v>
      </c>
      <c r="BO100" s="108">
        <v>0</v>
      </c>
      <c r="BP100" s="111">
        <v>0</v>
      </c>
      <c r="BQ100" s="108">
        <v>0</v>
      </c>
      <c r="BR100" s="111">
        <v>0</v>
      </c>
      <c r="BS100" s="108">
        <v>28</v>
      </c>
      <c r="BT100" s="111">
        <v>96.55172413793103</v>
      </c>
      <c r="BU100" s="108">
        <v>29</v>
      </c>
      <c r="BV100" s="2"/>
      <c r="BW100" s="3"/>
      <c r="BX100" s="3"/>
      <c r="BY100" s="3"/>
      <c r="BZ100" s="3"/>
    </row>
    <row r="101" spans="1:78" ht="34.05" customHeight="1">
      <c r="A101" s="65" t="s">
        <v>342</v>
      </c>
      <c r="C101" s="66"/>
      <c r="D101" s="66" t="s">
        <v>64</v>
      </c>
      <c r="E101" s="67">
        <v>171.63059939834415</v>
      </c>
      <c r="F101" s="69"/>
      <c r="G101" s="103" t="str">
        <f>HYPERLINK("https://pbs.twimg.com/profile_images/882962372855517185/e4zAK7Ph_normal.jpg")</f>
        <v>https://pbs.twimg.com/profile_images/882962372855517185/e4zAK7Ph_normal.jpg</v>
      </c>
      <c r="H101" s="66"/>
      <c r="I101" s="70" t="s">
        <v>342</v>
      </c>
      <c r="J101" s="71"/>
      <c r="K101" s="71"/>
      <c r="L101" s="70" t="s">
        <v>1309</v>
      </c>
      <c r="M101" s="74">
        <v>20.288949982945827</v>
      </c>
      <c r="N101" s="75">
        <v>6871.935546875</v>
      </c>
      <c r="O101" s="75">
        <v>6991.025390625</v>
      </c>
      <c r="P101" s="76"/>
      <c r="Q101" s="77"/>
      <c r="R101" s="77"/>
      <c r="S101" s="89"/>
      <c r="T101" s="49">
        <v>2</v>
      </c>
      <c r="U101" s="49">
        <v>0</v>
      </c>
      <c r="V101" s="50">
        <v>0</v>
      </c>
      <c r="W101" s="50">
        <v>0.004525</v>
      </c>
      <c r="X101" s="50">
        <v>0.009766</v>
      </c>
      <c r="Y101" s="50">
        <v>0.62767</v>
      </c>
      <c r="Z101" s="50">
        <v>1</v>
      </c>
      <c r="AA101" s="50">
        <v>0</v>
      </c>
      <c r="AB101" s="72">
        <v>101</v>
      </c>
      <c r="AC101" s="72"/>
      <c r="AD101" s="73"/>
      <c r="AE101" s="79" t="s">
        <v>894</v>
      </c>
      <c r="AF101" s="87" t="s">
        <v>1010</v>
      </c>
      <c r="AG101" s="79">
        <v>1886</v>
      </c>
      <c r="AH101" s="79">
        <v>6568</v>
      </c>
      <c r="AI101" s="79">
        <v>15144</v>
      </c>
      <c r="AJ101" s="79">
        <v>4323</v>
      </c>
      <c r="AK101" s="79"/>
      <c r="AL101" s="79" t="s">
        <v>1121</v>
      </c>
      <c r="AM101" s="79" t="s">
        <v>1174</v>
      </c>
      <c r="AN101" s="83" t="str">
        <f>HYPERLINK("https://t.co/afHrmphtXu")</f>
        <v>https://t.co/afHrmphtXu</v>
      </c>
      <c r="AO101" s="79"/>
      <c r="AP101" s="81">
        <v>40002.37633101852</v>
      </c>
      <c r="AQ101" s="83" t="str">
        <f>HYPERLINK("https://pbs.twimg.com/profile_banners/54844123/1550590330")</f>
        <v>https://pbs.twimg.com/profile_banners/54844123/1550590330</v>
      </c>
      <c r="AR101" s="79" t="b">
        <v>0</v>
      </c>
      <c r="AS101" s="79" t="b">
        <v>0</v>
      </c>
      <c r="AT101" s="79" t="b">
        <v>1</v>
      </c>
      <c r="AU101" s="79"/>
      <c r="AV101" s="79">
        <v>212</v>
      </c>
      <c r="AW101" s="83" t="str">
        <f>HYPERLINK("https://abs.twimg.com/images/themes/theme1/bg.png")</f>
        <v>https://abs.twimg.com/images/themes/theme1/bg.png</v>
      </c>
      <c r="AX101" s="79" t="b">
        <v>0</v>
      </c>
      <c r="AY101" s="79" t="s">
        <v>1211</v>
      </c>
      <c r="AZ101" s="83" t="str">
        <f>HYPERLINK("https://twitter.com/besatweet")</f>
        <v>https://twitter.com/besatweet</v>
      </c>
      <c r="BA101" s="79" t="s">
        <v>65</v>
      </c>
      <c r="BB101" s="79" t="str">
        <f>REPLACE(INDEX(GroupVertices[Group],MATCH(Vertices[[#This Row],[Vertex]],GroupVertices[Vertex],0)),1,1,"")</f>
        <v>2</v>
      </c>
      <c r="BC101" s="49"/>
      <c r="BD101" s="49"/>
      <c r="BE101" s="49"/>
      <c r="BF101" s="49"/>
      <c r="BG101" s="49"/>
      <c r="BH101" s="49"/>
      <c r="BI101" s="49"/>
      <c r="BJ101" s="49"/>
      <c r="BK101" s="49"/>
      <c r="BL101" s="49"/>
      <c r="BM101" s="49"/>
      <c r="BN101" s="50"/>
      <c r="BO101" s="49"/>
      <c r="BP101" s="50"/>
      <c r="BQ101" s="49"/>
      <c r="BR101" s="50"/>
      <c r="BS101" s="49"/>
      <c r="BT101" s="50"/>
      <c r="BU101" s="49"/>
      <c r="BV101" s="2"/>
      <c r="BW101" s="3"/>
      <c r="BX101" s="3"/>
      <c r="BY101" s="3"/>
      <c r="BZ101" s="3"/>
    </row>
    <row r="102" spans="1:78" ht="34.05" customHeight="1">
      <c r="A102" s="65" t="s">
        <v>343</v>
      </c>
      <c r="C102" s="66"/>
      <c r="D102" s="66" t="s">
        <v>64</v>
      </c>
      <c r="E102" s="67">
        <v>163.88740390218805</v>
      </c>
      <c r="F102" s="69"/>
      <c r="G102" s="103" t="str">
        <f>HYPERLINK("https://pbs.twimg.com/profile_images/510103427641131009/hIwMXZIk_normal.jpeg")</f>
        <v>https://pbs.twimg.com/profile_images/510103427641131009/hIwMXZIk_normal.jpeg</v>
      </c>
      <c r="H102" s="66"/>
      <c r="I102" s="70" t="s">
        <v>343</v>
      </c>
      <c r="J102" s="71"/>
      <c r="K102" s="71"/>
      <c r="L102" s="70" t="s">
        <v>1310</v>
      </c>
      <c r="M102" s="74">
        <v>4.780246479069785</v>
      </c>
      <c r="N102" s="75">
        <v>5591.908203125</v>
      </c>
      <c r="O102" s="75">
        <v>6605.55712890625</v>
      </c>
      <c r="P102" s="76"/>
      <c r="Q102" s="77"/>
      <c r="R102" s="77"/>
      <c r="S102" s="89"/>
      <c r="T102" s="49">
        <v>2</v>
      </c>
      <c r="U102" s="49">
        <v>0</v>
      </c>
      <c r="V102" s="50">
        <v>0</v>
      </c>
      <c r="W102" s="50">
        <v>0.004525</v>
      </c>
      <c r="X102" s="50">
        <v>0.009766</v>
      </c>
      <c r="Y102" s="50">
        <v>0.62767</v>
      </c>
      <c r="Z102" s="50">
        <v>1</v>
      </c>
      <c r="AA102" s="50">
        <v>0</v>
      </c>
      <c r="AB102" s="72">
        <v>102</v>
      </c>
      <c r="AC102" s="72"/>
      <c r="AD102" s="73"/>
      <c r="AE102" s="79" t="s">
        <v>895</v>
      </c>
      <c r="AF102" s="87" t="s">
        <v>1011</v>
      </c>
      <c r="AG102" s="79">
        <v>5</v>
      </c>
      <c r="AH102" s="79">
        <v>1288</v>
      </c>
      <c r="AI102" s="79">
        <v>1</v>
      </c>
      <c r="AJ102" s="79">
        <v>0</v>
      </c>
      <c r="AK102" s="79"/>
      <c r="AL102" s="79" t="s">
        <v>1122</v>
      </c>
      <c r="AM102" s="79" t="s">
        <v>771</v>
      </c>
      <c r="AN102" s="83" t="str">
        <f>HYPERLINK("http://t.co/vHQG8PAKUC")</f>
        <v>http://t.co/vHQG8PAKUC</v>
      </c>
      <c r="AO102" s="79"/>
      <c r="AP102" s="81">
        <v>41893.424363425926</v>
      </c>
      <c r="AQ102" s="83" t="str">
        <f>HYPERLINK("https://pbs.twimg.com/profile_banners/2803437122/1410453527")</f>
        <v>https://pbs.twimg.com/profile_banners/2803437122/1410453527</v>
      </c>
      <c r="AR102" s="79" t="b">
        <v>1</v>
      </c>
      <c r="AS102" s="79" t="b">
        <v>0</v>
      </c>
      <c r="AT102" s="79" t="b">
        <v>0</v>
      </c>
      <c r="AU102" s="79"/>
      <c r="AV102" s="79">
        <v>17</v>
      </c>
      <c r="AW102" s="83" t="str">
        <f>HYPERLINK("https://abs.twimg.com/images/themes/theme1/bg.png")</f>
        <v>https://abs.twimg.com/images/themes/theme1/bg.png</v>
      </c>
      <c r="AX102" s="79" t="b">
        <v>0</v>
      </c>
      <c r="AY102" s="79" t="s">
        <v>1211</v>
      </c>
      <c r="AZ102" s="83" t="str">
        <f>HYPERLINK("https://twitter.com/theewf")</f>
        <v>https://twitter.com/theewf</v>
      </c>
      <c r="BA102" s="79" t="s">
        <v>65</v>
      </c>
      <c r="BB102" s="79" t="str">
        <f>REPLACE(INDEX(GroupVertices[Group],MATCH(Vertices[[#This Row],[Vertex]],GroupVertices[Vertex],0)),1,1,"")</f>
        <v>2</v>
      </c>
      <c r="BC102" s="49"/>
      <c r="BD102" s="49"/>
      <c r="BE102" s="49"/>
      <c r="BF102" s="49"/>
      <c r="BG102" s="49"/>
      <c r="BH102" s="49"/>
      <c r="BI102" s="49"/>
      <c r="BJ102" s="49"/>
      <c r="BK102" s="49"/>
      <c r="BL102" s="49"/>
      <c r="BM102" s="49"/>
      <c r="BN102" s="50"/>
      <c r="BO102" s="49"/>
      <c r="BP102" s="50"/>
      <c r="BQ102" s="49"/>
      <c r="BR102" s="50"/>
      <c r="BS102" s="49"/>
      <c r="BT102" s="50"/>
      <c r="BU102" s="49"/>
      <c r="BV102" s="2"/>
      <c r="BW102" s="3"/>
      <c r="BX102" s="3"/>
      <c r="BY102" s="3"/>
      <c r="BZ102" s="3"/>
    </row>
    <row r="103" spans="1:78" ht="34.05" customHeight="1">
      <c r="A103" s="65" t="s">
        <v>344</v>
      </c>
      <c r="C103" s="66"/>
      <c r="D103" s="66" t="s">
        <v>64</v>
      </c>
      <c r="E103" s="67">
        <v>201.2204583994694</v>
      </c>
      <c r="F103" s="69"/>
      <c r="G103" s="103" t="str">
        <f>HYPERLINK("https://pbs.twimg.com/profile_images/1117787473273344001/AXKFX4CA_normal.png")</f>
        <v>https://pbs.twimg.com/profile_images/1117787473273344001/AXKFX4CA_normal.png</v>
      </c>
      <c r="H103" s="66"/>
      <c r="I103" s="70" t="s">
        <v>344</v>
      </c>
      <c r="J103" s="71"/>
      <c r="K103" s="71"/>
      <c r="L103" s="70" t="s">
        <v>1311</v>
      </c>
      <c r="M103" s="74">
        <v>79.55393305069335</v>
      </c>
      <c r="N103" s="75">
        <v>4677.33935546875</v>
      </c>
      <c r="O103" s="75">
        <v>7294.8037109375</v>
      </c>
      <c r="P103" s="76"/>
      <c r="Q103" s="77"/>
      <c r="R103" s="77"/>
      <c r="S103" s="89"/>
      <c r="T103" s="49">
        <v>2</v>
      </c>
      <c r="U103" s="49">
        <v>0</v>
      </c>
      <c r="V103" s="50">
        <v>0</v>
      </c>
      <c r="W103" s="50">
        <v>0.004525</v>
      </c>
      <c r="X103" s="50">
        <v>0.009766</v>
      </c>
      <c r="Y103" s="50">
        <v>0.62767</v>
      </c>
      <c r="Z103" s="50">
        <v>1</v>
      </c>
      <c r="AA103" s="50">
        <v>0</v>
      </c>
      <c r="AB103" s="72">
        <v>103</v>
      </c>
      <c r="AC103" s="72"/>
      <c r="AD103" s="73"/>
      <c r="AE103" s="79" t="s">
        <v>896</v>
      </c>
      <c r="AF103" s="87" t="s">
        <v>1012</v>
      </c>
      <c r="AG103" s="79">
        <v>10458</v>
      </c>
      <c r="AH103" s="79">
        <v>26745</v>
      </c>
      <c r="AI103" s="79">
        <v>28582</v>
      </c>
      <c r="AJ103" s="79">
        <v>29582</v>
      </c>
      <c r="AK103" s="79"/>
      <c r="AL103" s="79" t="s">
        <v>1123</v>
      </c>
      <c r="AM103" s="79" t="s">
        <v>1201</v>
      </c>
      <c r="AN103" s="83" t="str">
        <f>HYPERLINK("https://t.co/szyMhPqhSZ")</f>
        <v>https://t.co/szyMhPqhSZ</v>
      </c>
      <c r="AO103" s="79"/>
      <c r="AP103" s="81">
        <v>39910.16525462963</v>
      </c>
      <c r="AQ103" s="83" t="str">
        <f>HYPERLINK("https://pbs.twimg.com/profile_banners/29375475/1607543141")</f>
        <v>https://pbs.twimg.com/profile_banners/29375475/1607543141</v>
      </c>
      <c r="AR103" s="79" t="b">
        <v>0</v>
      </c>
      <c r="AS103" s="79" t="b">
        <v>0</v>
      </c>
      <c r="AT103" s="79" t="b">
        <v>1</v>
      </c>
      <c r="AU103" s="79"/>
      <c r="AV103" s="79">
        <v>723</v>
      </c>
      <c r="AW103" s="83" t="str">
        <f>HYPERLINK("https://abs.twimg.com/images/themes/theme12/bg.gif")</f>
        <v>https://abs.twimg.com/images/themes/theme12/bg.gif</v>
      </c>
      <c r="AX103" s="79" t="b">
        <v>1</v>
      </c>
      <c r="AY103" s="79" t="s">
        <v>1211</v>
      </c>
      <c r="AZ103" s="83" t="str">
        <f>HYPERLINK("https://twitter.com/d2l")</f>
        <v>https://twitter.com/d2l</v>
      </c>
      <c r="BA103" s="79" t="s">
        <v>65</v>
      </c>
      <c r="BB103" s="79" t="str">
        <f>REPLACE(INDEX(GroupVertices[Group],MATCH(Vertices[[#This Row],[Vertex]],GroupVertices[Vertex],0)),1,1,"")</f>
        <v>2</v>
      </c>
      <c r="BC103" s="49"/>
      <c r="BD103" s="49"/>
      <c r="BE103" s="49"/>
      <c r="BF103" s="49"/>
      <c r="BG103" s="49"/>
      <c r="BH103" s="49"/>
      <c r="BI103" s="49"/>
      <c r="BJ103" s="49"/>
      <c r="BK103" s="49"/>
      <c r="BL103" s="49"/>
      <c r="BM103" s="49"/>
      <c r="BN103" s="50"/>
      <c r="BO103" s="49"/>
      <c r="BP103" s="50"/>
      <c r="BQ103" s="49"/>
      <c r="BR103" s="50"/>
      <c r="BS103" s="49"/>
      <c r="BT103" s="50"/>
      <c r="BU103" s="49"/>
      <c r="BV103" s="2"/>
      <c r="BW103" s="3"/>
      <c r="BX103" s="3"/>
      <c r="BY103" s="3"/>
      <c r="BZ103" s="3"/>
    </row>
    <row r="104" spans="1:78" ht="34.05" customHeight="1">
      <c r="A104" s="65" t="s">
        <v>345</v>
      </c>
      <c r="C104" s="66"/>
      <c r="D104" s="66" t="s">
        <v>64</v>
      </c>
      <c r="E104" s="67">
        <v>259.02751901831044</v>
      </c>
      <c r="F104" s="69"/>
      <c r="G104" s="103" t="str">
        <f>HYPERLINK("https://pbs.twimg.com/profile_images/814751479122853888/qON0rw6P_normal.jpg")</f>
        <v>https://pbs.twimg.com/profile_images/814751479122853888/qON0rw6P_normal.jpg</v>
      </c>
      <c r="H104" s="66"/>
      <c r="I104" s="70" t="s">
        <v>345</v>
      </c>
      <c r="J104" s="71"/>
      <c r="K104" s="71"/>
      <c r="L104" s="70" t="s">
        <v>1312</v>
      </c>
      <c r="M104" s="74">
        <v>195.33462901959217</v>
      </c>
      <c r="N104" s="75">
        <v>5335.43408203125</v>
      </c>
      <c r="O104" s="75">
        <v>7178.9130859375</v>
      </c>
      <c r="P104" s="76"/>
      <c r="Q104" s="77"/>
      <c r="R104" s="77"/>
      <c r="S104" s="89"/>
      <c r="T104" s="49">
        <v>2</v>
      </c>
      <c r="U104" s="49">
        <v>0</v>
      </c>
      <c r="V104" s="50">
        <v>0</v>
      </c>
      <c r="W104" s="50">
        <v>0.004525</v>
      </c>
      <c r="X104" s="50">
        <v>0.009766</v>
      </c>
      <c r="Y104" s="50">
        <v>0.62767</v>
      </c>
      <c r="Z104" s="50">
        <v>1</v>
      </c>
      <c r="AA104" s="50">
        <v>0</v>
      </c>
      <c r="AB104" s="72">
        <v>104</v>
      </c>
      <c r="AC104" s="72"/>
      <c r="AD104" s="73"/>
      <c r="AE104" s="79" t="s">
        <v>897</v>
      </c>
      <c r="AF104" s="87" t="s">
        <v>1013</v>
      </c>
      <c r="AG104" s="79">
        <v>1862</v>
      </c>
      <c r="AH104" s="79">
        <v>66163</v>
      </c>
      <c r="AI104" s="79">
        <v>11119</v>
      </c>
      <c r="AJ104" s="79">
        <v>8875</v>
      </c>
      <c r="AK104" s="79"/>
      <c r="AL104" s="79" t="s">
        <v>1124</v>
      </c>
      <c r="AM104" s="79" t="s">
        <v>1167</v>
      </c>
      <c r="AN104" s="83" t="str">
        <f>HYPERLINK("https://t.co/26GAW7E7SH")</f>
        <v>https://t.co/26GAW7E7SH</v>
      </c>
      <c r="AO104" s="79"/>
      <c r="AP104" s="81">
        <v>39450.419328703705</v>
      </c>
      <c r="AQ104" s="83" t="str">
        <f>HYPERLINK("https://pbs.twimg.com/profile_banners/11791912/1572254304")</f>
        <v>https://pbs.twimg.com/profile_banners/11791912/1572254304</v>
      </c>
      <c r="AR104" s="79" t="b">
        <v>0</v>
      </c>
      <c r="AS104" s="79" t="b">
        <v>0</v>
      </c>
      <c r="AT104" s="79" t="b">
        <v>1</v>
      </c>
      <c r="AU104" s="79"/>
      <c r="AV104" s="79">
        <v>678</v>
      </c>
      <c r="AW104" s="83" t="str">
        <f>HYPERLINK("https://abs.twimg.com/images/themes/theme1/bg.png")</f>
        <v>https://abs.twimg.com/images/themes/theme1/bg.png</v>
      </c>
      <c r="AX104" s="79" t="b">
        <v>1</v>
      </c>
      <c r="AY104" s="79" t="s">
        <v>1211</v>
      </c>
      <c r="AZ104" s="83" t="str">
        <f>HYPERLINK("https://twitter.com/iborganization")</f>
        <v>https://twitter.com/iborganization</v>
      </c>
      <c r="BA104" s="79" t="s">
        <v>65</v>
      </c>
      <c r="BB104" s="79" t="str">
        <f>REPLACE(INDEX(GroupVertices[Group],MATCH(Vertices[[#This Row],[Vertex]],GroupVertices[Vertex],0)),1,1,"")</f>
        <v>2</v>
      </c>
      <c r="BC104" s="49"/>
      <c r="BD104" s="49"/>
      <c r="BE104" s="49"/>
      <c r="BF104" s="49"/>
      <c r="BG104" s="49"/>
      <c r="BH104" s="49"/>
      <c r="BI104" s="49"/>
      <c r="BJ104" s="49"/>
      <c r="BK104" s="49"/>
      <c r="BL104" s="49"/>
      <c r="BM104" s="49"/>
      <c r="BN104" s="50"/>
      <c r="BO104" s="49"/>
      <c r="BP104" s="50"/>
      <c r="BQ104" s="49"/>
      <c r="BR104" s="50"/>
      <c r="BS104" s="49"/>
      <c r="BT104" s="50"/>
      <c r="BU104" s="49"/>
      <c r="BV104" s="2"/>
      <c r="BW104" s="3"/>
      <c r="BX104" s="3"/>
      <c r="BY104" s="3"/>
      <c r="BZ104" s="3"/>
    </row>
    <row r="105" spans="1:78" ht="34.05" customHeight="1">
      <c r="A105" s="65" t="s">
        <v>346</v>
      </c>
      <c r="C105" s="66"/>
      <c r="D105" s="66" t="s">
        <v>64</v>
      </c>
      <c r="E105" s="67">
        <v>817.883854867585</v>
      </c>
      <c r="F105" s="69"/>
      <c r="G105" s="103" t="str">
        <f>HYPERLINK("https://pbs.twimg.com/profile_images/1338839422851112964/-_P3vI9j_normal.png")</f>
        <v>https://pbs.twimg.com/profile_images/1338839422851112964/-_P3vI9j_normal.png</v>
      </c>
      <c r="H105" s="66"/>
      <c r="I105" s="70" t="s">
        <v>346</v>
      </c>
      <c r="J105" s="71"/>
      <c r="K105" s="71"/>
      <c r="L105" s="70" t="s">
        <v>1313</v>
      </c>
      <c r="M105" s="74">
        <v>1314.6576808851366</v>
      </c>
      <c r="N105" s="75">
        <v>7191.88330078125</v>
      </c>
      <c r="O105" s="75">
        <v>7515.06494140625</v>
      </c>
      <c r="P105" s="76"/>
      <c r="Q105" s="77"/>
      <c r="R105" s="77"/>
      <c r="S105" s="89"/>
      <c r="T105" s="49">
        <v>2</v>
      </c>
      <c r="U105" s="49">
        <v>0</v>
      </c>
      <c r="V105" s="50">
        <v>0</v>
      </c>
      <c r="W105" s="50">
        <v>0.004525</v>
      </c>
      <c r="X105" s="50">
        <v>0.009766</v>
      </c>
      <c r="Y105" s="50">
        <v>0.62767</v>
      </c>
      <c r="Z105" s="50">
        <v>1</v>
      </c>
      <c r="AA105" s="50">
        <v>0</v>
      </c>
      <c r="AB105" s="72">
        <v>105</v>
      </c>
      <c r="AC105" s="72"/>
      <c r="AD105" s="73"/>
      <c r="AE105" s="79" t="s">
        <v>898</v>
      </c>
      <c r="AF105" s="87" t="s">
        <v>1014</v>
      </c>
      <c r="AG105" s="79">
        <v>478</v>
      </c>
      <c r="AH105" s="79">
        <v>447241</v>
      </c>
      <c r="AI105" s="79">
        <v>6366</v>
      </c>
      <c r="AJ105" s="79">
        <v>4470</v>
      </c>
      <c r="AK105" s="79"/>
      <c r="AL105" s="79" t="s">
        <v>1125</v>
      </c>
      <c r="AM105" s="79"/>
      <c r="AN105" s="83" t="str">
        <f>HYPERLINK("https://t.co/nTUJH06Iu6")</f>
        <v>https://t.co/nTUJH06Iu6</v>
      </c>
      <c r="AO105" s="79"/>
      <c r="AP105" s="81">
        <v>40765.11033564815</v>
      </c>
      <c r="AQ105" s="83" t="str">
        <f>HYPERLINK("https://pbs.twimg.com/profile_banners/352053266/1608039168")</f>
        <v>https://pbs.twimg.com/profile_banners/352053266/1608039168</v>
      </c>
      <c r="AR105" s="79" t="b">
        <v>0</v>
      </c>
      <c r="AS105" s="79" t="b">
        <v>0</v>
      </c>
      <c r="AT105" s="79" t="b">
        <v>0</v>
      </c>
      <c r="AU105" s="79"/>
      <c r="AV105" s="79">
        <v>6933</v>
      </c>
      <c r="AW105" s="83" t="str">
        <f>HYPERLINK("https://abs.twimg.com/images/themes/theme1/bg.png")</f>
        <v>https://abs.twimg.com/images/themes/theme1/bg.png</v>
      </c>
      <c r="AX105" s="79" t="b">
        <v>0</v>
      </c>
      <c r="AY105" s="79" t="s">
        <v>1211</v>
      </c>
      <c r="AZ105" s="83" t="str">
        <f>HYPERLINK("https://twitter.com/coursera")</f>
        <v>https://twitter.com/coursera</v>
      </c>
      <c r="BA105" s="79" t="s">
        <v>65</v>
      </c>
      <c r="BB105" s="79" t="str">
        <f>REPLACE(INDEX(GroupVertices[Group],MATCH(Vertices[[#This Row],[Vertex]],GroupVertices[Vertex],0)),1,1,"")</f>
        <v>2</v>
      </c>
      <c r="BC105" s="49"/>
      <c r="BD105" s="49"/>
      <c r="BE105" s="49"/>
      <c r="BF105" s="49"/>
      <c r="BG105" s="49"/>
      <c r="BH105" s="49"/>
      <c r="BI105" s="49"/>
      <c r="BJ105" s="49"/>
      <c r="BK105" s="49"/>
      <c r="BL105" s="49"/>
      <c r="BM105" s="49"/>
      <c r="BN105" s="50"/>
      <c r="BO105" s="49"/>
      <c r="BP105" s="50"/>
      <c r="BQ105" s="49"/>
      <c r="BR105" s="50"/>
      <c r="BS105" s="49"/>
      <c r="BT105" s="50"/>
      <c r="BU105" s="49"/>
      <c r="BV105" s="2"/>
      <c r="BW105" s="3"/>
      <c r="BX105" s="3"/>
      <c r="BY105" s="3"/>
      <c r="BZ105" s="3"/>
    </row>
    <row r="106" spans="1:78" ht="34.05" customHeight="1">
      <c r="A106" s="65" t="s">
        <v>347</v>
      </c>
      <c r="C106" s="66"/>
      <c r="D106" s="66" t="s">
        <v>64</v>
      </c>
      <c r="E106" s="67">
        <v>741.7893609462692</v>
      </c>
      <c r="F106" s="69"/>
      <c r="G106" s="103" t="str">
        <f>HYPERLINK("https://pbs.twimg.com/profile_images/1339957487135567873/LN3Zve77_normal.jpg")</f>
        <v>https://pbs.twimg.com/profile_images/1339957487135567873/LN3Zve77_normal.jpg</v>
      </c>
      <c r="H106" s="66"/>
      <c r="I106" s="70" t="s">
        <v>347</v>
      </c>
      <c r="J106" s="71"/>
      <c r="K106" s="71"/>
      <c r="L106" s="70" t="s">
        <v>1314</v>
      </c>
      <c r="M106" s="74">
        <v>1162.2494219061366</v>
      </c>
      <c r="N106" s="75">
        <v>4823.77294921875</v>
      </c>
      <c r="O106" s="75">
        <v>8681.640625</v>
      </c>
      <c r="P106" s="76"/>
      <c r="Q106" s="77"/>
      <c r="R106" s="77"/>
      <c r="S106" s="89"/>
      <c r="T106" s="49">
        <v>2</v>
      </c>
      <c r="U106" s="49">
        <v>0</v>
      </c>
      <c r="V106" s="50">
        <v>0</v>
      </c>
      <c r="W106" s="50">
        <v>0.004525</v>
      </c>
      <c r="X106" s="50">
        <v>0.009766</v>
      </c>
      <c r="Y106" s="50">
        <v>0.62767</v>
      </c>
      <c r="Z106" s="50">
        <v>1</v>
      </c>
      <c r="AA106" s="50">
        <v>0</v>
      </c>
      <c r="AB106" s="72">
        <v>106</v>
      </c>
      <c r="AC106" s="72"/>
      <c r="AD106" s="73"/>
      <c r="AE106" s="79" t="s">
        <v>899</v>
      </c>
      <c r="AF106" s="87" t="s">
        <v>1015</v>
      </c>
      <c r="AG106" s="79">
        <v>605</v>
      </c>
      <c r="AH106" s="79">
        <v>395353</v>
      </c>
      <c r="AI106" s="79">
        <v>4747</v>
      </c>
      <c r="AJ106" s="79">
        <v>2067</v>
      </c>
      <c r="AK106" s="79"/>
      <c r="AL106" s="79" t="s">
        <v>1126</v>
      </c>
      <c r="AM106" s="79" t="s">
        <v>1164</v>
      </c>
      <c r="AN106" s="83" t="str">
        <f>HYPERLINK("https://t.co/193Afd2I4w")</f>
        <v>https://t.co/193Afd2I4w</v>
      </c>
      <c r="AO106" s="79"/>
      <c r="AP106" s="81">
        <v>42018.79881944445</v>
      </c>
      <c r="AQ106" s="83" t="str">
        <f>HYPERLINK("https://pbs.twimg.com/profile_banners/2983147266/1608305735")</f>
        <v>https://pbs.twimg.com/profile_banners/2983147266/1608305735</v>
      </c>
      <c r="AR106" s="79" t="b">
        <v>1</v>
      </c>
      <c r="AS106" s="79" t="b">
        <v>0</v>
      </c>
      <c r="AT106" s="79" t="b">
        <v>1</v>
      </c>
      <c r="AU106" s="79"/>
      <c r="AV106" s="79">
        <v>540</v>
      </c>
      <c r="AW106" s="83" t="str">
        <f>HYPERLINK("https://abs.twimg.com/images/themes/theme1/bg.png")</f>
        <v>https://abs.twimg.com/images/themes/theme1/bg.png</v>
      </c>
      <c r="AX106" s="79" t="b">
        <v>1</v>
      </c>
      <c r="AY106" s="79" t="s">
        <v>1211</v>
      </c>
      <c r="AZ106" s="83" t="str">
        <f>HYPERLINK("https://twitter.com/aws_edu")</f>
        <v>https://twitter.com/aws_edu</v>
      </c>
      <c r="BA106" s="79" t="s">
        <v>65</v>
      </c>
      <c r="BB106" s="79" t="str">
        <f>REPLACE(INDEX(GroupVertices[Group],MATCH(Vertices[[#This Row],[Vertex]],GroupVertices[Vertex],0)),1,1,"")</f>
        <v>2</v>
      </c>
      <c r="BC106" s="49"/>
      <c r="BD106" s="49"/>
      <c r="BE106" s="49"/>
      <c r="BF106" s="49"/>
      <c r="BG106" s="49"/>
      <c r="BH106" s="49"/>
      <c r="BI106" s="49"/>
      <c r="BJ106" s="49"/>
      <c r="BK106" s="49"/>
      <c r="BL106" s="49"/>
      <c r="BM106" s="49"/>
      <c r="BN106" s="50"/>
      <c r="BO106" s="49"/>
      <c r="BP106" s="50"/>
      <c r="BQ106" s="49"/>
      <c r="BR106" s="50"/>
      <c r="BS106" s="49"/>
      <c r="BT106" s="50"/>
      <c r="BU106" s="49"/>
      <c r="BV106" s="2"/>
      <c r="BW106" s="3"/>
      <c r="BX106" s="3"/>
      <c r="BY106" s="3"/>
      <c r="BZ106" s="3"/>
    </row>
    <row r="107" spans="1:78" ht="34.05" customHeight="1">
      <c r="A107" s="65" t="s">
        <v>348</v>
      </c>
      <c r="C107" s="66"/>
      <c r="D107" s="66" t="s">
        <v>64</v>
      </c>
      <c r="E107" s="67">
        <v>1000</v>
      </c>
      <c r="F107" s="69"/>
      <c r="G107" s="103" t="str">
        <f>HYPERLINK("https://pbs.twimg.com/profile_images/1339956407676899330/58syQtaY_normal.jpg")</f>
        <v>https://pbs.twimg.com/profile_images/1339956407676899330/58syQtaY_normal.jpg</v>
      </c>
      <c r="H107" s="66"/>
      <c r="I107" s="70" t="s">
        <v>348</v>
      </c>
      <c r="J107" s="71"/>
      <c r="K107" s="71"/>
      <c r="L107" s="70" t="s">
        <v>1315</v>
      </c>
      <c r="M107" s="74">
        <v>1679.4147504347272</v>
      </c>
      <c r="N107" s="75">
        <v>7306.96142578125</v>
      </c>
      <c r="O107" s="75">
        <v>8125.14697265625</v>
      </c>
      <c r="P107" s="76"/>
      <c r="Q107" s="77"/>
      <c r="R107" s="77"/>
      <c r="S107" s="89"/>
      <c r="T107" s="49">
        <v>2</v>
      </c>
      <c r="U107" s="49">
        <v>0</v>
      </c>
      <c r="V107" s="50">
        <v>0</v>
      </c>
      <c r="W107" s="50">
        <v>0.004525</v>
      </c>
      <c r="X107" s="50">
        <v>0.009766</v>
      </c>
      <c r="Y107" s="50">
        <v>0.62767</v>
      </c>
      <c r="Z107" s="50">
        <v>1</v>
      </c>
      <c r="AA107" s="50">
        <v>0</v>
      </c>
      <c r="AB107" s="72">
        <v>107</v>
      </c>
      <c r="AC107" s="72"/>
      <c r="AD107" s="73"/>
      <c r="AE107" s="79" t="s">
        <v>900</v>
      </c>
      <c r="AF107" s="87" t="s">
        <v>1016</v>
      </c>
      <c r="AG107" s="79">
        <v>1193</v>
      </c>
      <c r="AH107" s="79">
        <v>571424</v>
      </c>
      <c r="AI107" s="79">
        <v>8108</v>
      </c>
      <c r="AJ107" s="79">
        <v>4088</v>
      </c>
      <c r="AK107" s="79"/>
      <c r="AL107" s="79" t="s">
        <v>1127</v>
      </c>
      <c r="AM107" s="79" t="s">
        <v>1167</v>
      </c>
      <c r="AN107" s="83" t="str">
        <f>HYPERLINK("https://t.co/JoUrwgqEJR")</f>
        <v>https://t.co/JoUrwgqEJR</v>
      </c>
      <c r="AO107" s="79"/>
      <c r="AP107" s="81">
        <v>42018.794340277775</v>
      </c>
      <c r="AQ107" s="83" t="str">
        <f>HYPERLINK("https://pbs.twimg.com/profile_banners/2983205617/1608305478")</f>
        <v>https://pbs.twimg.com/profile_banners/2983205617/1608305478</v>
      </c>
      <c r="AR107" s="79" t="b">
        <v>1</v>
      </c>
      <c r="AS107" s="79" t="b">
        <v>0</v>
      </c>
      <c r="AT107" s="79" t="b">
        <v>1</v>
      </c>
      <c r="AU107" s="79"/>
      <c r="AV107" s="79">
        <v>453</v>
      </c>
      <c r="AW107" s="83" t="str">
        <f>HYPERLINK("https://abs.twimg.com/images/themes/theme1/bg.png")</f>
        <v>https://abs.twimg.com/images/themes/theme1/bg.png</v>
      </c>
      <c r="AX107" s="79" t="b">
        <v>1</v>
      </c>
      <c r="AY107" s="79" t="s">
        <v>1211</v>
      </c>
      <c r="AZ107" s="83" t="str">
        <f>HYPERLINK("https://twitter.com/aws_gov")</f>
        <v>https://twitter.com/aws_gov</v>
      </c>
      <c r="BA107" s="79" t="s">
        <v>65</v>
      </c>
      <c r="BB107" s="79" t="str">
        <f>REPLACE(INDEX(GroupVertices[Group],MATCH(Vertices[[#This Row],[Vertex]],GroupVertices[Vertex],0)),1,1,"")</f>
        <v>2</v>
      </c>
      <c r="BC107" s="49"/>
      <c r="BD107" s="49"/>
      <c r="BE107" s="49"/>
      <c r="BF107" s="49"/>
      <c r="BG107" s="49"/>
      <c r="BH107" s="49"/>
      <c r="BI107" s="49"/>
      <c r="BJ107" s="49"/>
      <c r="BK107" s="49"/>
      <c r="BL107" s="49"/>
      <c r="BM107" s="49"/>
      <c r="BN107" s="50"/>
      <c r="BO107" s="49"/>
      <c r="BP107" s="50"/>
      <c r="BQ107" s="49"/>
      <c r="BR107" s="50"/>
      <c r="BS107" s="49"/>
      <c r="BT107" s="50"/>
      <c r="BU107" s="49"/>
      <c r="BV107" s="2"/>
      <c r="BW107" s="3"/>
      <c r="BX107" s="3"/>
      <c r="BY107" s="3"/>
      <c r="BZ107" s="3"/>
    </row>
    <row r="108" spans="1:78" ht="34.05" customHeight="1">
      <c r="A108" s="65" t="s">
        <v>349</v>
      </c>
      <c r="C108" s="66"/>
      <c r="D108" s="66" t="s">
        <v>64</v>
      </c>
      <c r="E108" s="67">
        <v>166.5696585541709</v>
      </c>
      <c r="F108" s="69"/>
      <c r="G108" s="103" t="str">
        <f>HYPERLINK("https://pbs.twimg.com/profile_images/1183718828405997570/7Id0p51z_normal.jpg")</f>
        <v>https://pbs.twimg.com/profile_images/1183718828405997570/7Id0p51z_normal.jpg</v>
      </c>
      <c r="H108" s="66"/>
      <c r="I108" s="70" t="s">
        <v>349</v>
      </c>
      <c r="J108" s="71"/>
      <c r="K108" s="71"/>
      <c r="L108" s="70" t="s">
        <v>1316</v>
      </c>
      <c r="M108" s="74">
        <v>10.152484870848058</v>
      </c>
      <c r="N108" s="75">
        <v>6317.0283203125</v>
      </c>
      <c r="O108" s="75">
        <v>6679.9072265625</v>
      </c>
      <c r="P108" s="76"/>
      <c r="Q108" s="77"/>
      <c r="R108" s="77"/>
      <c r="S108" s="89"/>
      <c r="T108" s="49">
        <v>2</v>
      </c>
      <c r="U108" s="49">
        <v>0</v>
      </c>
      <c r="V108" s="50">
        <v>0</v>
      </c>
      <c r="W108" s="50">
        <v>0.004525</v>
      </c>
      <c r="X108" s="50">
        <v>0.009766</v>
      </c>
      <c r="Y108" s="50">
        <v>0.62767</v>
      </c>
      <c r="Z108" s="50">
        <v>1</v>
      </c>
      <c r="AA108" s="50">
        <v>0</v>
      </c>
      <c r="AB108" s="72">
        <v>108</v>
      </c>
      <c r="AC108" s="72"/>
      <c r="AD108" s="73"/>
      <c r="AE108" s="79" t="s">
        <v>901</v>
      </c>
      <c r="AF108" s="87" t="s">
        <v>1017</v>
      </c>
      <c r="AG108" s="79">
        <v>1186</v>
      </c>
      <c r="AH108" s="79">
        <v>3117</v>
      </c>
      <c r="AI108" s="79">
        <v>2403</v>
      </c>
      <c r="AJ108" s="79">
        <v>1990</v>
      </c>
      <c r="AK108" s="79"/>
      <c r="AL108" s="79" t="s">
        <v>1128</v>
      </c>
      <c r="AM108" s="79" t="s">
        <v>1202</v>
      </c>
      <c r="AN108" s="83" t="str">
        <f>HYPERLINK("https://t.co/iie8X71wor")</f>
        <v>https://t.co/iie8X71wor</v>
      </c>
      <c r="AO108" s="79"/>
      <c r="AP108" s="81">
        <v>41913.26070601852</v>
      </c>
      <c r="AQ108" s="83" t="str">
        <f>HYPERLINK("https://pbs.twimg.com/profile_banners/2836256348/1571055537")</f>
        <v>https://pbs.twimg.com/profile_banners/2836256348/1571055537</v>
      </c>
      <c r="AR108" s="79" t="b">
        <v>0</v>
      </c>
      <c r="AS108" s="79" t="b">
        <v>0</v>
      </c>
      <c r="AT108" s="79" t="b">
        <v>1</v>
      </c>
      <c r="AU108" s="79"/>
      <c r="AV108" s="79">
        <v>69</v>
      </c>
      <c r="AW108" s="83" t="str">
        <f>HYPERLINK("https://abs.twimg.com/images/themes/theme1/bg.png")</f>
        <v>https://abs.twimg.com/images/themes/theme1/bg.png</v>
      </c>
      <c r="AX108" s="79" t="b">
        <v>0</v>
      </c>
      <c r="AY108" s="79" t="s">
        <v>1211</v>
      </c>
      <c r="AZ108" s="83" t="str">
        <f>HYPERLINK("https://twitter.com/global_vic")</f>
        <v>https://twitter.com/global_vic</v>
      </c>
      <c r="BA108" s="79" t="s">
        <v>65</v>
      </c>
      <c r="BB108" s="79" t="str">
        <f>REPLACE(INDEX(GroupVertices[Group],MATCH(Vertices[[#This Row],[Vertex]],GroupVertices[Vertex],0)),1,1,"")</f>
        <v>2</v>
      </c>
      <c r="BC108" s="49"/>
      <c r="BD108" s="49"/>
      <c r="BE108" s="49"/>
      <c r="BF108" s="49"/>
      <c r="BG108" s="49"/>
      <c r="BH108" s="49"/>
      <c r="BI108" s="49"/>
      <c r="BJ108" s="49"/>
      <c r="BK108" s="49"/>
      <c r="BL108" s="49"/>
      <c r="BM108" s="49"/>
      <c r="BN108" s="50"/>
      <c r="BO108" s="49"/>
      <c r="BP108" s="50"/>
      <c r="BQ108" s="49"/>
      <c r="BR108" s="50"/>
      <c r="BS108" s="49"/>
      <c r="BT108" s="50"/>
      <c r="BU108" s="49"/>
      <c r="BV108" s="2"/>
      <c r="BW108" s="3"/>
      <c r="BX108" s="3"/>
      <c r="BY108" s="3"/>
      <c r="BZ108" s="3"/>
    </row>
    <row r="109" spans="1:78" ht="34.05" customHeight="1">
      <c r="A109" s="65" t="s">
        <v>293</v>
      </c>
      <c r="C109" s="66"/>
      <c r="D109" s="66" t="s">
        <v>64</v>
      </c>
      <c r="E109" s="67">
        <v>162.28743680250884</v>
      </c>
      <c r="F109" s="69"/>
      <c r="G109" s="103" t="str">
        <f>HYPERLINK("https://pbs.twimg.com/profile_images/1339482572980703232/RPgmLgC3_normal.jpg")</f>
        <v>https://pbs.twimg.com/profile_images/1339482572980703232/RPgmLgC3_normal.jpg</v>
      </c>
      <c r="H109" s="66"/>
      <c r="I109" s="70" t="s">
        <v>293</v>
      </c>
      <c r="J109" s="71"/>
      <c r="K109" s="71"/>
      <c r="L109" s="70" t="s">
        <v>1317</v>
      </c>
      <c r="M109" s="74">
        <v>1.5757018724923681</v>
      </c>
      <c r="N109" s="75">
        <v>5537.0302734375</v>
      </c>
      <c r="O109" s="75">
        <v>8679.1162109375</v>
      </c>
      <c r="P109" s="76"/>
      <c r="Q109" s="77"/>
      <c r="R109" s="77"/>
      <c r="S109" s="89"/>
      <c r="T109" s="49">
        <v>0</v>
      </c>
      <c r="U109" s="49">
        <v>2</v>
      </c>
      <c r="V109" s="50">
        <v>0</v>
      </c>
      <c r="W109" s="50">
        <v>0.003226</v>
      </c>
      <c r="X109" s="50">
        <v>0.002914</v>
      </c>
      <c r="Y109" s="50">
        <v>0.619636</v>
      </c>
      <c r="Z109" s="50">
        <v>0.5</v>
      </c>
      <c r="AA109" s="50">
        <v>0</v>
      </c>
      <c r="AB109" s="72">
        <v>109</v>
      </c>
      <c r="AC109" s="72"/>
      <c r="AD109" s="73"/>
      <c r="AE109" s="79" t="s">
        <v>902</v>
      </c>
      <c r="AF109" s="87" t="s">
        <v>1018</v>
      </c>
      <c r="AG109" s="79">
        <v>1765</v>
      </c>
      <c r="AH109" s="79">
        <v>197</v>
      </c>
      <c r="AI109" s="79">
        <v>3782</v>
      </c>
      <c r="AJ109" s="79">
        <v>2545</v>
      </c>
      <c r="AK109" s="79"/>
      <c r="AL109" s="79" t="s">
        <v>1129</v>
      </c>
      <c r="AM109" s="79" t="s">
        <v>1203</v>
      </c>
      <c r="AN109" s="79"/>
      <c r="AO109" s="79"/>
      <c r="AP109" s="81">
        <v>44095.9405787037</v>
      </c>
      <c r="AQ109" s="83" t="str">
        <f>HYPERLINK("https://pbs.twimg.com/profile_banners/1308172683826397184/1608888492")</f>
        <v>https://pbs.twimg.com/profile_banners/1308172683826397184/1608888492</v>
      </c>
      <c r="AR109" s="79" t="b">
        <v>1</v>
      </c>
      <c r="AS109" s="79" t="b">
        <v>0</v>
      </c>
      <c r="AT109" s="79" t="b">
        <v>0</v>
      </c>
      <c r="AU109" s="79"/>
      <c r="AV109" s="79">
        <v>0</v>
      </c>
      <c r="AW109" s="79"/>
      <c r="AX109" s="79" t="b">
        <v>0</v>
      </c>
      <c r="AY109" s="79" t="s">
        <v>1211</v>
      </c>
      <c r="AZ109" s="83" t="str">
        <f>HYPERLINK("https://twitter.com/stazanuel")</f>
        <v>https://twitter.com/stazanuel</v>
      </c>
      <c r="BA109" s="79" t="s">
        <v>66</v>
      </c>
      <c r="BB109" s="79" t="str">
        <f>REPLACE(INDEX(GroupVertices[Group],MATCH(Vertices[[#This Row],[Vertex]],GroupVertices[Vertex],0)),1,1,"")</f>
        <v>2</v>
      </c>
      <c r="BC109" s="49" t="s">
        <v>1380</v>
      </c>
      <c r="BD109" s="49" t="s">
        <v>1380</v>
      </c>
      <c r="BE109" s="49" t="s">
        <v>448</v>
      </c>
      <c r="BF109" s="49" t="s">
        <v>448</v>
      </c>
      <c r="BG109" s="49" t="s">
        <v>459</v>
      </c>
      <c r="BH109" s="49" t="s">
        <v>459</v>
      </c>
      <c r="BI109" s="108" t="s">
        <v>1762</v>
      </c>
      <c r="BJ109" s="108" t="s">
        <v>1762</v>
      </c>
      <c r="BK109" s="108" t="s">
        <v>1799</v>
      </c>
      <c r="BL109" s="108" t="s">
        <v>1799</v>
      </c>
      <c r="BM109" s="108">
        <v>0</v>
      </c>
      <c r="BN109" s="111">
        <v>0</v>
      </c>
      <c r="BO109" s="108">
        <v>0</v>
      </c>
      <c r="BP109" s="111">
        <v>0</v>
      </c>
      <c r="BQ109" s="108">
        <v>0</v>
      </c>
      <c r="BR109" s="111">
        <v>0</v>
      </c>
      <c r="BS109" s="108">
        <v>27</v>
      </c>
      <c r="BT109" s="111">
        <v>100</v>
      </c>
      <c r="BU109" s="108">
        <v>27</v>
      </c>
      <c r="BV109" s="2"/>
      <c r="BW109" s="3"/>
      <c r="BX109" s="3"/>
      <c r="BY109" s="3"/>
      <c r="BZ109" s="3"/>
    </row>
    <row r="110" spans="1:78" ht="34.05" customHeight="1">
      <c r="A110" s="65" t="s">
        <v>295</v>
      </c>
      <c r="C110" s="66"/>
      <c r="D110" s="66" t="s">
        <v>64</v>
      </c>
      <c r="E110" s="67">
        <v>162.30063543119545</v>
      </c>
      <c r="F110" s="69"/>
      <c r="G110" s="103" t="str">
        <f>HYPERLINK("https://pbs.twimg.com/profile_images/1314941962995335169/InUduziD_normal.jpg")</f>
        <v>https://pbs.twimg.com/profile_images/1314941962995335169/InUduziD_normal.jpg</v>
      </c>
      <c r="H110" s="66"/>
      <c r="I110" s="70" t="s">
        <v>295</v>
      </c>
      <c r="J110" s="71"/>
      <c r="K110" s="71"/>
      <c r="L110" s="70" t="s">
        <v>1318</v>
      </c>
      <c r="M110" s="74">
        <v>1.6021371625557932</v>
      </c>
      <c r="N110" s="75">
        <v>6895.62841796875</v>
      </c>
      <c r="O110" s="75">
        <v>8710.416015625</v>
      </c>
      <c r="P110" s="76"/>
      <c r="Q110" s="77"/>
      <c r="R110" s="77"/>
      <c r="S110" s="89"/>
      <c r="T110" s="49">
        <v>0</v>
      </c>
      <c r="U110" s="49">
        <v>2</v>
      </c>
      <c r="V110" s="50">
        <v>0</v>
      </c>
      <c r="W110" s="50">
        <v>0.003226</v>
      </c>
      <c r="X110" s="50">
        <v>0.002914</v>
      </c>
      <c r="Y110" s="50">
        <v>0.619636</v>
      </c>
      <c r="Z110" s="50">
        <v>0.5</v>
      </c>
      <c r="AA110" s="50">
        <v>0</v>
      </c>
      <c r="AB110" s="72">
        <v>110</v>
      </c>
      <c r="AC110" s="72"/>
      <c r="AD110" s="73"/>
      <c r="AE110" s="79" t="s">
        <v>903</v>
      </c>
      <c r="AF110" s="87" t="s">
        <v>1019</v>
      </c>
      <c r="AG110" s="79">
        <v>138</v>
      </c>
      <c r="AH110" s="79">
        <v>206</v>
      </c>
      <c r="AI110" s="79">
        <v>4978</v>
      </c>
      <c r="AJ110" s="79">
        <v>1265</v>
      </c>
      <c r="AK110" s="79"/>
      <c r="AL110" s="79" t="s">
        <v>1130</v>
      </c>
      <c r="AM110" s="79" t="s">
        <v>1204</v>
      </c>
      <c r="AN110" s="83" t="str">
        <f>HYPERLINK("https://t.co/T45Qhlpfw3")</f>
        <v>https://t.co/T45Qhlpfw3</v>
      </c>
      <c r="AO110" s="79"/>
      <c r="AP110" s="81">
        <v>40056.4206712963</v>
      </c>
      <c r="AQ110" s="83" t="str">
        <f>HYPERLINK("https://pbs.twimg.com/profile_banners/70358789/1552924313")</f>
        <v>https://pbs.twimg.com/profile_banners/70358789/1552924313</v>
      </c>
      <c r="AR110" s="79" t="b">
        <v>0</v>
      </c>
      <c r="AS110" s="79" t="b">
        <v>0</v>
      </c>
      <c r="AT110" s="79" t="b">
        <v>0</v>
      </c>
      <c r="AU110" s="79"/>
      <c r="AV110" s="79">
        <v>5</v>
      </c>
      <c r="AW110" s="83" t="str">
        <f>HYPERLINK("https://abs.twimg.com/images/themes/theme1/bg.png")</f>
        <v>https://abs.twimg.com/images/themes/theme1/bg.png</v>
      </c>
      <c r="AX110" s="79" t="b">
        <v>0</v>
      </c>
      <c r="AY110" s="79" t="s">
        <v>1211</v>
      </c>
      <c r="AZ110" s="83" t="str">
        <f>HYPERLINK("https://twitter.com/yinkaadeosun")</f>
        <v>https://twitter.com/yinkaadeosun</v>
      </c>
      <c r="BA110" s="79" t="s">
        <v>66</v>
      </c>
      <c r="BB110" s="79" t="str">
        <f>REPLACE(INDEX(GroupVertices[Group],MATCH(Vertices[[#This Row],[Vertex]],GroupVertices[Vertex],0)),1,1,"")</f>
        <v>2</v>
      </c>
      <c r="BC110" s="49" t="s">
        <v>1380</v>
      </c>
      <c r="BD110" s="49" t="s">
        <v>1380</v>
      </c>
      <c r="BE110" s="49" t="s">
        <v>448</v>
      </c>
      <c r="BF110" s="49" t="s">
        <v>448</v>
      </c>
      <c r="BG110" s="49" t="s">
        <v>459</v>
      </c>
      <c r="BH110" s="49" t="s">
        <v>459</v>
      </c>
      <c r="BI110" s="108" t="s">
        <v>1762</v>
      </c>
      <c r="BJ110" s="108" t="s">
        <v>1762</v>
      </c>
      <c r="BK110" s="108" t="s">
        <v>1799</v>
      </c>
      <c r="BL110" s="108" t="s">
        <v>1799</v>
      </c>
      <c r="BM110" s="108">
        <v>0</v>
      </c>
      <c r="BN110" s="111">
        <v>0</v>
      </c>
      <c r="BO110" s="108">
        <v>0</v>
      </c>
      <c r="BP110" s="111">
        <v>0</v>
      </c>
      <c r="BQ110" s="108">
        <v>0</v>
      </c>
      <c r="BR110" s="111">
        <v>0</v>
      </c>
      <c r="BS110" s="108">
        <v>27</v>
      </c>
      <c r="BT110" s="111">
        <v>100</v>
      </c>
      <c r="BU110" s="108">
        <v>27</v>
      </c>
      <c r="BV110" s="2"/>
      <c r="BW110" s="3"/>
      <c r="BX110" s="3"/>
      <c r="BY110" s="3"/>
      <c r="BZ110" s="3"/>
    </row>
    <row r="111" spans="1:78" ht="34.05" customHeight="1">
      <c r="A111" s="65" t="s">
        <v>296</v>
      </c>
      <c r="C111" s="66"/>
      <c r="D111" s="66" t="s">
        <v>64</v>
      </c>
      <c r="E111" s="67">
        <v>170.44125630224895</v>
      </c>
      <c r="F111" s="69"/>
      <c r="G111" s="103" t="str">
        <f>HYPERLINK("https://pbs.twimg.com/profile_images/1329928291894038528/_xibo_NO_normal.jpg")</f>
        <v>https://pbs.twimg.com/profile_images/1329928291894038528/_xibo_NO_normal.jpg</v>
      </c>
      <c r="H111" s="66"/>
      <c r="I111" s="70" t="s">
        <v>296</v>
      </c>
      <c r="J111" s="71"/>
      <c r="K111" s="71"/>
      <c r="L111" s="70" t="s">
        <v>1319</v>
      </c>
      <c r="M111" s="74">
        <v>17.90683662278608</v>
      </c>
      <c r="N111" s="75">
        <v>9345.21875</v>
      </c>
      <c r="O111" s="75">
        <v>4565.60546875</v>
      </c>
      <c r="P111" s="76"/>
      <c r="Q111" s="77"/>
      <c r="R111" s="77"/>
      <c r="S111" s="89"/>
      <c r="T111" s="49">
        <v>0</v>
      </c>
      <c r="U111" s="49">
        <v>1</v>
      </c>
      <c r="V111" s="50">
        <v>0</v>
      </c>
      <c r="W111" s="50">
        <v>0.2</v>
      </c>
      <c r="X111" s="50">
        <v>0</v>
      </c>
      <c r="Y111" s="50">
        <v>0.610685</v>
      </c>
      <c r="Z111" s="50">
        <v>0</v>
      </c>
      <c r="AA111" s="50">
        <v>0</v>
      </c>
      <c r="AB111" s="72">
        <v>111</v>
      </c>
      <c r="AC111" s="72"/>
      <c r="AD111" s="73"/>
      <c r="AE111" s="79" t="s">
        <v>904</v>
      </c>
      <c r="AF111" s="87" t="s">
        <v>1020</v>
      </c>
      <c r="AG111" s="79">
        <v>157</v>
      </c>
      <c r="AH111" s="79">
        <v>5757</v>
      </c>
      <c r="AI111" s="79">
        <v>9518</v>
      </c>
      <c r="AJ111" s="79">
        <v>10810</v>
      </c>
      <c r="AK111" s="79"/>
      <c r="AL111" s="79" t="s">
        <v>1131</v>
      </c>
      <c r="AM111" s="79" t="s">
        <v>1205</v>
      </c>
      <c r="AN111" s="83" t="str">
        <f>HYPERLINK("https://t.co/U9AvywWMnv")</f>
        <v>https://t.co/U9AvywWMnv</v>
      </c>
      <c r="AO111" s="79"/>
      <c r="AP111" s="81">
        <v>40916.67625</v>
      </c>
      <c r="AQ111" s="83" t="str">
        <f>HYPERLINK("https://pbs.twimg.com/profile_banners/458474511/1599759150")</f>
        <v>https://pbs.twimg.com/profile_banners/458474511/1599759150</v>
      </c>
      <c r="AR111" s="79" t="b">
        <v>0</v>
      </c>
      <c r="AS111" s="79" t="b">
        <v>0</v>
      </c>
      <c r="AT111" s="79" t="b">
        <v>1</v>
      </c>
      <c r="AU111" s="79"/>
      <c r="AV111" s="79">
        <v>56</v>
      </c>
      <c r="AW111" s="83" t="str">
        <f>HYPERLINK("https://abs.twimg.com/images/themes/theme1/bg.png")</f>
        <v>https://abs.twimg.com/images/themes/theme1/bg.png</v>
      </c>
      <c r="AX111" s="79" t="b">
        <v>0</v>
      </c>
      <c r="AY111" s="79" t="s">
        <v>1211</v>
      </c>
      <c r="AZ111" s="83" t="str">
        <f>HYPERLINK("https://twitter.com/davidbartram_")</f>
        <v>https://twitter.com/davidbartram_</v>
      </c>
      <c r="BA111" s="79" t="s">
        <v>66</v>
      </c>
      <c r="BB111" s="79" t="str">
        <f>REPLACE(INDEX(GroupVertices[Group],MATCH(Vertices[[#This Row],[Vertex]],GroupVertices[Vertex],0)),1,1,"")</f>
        <v>7</v>
      </c>
      <c r="BC111" s="49"/>
      <c r="BD111" s="49"/>
      <c r="BE111" s="49"/>
      <c r="BF111" s="49"/>
      <c r="BG111" s="49" t="s">
        <v>451</v>
      </c>
      <c r="BH111" s="49" t="s">
        <v>451</v>
      </c>
      <c r="BI111" s="108" t="s">
        <v>1532</v>
      </c>
      <c r="BJ111" s="108" t="s">
        <v>1532</v>
      </c>
      <c r="BK111" s="108" t="s">
        <v>1642</v>
      </c>
      <c r="BL111" s="108" t="s">
        <v>1642</v>
      </c>
      <c r="BM111" s="108">
        <v>2</v>
      </c>
      <c r="BN111" s="111">
        <v>5.714285714285714</v>
      </c>
      <c r="BO111" s="108">
        <v>0</v>
      </c>
      <c r="BP111" s="111">
        <v>0</v>
      </c>
      <c r="BQ111" s="108">
        <v>0</v>
      </c>
      <c r="BR111" s="111">
        <v>0</v>
      </c>
      <c r="BS111" s="108">
        <v>33</v>
      </c>
      <c r="BT111" s="111">
        <v>94.28571428571429</v>
      </c>
      <c r="BU111" s="108">
        <v>35</v>
      </c>
      <c r="BV111" s="2"/>
      <c r="BW111" s="3"/>
      <c r="BX111" s="3"/>
      <c r="BY111" s="3"/>
      <c r="BZ111" s="3"/>
    </row>
    <row r="112" spans="1:78" ht="34.05" customHeight="1">
      <c r="A112" s="65" t="s">
        <v>298</v>
      </c>
      <c r="C112" s="66"/>
      <c r="D112" s="66" t="s">
        <v>64</v>
      </c>
      <c r="E112" s="67">
        <v>164.00032550317366</v>
      </c>
      <c r="F112" s="69"/>
      <c r="G112" s="103" t="str">
        <f>HYPERLINK("https://pbs.twimg.com/profile_images/1296512388183855105/cl9Yl38L_normal.jpg")</f>
        <v>https://pbs.twimg.com/profile_images/1296512388183855105/cl9Yl38L_normal.jpg</v>
      </c>
      <c r="H112" s="66"/>
      <c r="I112" s="70" t="s">
        <v>298</v>
      </c>
      <c r="J112" s="71"/>
      <c r="K112" s="71"/>
      <c r="L112" s="70" t="s">
        <v>1320</v>
      </c>
      <c r="M112" s="74">
        <v>5.0064150718346445</v>
      </c>
      <c r="N112" s="75">
        <v>8960.642578125</v>
      </c>
      <c r="O112" s="75">
        <v>4565.60546875</v>
      </c>
      <c r="P112" s="76"/>
      <c r="Q112" s="77"/>
      <c r="R112" s="77"/>
      <c r="S112" s="89"/>
      <c r="T112" s="49">
        <v>4</v>
      </c>
      <c r="U112" s="49">
        <v>1</v>
      </c>
      <c r="V112" s="50">
        <v>6</v>
      </c>
      <c r="W112" s="50">
        <v>0.333333</v>
      </c>
      <c r="X112" s="50">
        <v>0</v>
      </c>
      <c r="Y112" s="50">
        <v>2.167929</v>
      </c>
      <c r="Z112" s="50">
        <v>0</v>
      </c>
      <c r="AA112" s="50">
        <v>0</v>
      </c>
      <c r="AB112" s="72">
        <v>112</v>
      </c>
      <c r="AC112" s="72"/>
      <c r="AD112" s="73"/>
      <c r="AE112" s="79" t="s">
        <v>905</v>
      </c>
      <c r="AF112" s="87" t="s">
        <v>1021</v>
      </c>
      <c r="AG112" s="79">
        <v>653</v>
      </c>
      <c r="AH112" s="79">
        <v>1365</v>
      </c>
      <c r="AI112" s="79">
        <v>9763</v>
      </c>
      <c r="AJ112" s="79">
        <v>5064</v>
      </c>
      <c r="AK112" s="79"/>
      <c r="AL112" s="79" t="s">
        <v>1132</v>
      </c>
      <c r="AM112" s="79" t="s">
        <v>1206</v>
      </c>
      <c r="AN112" s="79"/>
      <c r="AO112" s="79"/>
      <c r="AP112" s="81">
        <v>39850.46196759259</v>
      </c>
      <c r="AQ112" s="83" t="str">
        <f>HYPERLINK("https://pbs.twimg.com/profile_banners/20229666/1597947660")</f>
        <v>https://pbs.twimg.com/profile_banners/20229666/1597947660</v>
      </c>
      <c r="AR112" s="79" t="b">
        <v>0</v>
      </c>
      <c r="AS112" s="79" t="b">
        <v>0</v>
      </c>
      <c r="AT112" s="79" t="b">
        <v>1</v>
      </c>
      <c r="AU112" s="79"/>
      <c r="AV112" s="79">
        <v>14</v>
      </c>
      <c r="AW112" s="83" t="str">
        <f>HYPERLINK("https://abs.twimg.com/images/themes/theme2/bg.gif")</f>
        <v>https://abs.twimg.com/images/themes/theme2/bg.gif</v>
      </c>
      <c r="AX112" s="79" t="b">
        <v>0</v>
      </c>
      <c r="AY112" s="79" t="s">
        <v>1211</v>
      </c>
      <c r="AZ112" s="83" t="str">
        <f>HYPERLINK("https://twitter.com/susandouglas70")</f>
        <v>https://twitter.com/susandouglas70</v>
      </c>
      <c r="BA112" s="79" t="s">
        <v>66</v>
      </c>
      <c r="BB112" s="79" t="str">
        <f>REPLACE(INDEX(GroupVertices[Group],MATCH(Vertices[[#This Row],[Vertex]],GroupVertices[Vertex],0)),1,1,"")</f>
        <v>7</v>
      </c>
      <c r="BC112" s="49"/>
      <c r="BD112" s="49"/>
      <c r="BE112" s="49"/>
      <c r="BF112" s="49"/>
      <c r="BG112" s="49" t="s">
        <v>451</v>
      </c>
      <c r="BH112" s="49" t="s">
        <v>451</v>
      </c>
      <c r="BI112" s="108" t="s">
        <v>1532</v>
      </c>
      <c r="BJ112" s="108" t="s">
        <v>1532</v>
      </c>
      <c r="BK112" s="108" t="s">
        <v>1642</v>
      </c>
      <c r="BL112" s="108" t="s">
        <v>1642</v>
      </c>
      <c r="BM112" s="108">
        <v>2</v>
      </c>
      <c r="BN112" s="111">
        <v>5.714285714285714</v>
      </c>
      <c r="BO112" s="108">
        <v>0</v>
      </c>
      <c r="BP112" s="111">
        <v>0</v>
      </c>
      <c r="BQ112" s="108">
        <v>0</v>
      </c>
      <c r="BR112" s="111">
        <v>0</v>
      </c>
      <c r="BS112" s="108">
        <v>33</v>
      </c>
      <c r="BT112" s="111">
        <v>94.28571428571429</v>
      </c>
      <c r="BU112" s="108">
        <v>35</v>
      </c>
      <c r="BV112" s="2"/>
      <c r="BW112" s="3"/>
      <c r="BX112" s="3"/>
      <c r="BY112" s="3"/>
      <c r="BZ112" s="3"/>
    </row>
    <row r="113" spans="1:78" ht="34.05" customHeight="1">
      <c r="A113" s="65" t="s">
        <v>297</v>
      </c>
      <c r="C113" s="66"/>
      <c r="D113" s="66" t="s">
        <v>64</v>
      </c>
      <c r="E113" s="67">
        <v>163.08228755230363</v>
      </c>
      <c r="F113" s="69"/>
      <c r="G113" s="103" t="str">
        <f>HYPERLINK("https://pbs.twimg.com/profile_images/1270251693775740928/Vh5BB7-7_normal.jpg")</f>
        <v>https://pbs.twimg.com/profile_images/1270251693775740928/Vh5BB7-7_normal.jpg</v>
      </c>
      <c r="H113" s="66"/>
      <c r="I113" s="70" t="s">
        <v>297</v>
      </c>
      <c r="J113" s="71"/>
      <c r="K113" s="71"/>
      <c r="L113" s="70" t="s">
        <v>1321</v>
      </c>
      <c r="M113" s="74">
        <v>3.1676937852008558</v>
      </c>
      <c r="N113" s="75">
        <v>9345.21875</v>
      </c>
      <c r="O113" s="75">
        <v>5407.490234375</v>
      </c>
      <c r="P113" s="76"/>
      <c r="Q113" s="77"/>
      <c r="R113" s="77"/>
      <c r="S113" s="89"/>
      <c r="T113" s="49">
        <v>0</v>
      </c>
      <c r="U113" s="49">
        <v>1</v>
      </c>
      <c r="V113" s="50">
        <v>0</v>
      </c>
      <c r="W113" s="50">
        <v>0.2</v>
      </c>
      <c r="X113" s="50">
        <v>0</v>
      </c>
      <c r="Y113" s="50">
        <v>0.610685</v>
      </c>
      <c r="Z113" s="50">
        <v>0</v>
      </c>
      <c r="AA113" s="50">
        <v>0</v>
      </c>
      <c r="AB113" s="72">
        <v>113</v>
      </c>
      <c r="AC113" s="72"/>
      <c r="AD113" s="73"/>
      <c r="AE113" s="79" t="s">
        <v>906</v>
      </c>
      <c r="AF113" s="87" t="s">
        <v>1022</v>
      </c>
      <c r="AG113" s="79">
        <v>797</v>
      </c>
      <c r="AH113" s="79">
        <v>739</v>
      </c>
      <c r="AI113" s="79">
        <v>1888</v>
      </c>
      <c r="AJ113" s="79">
        <v>4273</v>
      </c>
      <c r="AK113" s="79"/>
      <c r="AL113" s="79" t="s">
        <v>1133</v>
      </c>
      <c r="AM113" s="79" t="s">
        <v>1207</v>
      </c>
      <c r="AN113" s="83" t="str">
        <f>HYPERLINK("https://t.co/CTT0S6EWWg")</f>
        <v>https://t.co/CTT0S6EWWg</v>
      </c>
      <c r="AO113" s="79"/>
      <c r="AP113" s="81">
        <v>42997.372708333336</v>
      </c>
      <c r="AQ113" s="83" t="str">
        <f>HYPERLINK("https://pbs.twimg.com/profile_banners/910065097942470657/1510741066")</f>
        <v>https://pbs.twimg.com/profile_banners/910065097942470657/1510741066</v>
      </c>
      <c r="AR113" s="79" t="b">
        <v>1</v>
      </c>
      <c r="AS113" s="79" t="b">
        <v>0</v>
      </c>
      <c r="AT113" s="79" t="b">
        <v>0</v>
      </c>
      <c r="AU113" s="79"/>
      <c r="AV113" s="79">
        <v>1</v>
      </c>
      <c r="AW113" s="79"/>
      <c r="AX113" s="79" t="b">
        <v>0</v>
      </c>
      <c r="AY113" s="79" t="s">
        <v>1211</v>
      </c>
      <c r="AZ113" s="83" t="str">
        <f>HYPERLINK("https://twitter.com/creativehigg")</f>
        <v>https://twitter.com/creativehigg</v>
      </c>
      <c r="BA113" s="79" t="s">
        <v>66</v>
      </c>
      <c r="BB113" s="79" t="str">
        <f>REPLACE(INDEX(GroupVertices[Group],MATCH(Vertices[[#This Row],[Vertex]],GroupVertices[Vertex],0)),1,1,"")</f>
        <v>7</v>
      </c>
      <c r="BC113" s="49"/>
      <c r="BD113" s="49"/>
      <c r="BE113" s="49"/>
      <c r="BF113" s="49"/>
      <c r="BG113" s="49" t="s">
        <v>451</v>
      </c>
      <c r="BH113" s="49" t="s">
        <v>451</v>
      </c>
      <c r="BI113" s="108" t="s">
        <v>1532</v>
      </c>
      <c r="BJ113" s="108" t="s">
        <v>1532</v>
      </c>
      <c r="BK113" s="108" t="s">
        <v>1642</v>
      </c>
      <c r="BL113" s="108" t="s">
        <v>1642</v>
      </c>
      <c r="BM113" s="108">
        <v>2</v>
      </c>
      <c r="BN113" s="111">
        <v>5.714285714285714</v>
      </c>
      <c r="BO113" s="108">
        <v>0</v>
      </c>
      <c r="BP113" s="111">
        <v>0</v>
      </c>
      <c r="BQ113" s="108">
        <v>0</v>
      </c>
      <c r="BR113" s="111">
        <v>0</v>
      </c>
      <c r="BS113" s="108">
        <v>33</v>
      </c>
      <c r="BT113" s="111">
        <v>94.28571428571429</v>
      </c>
      <c r="BU113" s="108">
        <v>35</v>
      </c>
      <c r="BV113" s="2"/>
      <c r="BW113" s="3"/>
      <c r="BX113" s="3"/>
      <c r="BY113" s="3"/>
      <c r="BZ113" s="3"/>
    </row>
    <row r="114" spans="1:78" ht="34.05" customHeight="1">
      <c r="A114" s="65" t="s">
        <v>299</v>
      </c>
      <c r="C114" s="66"/>
      <c r="D114" s="66" t="s">
        <v>64</v>
      </c>
      <c r="E114" s="67">
        <v>162.03812937176139</v>
      </c>
      <c r="F114" s="69"/>
      <c r="G114" s="103" t="str">
        <f>HYPERLINK("https://pbs.twimg.com/profile_images/1098999368470970368/zUcfnV1L_normal.jpg")</f>
        <v>https://pbs.twimg.com/profile_images/1098999368470970368/zUcfnV1L_normal.jpg</v>
      </c>
      <c r="H114" s="66"/>
      <c r="I114" s="70" t="s">
        <v>299</v>
      </c>
      <c r="J114" s="71"/>
      <c r="K114" s="71"/>
      <c r="L114" s="70" t="s">
        <v>1322</v>
      </c>
      <c r="M114" s="74">
        <v>1.0763686157387835</v>
      </c>
      <c r="N114" s="75">
        <v>8960.642578125</v>
      </c>
      <c r="O114" s="75">
        <v>5407.490234375</v>
      </c>
      <c r="P114" s="76"/>
      <c r="Q114" s="77"/>
      <c r="R114" s="77"/>
      <c r="S114" s="89"/>
      <c r="T114" s="49">
        <v>0</v>
      </c>
      <c r="U114" s="49">
        <v>1</v>
      </c>
      <c r="V114" s="50">
        <v>0</v>
      </c>
      <c r="W114" s="50">
        <v>0.2</v>
      </c>
      <c r="X114" s="50">
        <v>0</v>
      </c>
      <c r="Y114" s="50">
        <v>0.610685</v>
      </c>
      <c r="Z114" s="50">
        <v>0</v>
      </c>
      <c r="AA114" s="50">
        <v>0</v>
      </c>
      <c r="AB114" s="72">
        <v>114</v>
      </c>
      <c r="AC114" s="72"/>
      <c r="AD114" s="73"/>
      <c r="AE114" s="79" t="s">
        <v>907</v>
      </c>
      <c r="AF114" s="87" t="s">
        <v>1023</v>
      </c>
      <c r="AG114" s="79">
        <v>200</v>
      </c>
      <c r="AH114" s="79">
        <v>27</v>
      </c>
      <c r="AI114" s="79">
        <v>28</v>
      </c>
      <c r="AJ114" s="79">
        <v>58</v>
      </c>
      <c r="AK114" s="79"/>
      <c r="AL114" s="79"/>
      <c r="AM114" s="79" t="s">
        <v>1150</v>
      </c>
      <c r="AN114" s="79"/>
      <c r="AO114" s="79"/>
      <c r="AP114" s="81">
        <v>41597.79431712963</v>
      </c>
      <c r="AQ114" s="79"/>
      <c r="AR114" s="79" t="b">
        <v>1</v>
      </c>
      <c r="AS114" s="79" t="b">
        <v>0</v>
      </c>
      <c r="AT114" s="79" t="b">
        <v>0</v>
      </c>
      <c r="AU114" s="79"/>
      <c r="AV114" s="79">
        <v>0</v>
      </c>
      <c r="AW114" s="83" t="str">
        <f>HYPERLINK("https://abs.twimg.com/images/themes/theme1/bg.png")</f>
        <v>https://abs.twimg.com/images/themes/theme1/bg.png</v>
      </c>
      <c r="AX114" s="79" t="b">
        <v>0</v>
      </c>
      <c r="AY114" s="79" t="s">
        <v>1211</v>
      </c>
      <c r="AZ114" s="83" t="str">
        <f>HYPERLINK("https://twitter.com/olgatoulk")</f>
        <v>https://twitter.com/olgatoulk</v>
      </c>
      <c r="BA114" s="79" t="s">
        <v>66</v>
      </c>
      <c r="BB114" s="79" t="str">
        <f>REPLACE(INDEX(GroupVertices[Group],MATCH(Vertices[[#This Row],[Vertex]],GroupVertices[Vertex],0)),1,1,"")</f>
        <v>7</v>
      </c>
      <c r="BC114" s="49"/>
      <c r="BD114" s="49"/>
      <c r="BE114" s="49"/>
      <c r="BF114" s="49"/>
      <c r="BG114" s="49" t="s">
        <v>451</v>
      </c>
      <c r="BH114" s="49" t="s">
        <v>451</v>
      </c>
      <c r="BI114" s="108" t="s">
        <v>1532</v>
      </c>
      <c r="BJ114" s="108" t="s">
        <v>1532</v>
      </c>
      <c r="BK114" s="108" t="s">
        <v>1642</v>
      </c>
      <c r="BL114" s="108" t="s">
        <v>1642</v>
      </c>
      <c r="BM114" s="108">
        <v>2</v>
      </c>
      <c r="BN114" s="111">
        <v>5.714285714285714</v>
      </c>
      <c r="BO114" s="108">
        <v>0</v>
      </c>
      <c r="BP114" s="111">
        <v>0</v>
      </c>
      <c r="BQ114" s="108">
        <v>0</v>
      </c>
      <c r="BR114" s="111">
        <v>0</v>
      </c>
      <c r="BS114" s="108">
        <v>33</v>
      </c>
      <c r="BT114" s="111">
        <v>94.28571428571429</v>
      </c>
      <c r="BU114" s="108">
        <v>35</v>
      </c>
      <c r="BV114" s="2"/>
      <c r="BW114" s="3"/>
      <c r="BX114" s="3"/>
      <c r="BY114" s="3"/>
      <c r="BZ114" s="3"/>
    </row>
    <row r="115" spans="1:78" ht="34.05" customHeight="1">
      <c r="A115" s="65" t="s">
        <v>302</v>
      </c>
      <c r="C115" s="66"/>
      <c r="D115" s="66" t="s">
        <v>64</v>
      </c>
      <c r="E115" s="67">
        <v>163.49291155588767</v>
      </c>
      <c r="F115" s="69"/>
      <c r="G115" s="103" t="str">
        <f>HYPERLINK("https://pbs.twimg.com/profile_images/1285251414214750209/NCfCtM7A_normal.jpg")</f>
        <v>https://pbs.twimg.com/profile_images/1285251414214750209/NCfCtM7A_normal.jpg</v>
      </c>
      <c r="H115" s="66"/>
      <c r="I115" s="70" t="s">
        <v>302</v>
      </c>
      <c r="J115" s="71"/>
      <c r="K115" s="71"/>
      <c r="L115" s="70" t="s">
        <v>1323</v>
      </c>
      <c r="M115" s="74">
        <v>3.9901250316185246</v>
      </c>
      <c r="N115" s="75">
        <v>2607.62109375</v>
      </c>
      <c r="O115" s="75">
        <v>3524.318115234375</v>
      </c>
      <c r="P115" s="76"/>
      <c r="Q115" s="77"/>
      <c r="R115" s="77"/>
      <c r="S115" s="89"/>
      <c r="T115" s="49">
        <v>2</v>
      </c>
      <c r="U115" s="49">
        <v>1</v>
      </c>
      <c r="V115" s="50">
        <v>0</v>
      </c>
      <c r="W115" s="50">
        <v>0.004444</v>
      </c>
      <c r="X115" s="50">
        <v>0.008626</v>
      </c>
      <c r="Y115" s="50">
        <v>0.68864</v>
      </c>
      <c r="Z115" s="50">
        <v>0</v>
      </c>
      <c r="AA115" s="50">
        <v>0</v>
      </c>
      <c r="AB115" s="72">
        <v>115</v>
      </c>
      <c r="AC115" s="72"/>
      <c r="AD115" s="73"/>
      <c r="AE115" s="79" t="s">
        <v>908</v>
      </c>
      <c r="AF115" s="87" t="s">
        <v>1024</v>
      </c>
      <c r="AG115" s="79">
        <v>866</v>
      </c>
      <c r="AH115" s="79">
        <v>1019</v>
      </c>
      <c r="AI115" s="79">
        <v>2773</v>
      </c>
      <c r="AJ115" s="79">
        <v>3266</v>
      </c>
      <c r="AK115" s="79"/>
      <c r="AL115" s="79" t="s">
        <v>1134</v>
      </c>
      <c r="AM115" s="79" t="s">
        <v>1208</v>
      </c>
      <c r="AN115" s="79"/>
      <c r="AO115" s="79"/>
      <c r="AP115" s="81">
        <v>39822.763136574074</v>
      </c>
      <c r="AQ115" s="83" t="str">
        <f>HYPERLINK("https://pbs.twimg.com/profile_banners/18809290/1515168788")</f>
        <v>https://pbs.twimg.com/profile_banners/18809290/1515168788</v>
      </c>
      <c r="AR115" s="79" t="b">
        <v>0</v>
      </c>
      <c r="AS115" s="79" t="b">
        <v>0</v>
      </c>
      <c r="AT115" s="79" t="b">
        <v>1</v>
      </c>
      <c r="AU115" s="79"/>
      <c r="AV115" s="79">
        <v>55</v>
      </c>
      <c r="AW115" s="83" t="str">
        <f>HYPERLINK("https://abs.twimg.com/images/themes/theme10/bg.gif")</f>
        <v>https://abs.twimg.com/images/themes/theme10/bg.gif</v>
      </c>
      <c r="AX115" s="79" t="b">
        <v>0</v>
      </c>
      <c r="AY115" s="79" t="s">
        <v>1211</v>
      </c>
      <c r="AZ115" s="83" t="str">
        <f>HYPERLINK("https://twitter.com/sambeckertweets")</f>
        <v>https://twitter.com/sambeckertweets</v>
      </c>
      <c r="BA115" s="79" t="s">
        <v>66</v>
      </c>
      <c r="BB115" s="79" t="str">
        <f>REPLACE(INDEX(GroupVertices[Group],MATCH(Vertices[[#This Row],[Vertex]],GroupVertices[Vertex],0)),1,1,"")</f>
        <v>1</v>
      </c>
      <c r="BC115" s="49" t="s">
        <v>1715</v>
      </c>
      <c r="BD115" s="49" t="s">
        <v>1715</v>
      </c>
      <c r="BE115" s="49" t="s">
        <v>444</v>
      </c>
      <c r="BF115" s="49" t="s">
        <v>444</v>
      </c>
      <c r="BG115" s="49" t="s">
        <v>451</v>
      </c>
      <c r="BH115" s="49" t="s">
        <v>451</v>
      </c>
      <c r="BI115" s="108" t="s">
        <v>1763</v>
      </c>
      <c r="BJ115" s="108" t="s">
        <v>1763</v>
      </c>
      <c r="BK115" s="108" t="s">
        <v>1800</v>
      </c>
      <c r="BL115" s="108" t="s">
        <v>1800</v>
      </c>
      <c r="BM115" s="108">
        <v>0</v>
      </c>
      <c r="BN115" s="111">
        <v>0</v>
      </c>
      <c r="BO115" s="108">
        <v>0</v>
      </c>
      <c r="BP115" s="111">
        <v>0</v>
      </c>
      <c r="BQ115" s="108">
        <v>0</v>
      </c>
      <c r="BR115" s="111">
        <v>0</v>
      </c>
      <c r="BS115" s="108">
        <v>44</v>
      </c>
      <c r="BT115" s="111">
        <v>100</v>
      </c>
      <c r="BU115" s="108">
        <v>44</v>
      </c>
      <c r="BV115" s="2"/>
      <c r="BW115" s="3"/>
      <c r="BX115" s="3"/>
      <c r="BY115" s="3"/>
      <c r="BZ115" s="3"/>
    </row>
    <row r="116" spans="1:78" ht="34.05" customHeight="1">
      <c r="A116" s="65" t="s">
        <v>350</v>
      </c>
      <c r="C116" s="66"/>
      <c r="D116" s="66" t="s">
        <v>64</v>
      </c>
      <c r="E116" s="67">
        <v>162.27863771671772</v>
      </c>
      <c r="F116" s="69"/>
      <c r="G116" s="103" t="str">
        <f>HYPERLINK("https://pbs.twimg.com/profile_images/551706211561639936/73VqhAQh_normal.jpeg")</f>
        <v>https://pbs.twimg.com/profile_images/551706211561639936/73VqhAQh_normal.jpeg</v>
      </c>
      <c r="H116" s="66"/>
      <c r="I116" s="70" t="s">
        <v>350</v>
      </c>
      <c r="J116" s="71"/>
      <c r="K116" s="71"/>
      <c r="L116" s="70" t="s">
        <v>1324</v>
      </c>
      <c r="M116" s="74">
        <v>1.5580783457834182</v>
      </c>
      <c r="N116" s="75">
        <v>1500.656982421875</v>
      </c>
      <c r="O116" s="75">
        <v>1283.097900390625</v>
      </c>
      <c r="P116" s="76"/>
      <c r="Q116" s="77"/>
      <c r="R116" s="77"/>
      <c r="S116" s="89"/>
      <c r="T116" s="49">
        <v>2</v>
      </c>
      <c r="U116" s="49">
        <v>0</v>
      </c>
      <c r="V116" s="50">
        <v>0</v>
      </c>
      <c r="W116" s="50">
        <v>0.004464</v>
      </c>
      <c r="X116" s="50">
        <v>0.008626</v>
      </c>
      <c r="Y116" s="50">
        <v>0.68864</v>
      </c>
      <c r="Z116" s="50">
        <v>1</v>
      </c>
      <c r="AA116" s="50">
        <v>0</v>
      </c>
      <c r="AB116" s="72">
        <v>116</v>
      </c>
      <c r="AC116" s="72"/>
      <c r="AD116" s="73"/>
      <c r="AE116" s="79" t="s">
        <v>909</v>
      </c>
      <c r="AF116" s="87" t="s">
        <v>1025</v>
      </c>
      <c r="AG116" s="79">
        <v>330</v>
      </c>
      <c r="AH116" s="79">
        <v>191</v>
      </c>
      <c r="AI116" s="79">
        <v>295</v>
      </c>
      <c r="AJ116" s="79">
        <v>29</v>
      </c>
      <c r="AK116" s="79"/>
      <c r="AL116" s="79" t="s">
        <v>1135</v>
      </c>
      <c r="AM116" s="79" t="s">
        <v>1177</v>
      </c>
      <c r="AN116" s="79"/>
      <c r="AO116" s="79"/>
      <c r="AP116" s="81">
        <v>40980.663518518515</v>
      </c>
      <c r="AQ116" s="83" t="str">
        <f>HYPERLINK("https://pbs.twimg.com/profile_banners/522361141/1445163688")</f>
        <v>https://pbs.twimg.com/profile_banners/522361141/1445163688</v>
      </c>
      <c r="AR116" s="79" t="b">
        <v>0</v>
      </c>
      <c r="AS116" s="79" t="b">
        <v>0</v>
      </c>
      <c r="AT116" s="79" t="b">
        <v>0</v>
      </c>
      <c r="AU116" s="79"/>
      <c r="AV116" s="79">
        <v>3</v>
      </c>
      <c r="AW116" s="83" t="str">
        <f>HYPERLINK("https://abs.twimg.com/images/themes/theme19/bg.gif")</f>
        <v>https://abs.twimg.com/images/themes/theme19/bg.gif</v>
      </c>
      <c r="AX116" s="79" t="b">
        <v>0</v>
      </c>
      <c r="AY116" s="79" t="s">
        <v>1211</v>
      </c>
      <c r="AZ116" s="83" t="str">
        <f>HYPERLINK("https://twitter.com/lshayter")</f>
        <v>https://twitter.com/lshayter</v>
      </c>
      <c r="BA116" s="79" t="s">
        <v>65</v>
      </c>
      <c r="BB116" s="79" t="str">
        <f>REPLACE(INDEX(GroupVertices[Group],MATCH(Vertices[[#This Row],[Vertex]],GroupVertices[Vertex],0)),1,1,"")</f>
        <v>1</v>
      </c>
      <c r="BC116" s="49"/>
      <c r="BD116" s="49"/>
      <c r="BE116" s="49"/>
      <c r="BF116" s="49"/>
      <c r="BG116" s="49"/>
      <c r="BH116" s="49"/>
      <c r="BI116" s="49"/>
      <c r="BJ116" s="49"/>
      <c r="BK116" s="49"/>
      <c r="BL116" s="49"/>
      <c r="BM116" s="49"/>
      <c r="BN116" s="50"/>
      <c r="BO116" s="49"/>
      <c r="BP116" s="50"/>
      <c r="BQ116" s="49"/>
      <c r="BR116" s="50"/>
      <c r="BS116" s="49"/>
      <c r="BT116" s="50"/>
      <c r="BU116" s="49"/>
      <c r="BV116" s="2"/>
      <c r="BW116" s="3"/>
      <c r="BX116" s="3"/>
      <c r="BY116" s="3"/>
      <c r="BZ116" s="3"/>
    </row>
    <row r="117" spans="1:78" ht="34.05" customHeight="1">
      <c r="A117" s="65" t="s">
        <v>300</v>
      </c>
      <c r="C117" s="66"/>
      <c r="D117" s="66" t="s">
        <v>64</v>
      </c>
      <c r="E117" s="67">
        <v>167.33811204659244</v>
      </c>
      <c r="F117" s="69"/>
      <c r="G117" s="103" t="str">
        <f>HYPERLINK("https://pbs.twimg.com/profile_images/740458581288488960/O08kb7et_normal.jpg")</f>
        <v>https://pbs.twimg.com/profile_images/740458581288488960/O08kb7et_normal.jpg</v>
      </c>
      <c r="H117" s="66"/>
      <c r="I117" s="70" t="s">
        <v>300</v>
      </c>
      <c r="J117" s="71"/>
      <c r="K117" s="71"/>
      <c r="L117" s="70" t="s">
        <v>1325</v>
      </c>
      <c r="M117" s="74">
        <v>11.691606203429696</v>
      </c>
      <c r="N117" s="75">
        <v>1485.745361328125</v>
      </c>
      <c r="O117" s="75">
        <v>2191.70751953125</v>
      </c>
      <c r="P117" s="76"/>
      <c r="Q117" s="77"/>
      <c r="R117" s="77"/>
      <c r="S117" s="89"/>
      <c r="T117" s="49">
        <v>1</v>
      </c>
      <c r="U117" s="49">
        <v>2</v>
      </c>
      <c r="V117" s="50">
        <v>0</v>
      </c>
      <c r="W117" s="50">
        <v>0.004464</v>
      </c>
      <c r="X117" s="50">
        <v>0.008626</v>
      </c>
      <c r="Y117" s="50">
        <v>0.68864</v>
      </c>
      <c r="Z117" s="50">
        <v>0.5</v>
      </c>
      <c r="AA117" s="50">
        <v>0.5</v>
      </c>
      <c r="AB117" s="72">
        <v>117</v>
      </c>
      <c r="AC117" s="72"/>
      <c r="AD117" s="73"/>
      <c r="AE117" s="79" t="s">
        <v>910</v>
      </c>
      <c r="AF117" s="87" t="s">
        <v>1026</v>
      </c>
      <c r="AG117" s="79">
        <v>1132</v>
      </c>
      <c r="AH117" s="79">
        <v>3641</v>
      </c>
      <c r="AI117" s="79">
        <v>6275</v>
      </c>
      <c r="AJ117" s="79">
        <v>3208</v>
      </c>
      <c r="AK117" s="79"/>
      <c r="AL117" s="79" t="s">
        <v>1136</v>
      </c>
      <c r="AM117" s="79" t="s">
        <v>1209</v>
      </c>
      <c r="AN117" s="83" t="str">
        <f>HYPERLINK("https://t.co/oypuXY78bU")</f>
        <v>https://t.co/oypuXY78bU</v>
      </c>
      <c r="AO117" s="79"/>
      <c r="AP117" s="81">
        <v>40512.725277777776</v>
      </c>
      <c r="AQ117" s="83" t="str">
        <f>HYPERLINK("https://pbs.twimg.com/profile_banners/221436145/1465374078")</f>
        <v>https://pbs.twimg.com/profile_banners/221436145/1465374078</v>
      </c>
      <c r="AR117" s="79" t="b">
        <v>0</v>
      </c>
      <c r="AS117" s="79" t="b">
        <v>0</v>
      </c>
      <c r="AT117" s="79" t="b">
        <v>1</v>
      </c>
      <c r="AU117" s="79"/>
      <c r="AV117" s="79">
        <v>94</v>
      </c>
      <c r="AW117" s="83" t="str">
        <f>HYPERLINK("https://abs.twimg.com/images/themes/theme15/bg.png")</f>
        <v>https://abs.twimg.com/images/themes/theme15/bg.png</v>
      </c>
      <c r="AX117" s="79" t="b">
        <v>0</v>
      </c>
      <c r="AY117" s="79" t="s">
        <v>1211</v>
      </c>
      <c r="AZ117" s="83" t="str">
        <f>HYPERLINK("https://twitter.com/gen_global_")</f>
        <v>https://twitter.com/gen_global_</v>
      </c>
      <c r="BA117" s="79" t="s">
        <v>66</v>
      </c>
      <c r="BB117" s="79" t="str">
        <f>REPLACE(INDEX(GroupVertices[Group],MATCH(Vertices[[#This Row],[Vertex]],GroupVertices[Vertex],0)),1,1,"")</f>
        <v>1</v>
      </c>
      <c r="BC117" s="49" t="s">
        <v>1360</v>
      </c>
      <c r="BD117" s="49" t="s">
        <v>1360</v>
      </c>
      <c r="BE117" s="49" t="s">
        <v>444</v>
      </c>
      <c r="BF117" s="49" t="s">
        <v>444</v>
      </c>
      <c r="BG117" s="49" t="s">
        <v>450</v>
      </c>
      <c r="BH117" s="49" t="s">
        <v>450</v>
      </c>
      <c r="BI117" s="108" t="s">
        <v>1764</v>
      </c>
      <c r="BJ117" s="108" t="s">
        <v>1764</v>
      </c>
      <c r="BK117" s="108" t="s">
        <v>1801</v>
      </c>
      <c r="BL117" s="108" t="s">
        <v>1801</v>
      </c>
      <c r="BM117" s="108">
        <v>1</v>
      </c>
      <c r="BN117" s="111">
        <v>3.125</v>
      </c>
      <c r="BO117" s="108">
        <v>0</v>
      </c>
      <c r="BP117" s="111">
        <v>0</v>
      </c>
      <c r="BQ117" s="108">
        <v>0</v>
      </c>
      <c r="BR117" s="111">
        <v>0</v>
      </c>
      <c r="BS117" s="108">
        <v>31</v>
      </c>
      <c r="BT117" s="111">
        <v>96.875</v>
      </c>
      <c r="BU117" s="108">
        <v>32</v>
      </c>
      <c r="BV117" s="2"/>
      <c r="BW117" s="3"/>
      <c r="BX117" s="3"/>
      <c r="BY117" s="3"/>
      <c r="BZ117" s="3"/>
    </row>
    <row r="118" spans="1:78" ht="34.05" customHeight="1">
      <c r="A118" s="90" t="s">
        <v>301</v>
      </c>
      <c r="C118" s="91"/>
      <c r="D118" s="91" t="s">
        <v>64</v>
      </c>
      <c r="E118" s="92">
        <v>162.01613165728367</v>
      </c>
      <c r="F118" s="93"/>
      <c r="G118" s="104" t="str">
        <f>HYPERLINK("https://pbs.twimg.com/profile_images/1212710256330997760/DJK8bWXi_normal.jpg")</f>
        <v>https://pbs.twimg.com/profile_images/1212710256330997760/DJK8bWXi_normal.jpg</v>
      </c>
      <c r="H118" s="91"/>
      <c r="I118" s="94" t="s">
        <v>301</v>
      </c>
      <c r="J118" s="95"/>
      <c r="K118" s="95"/>
      <c r="L118" s="94" t="s">
        <v>1326</v>
      </c>
      <c r="M118" s="96">
        <v>1.0323097989664085</v>
      </c>
      <c r="N118" s="97">
        <v>4661.072265625</v>
      </c>
      <c r="O118" s="97">
        <v>8006.90283203125</v>
      </c>
      <c r="P118" s="98"/>
      <c r="Q118" s="99"/>
      <c r="R118" s="99"/>
      <c r="S118" s="100"/>
      <c r="T118" s="49">
        <v>0</v>
      </c>
      <c r="U118" s="49">
        <v>1</v>
      </c>
      <c r="V118" s="50">
        <v>0</v>
      </c>
      <c r="W118" s="50">
        <v>0.003215</v>
      </c>
      <c r="X118" s="50">
        <v>0.00191</v>
      </c>
      <c r="Y118" s="50">
        <v>0.381702</v>
      </c>
      <c r="Z118" s="50">
        <v>0</v>
      </c>
      <c r="AA118" s="50">
        <v>0</v>
      </c>
      <c r="AB118" s="101">
        <v>118</v>
      </c>
      <c r="AC118" s="101"/>
      <c r="AD118" s="102"/>
      <c r="AE118" s="79" t="s">
        <v>911</v>
      </c>
      <c r="AF118" s="87" t="s">
        <v>1027</v>
      </c>
      <c r="AG118" s="79">
        <v>149</v>
      </c>
      <c r="AH118" s="79">
        <v>12</v>
      </c>
      <c r="AI118" s="79">
        <v>116</v>
      </c>
      <c r="AJ118" s="79">
        <v>59</v>
      </c>
      <c r="AK118" s="79"/>
      <c r="AL118" s="79" t="s">
        <v>1137</v>
      </c>
      <c r="AM118" s="79" t="s">
        <v>1210</v>
      </c>
      <c r="AN118" s="79"/>
      <c r="AO118" s="79"/>
      <c r="AP118" s="81">
        <v>43563.608310185184</v>
      </c>
      <c r="AQ118" s="83" t="str">
        <f>HYPERLINK("https://pbs.twimg.com/profile_banners/1115262008234926080/1555584231")</f>
        <v>https://pbs.twimg.com/profile_banners/1115262008234926080/1555584231</v>
      </c>
      <c r="AR118" s="79" t="b">
        <v>1</v>
      </c>
      <c r="AS118" s="79" t="b">
        <v>0</v>
      </c>
      <c r="AT118" s="79" t="b">
        <v>1</v>
      </c>
      <c r="AU118" s="79"/>
      <c r="AV118" s="79">
        <v>0</v>
      </c>
      <c r="AW118" s="79"/>
      <c r="AX118" s="79" t="b">
        <v>0</v>
      </c>
      <c r="AY118" s="79" t="s">
        <v>1211</v>
      </c>
      <c r="AZ118" s="83" t="str">
        <f>HYPERLINK("https://twitter.com/diakonstefanos")</f>
        <v>https://twitter.com/diakonstefanos</v>
      </c>
      <c r="BA118" s="79" t="s">
        <v>66</v>
      </c>
      <c r="BB118" s="79" t="str">
        <f>REPLACE(INDEX(GroupVertices[Group],MATCH(Vertices[[#This Row],[Vertex]],GroupVertices[Vertex],0)),1,1,"")</f>
        <v>2</v>
      </c>
      <c r="BC118" s="49" t="s">
        <v>1361</v>
      </c>
      <c r="BD118" s="49" t="s">
        <v>1361</v>
      </c>
      <c r="BE118" s="49" t="s">
        <v>444</v>
      </c>
      <c r="BF118" s="49" t="s">
        <v>444</v>
      </c>
      <c r="BG118" s="49" t="s">
        <v>460</v>
      </c>
      <c r="BH118" s="49" t="s">
        <v>460</v>
      </c>
      <c r="BI118" s="108" t="s">
        <v>1765</v>
      </c>
      <c r="BJ118" s="108" t="s">
        <v>1765</v>
      </c>
      <c r="BK118" s="108" t="s">
        <v>1802</v>
      </c>
      <c r="BL118" s="108" t="s">
        <v>1802</v>
      </c>
      <c r="BM118" s="108">
        <v>0</v>
      </c>
      <c r="BN118" s="111">
        <v>0</v>
      </c>
      <c r="BO118" s="108">
        <v>0</v>
      </c>
      <c r="BP118" s="111">
        <v>0</v>
      </c>
      <c r="BQ118" s="108">
        <v>0</v>
      </c>
      <c r="BR118" s="111">
        <v>0</v>
      </c>
      <c r="BS118" s="108">
        <v>13</v>
      </c>
      <c r="BT118" s="111">
        <v>100</v>
      </c>
      <c r="BU118" s="108">
        <v>13</v>
      </c>
      <c r="BV118" s="2"/>
      <c r="BW118" s="3"/>
      <c r="BX118" s="3"/>
      <c r="BY118" s="3"/>
      <c r="BZ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8"/>
    <dataValidation allowBlank="1" showInputMessage="1" promptTitle="Vertex Tooltip" prompt="Enter optional text that will pop up when the mouse is hovered over the vertex." errorTitle="Invalid Vertex Image Key" sqref="L3:L1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8"/>
    <dataValidation allowBlank="1" showInputMessage="1" promptTitle="Vertex Label Fill Color" prompt="To select an optional fill color for the Label shape, right-click and select Select Color on the right-click menu." sqref="J3:J118"/>
    <dataValidation allowBlank="1" showInputMessage="1" promptTitle="Vertex Image File" prompt="Enter the path to an image file.  Hover over the column header for examples." errorTitle="Invalid Vertex Image Key" sqref="G3:G118"/>
    <dataValidation allowBlank="1" showInputMessage="1" promptTitle="Vertex Color" prompt="To select an optional vertex color, right-click and select Select Color on the right-click menu." sqref="C3:C118"/>
    <dataValidation allowBlank="1" showInputMessage="1" promptTitle="Vertex Opacity" prompt="Enter an optional vertex opacity between 0 (transparent) and 100 (opaque)." errorTitle="Invalid Vertex Opacity" error="The optional vertex opacity must be a whole number between 0 and 10." sqref="F3:F118"/>
    <dataValidation type="list" allowBlank="1" showInputMessage="1" showErrorMessage="1" promptTitle="Vertex Shape" prompt="Select an optional vertex shape." errorTitle="Invalid Vertex Shape" error="You have entered an invalid vertex shape.  Try selecting from the drop-down list instead." sqref="D3:D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18.28125" style="0" bestFit="1" customWidth="1"/>
    <col min="34" max="34" width="22.57421875" style="0" bestFit="1" customWidth="1"/>
    <col min="35" max="35" width="18.28125" style="0" bestFit="1" customWidth="1"/>
    <col min="36" max="36" width="22.57421875" style="0" bestFit="1" customWidth="1"/>
    <col min="37" max="37" width="18.28125" style="0" bestFit="1" customWidth="1"/>
    <col min="38" max="38" width="22.57421875" style="0" bestFit="1" customWidth="1"/>
    <col min="39" max="39" width="17.28125" style="0" bestFit="1" customWidth="1"/>
    <col min="40" max="40" width="20.57421875" style="0" bestFit="1" customWidth="1"/>
    <col min="41" max="41" width="15.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1406</v>
      </c>
      <c r="Z2" s="13" t="s">
        <v>1425</v>
      </c>
      <c r="AA2" s="13" t="s">
        <v>1449</v>
      </c>
      <c r="AB2" s="13" t="s">
        <v>1525</v>
      </c>
      <c r="AC2" s="13" t="s">
        <v>1635</v>
      </c>
      <c r="AD2" s="13" t="s">
        <v>1671</v>
      </c>
      <c r="AE2" s="13" t="s">
        <v>1672</v>
      </c>
      <c r="AF2" s="13" t="s">
        <v>1692</v>
      </c>
      <c r="AG2" s="54" t="s">
        <v>2073</v>
      </c>
      <c r="AH2" s="54" t="s">
        <v>2074</v>
      </c>
      <c r="AI2" s="54" t="s">
        <v>2075</v>
      </c>
      <c r="AJ2" s="54" t="s">
        <v>2076</v>
      </c>
      <c r="AK2" s="54" t="s">
        <v>2077</v>
      </c>
      <c r="AL2" s="54" t="s">
        <v>2078</v>
      </c>
      <c r="AM2" s="54" t="s">
        <v>2079</v>
      </c>
      <c r="AN2" s="54" t="s">
        <v>2080</v>
      </c>
      <c r="AO2" s="54" t="s">
        <v>2083</v>
      </c>
    </row>
    <row r="3" spans="1:41" ht="15">
      <c r="A3" s="65" t="s">
        <v>1330</v>
      </c>
      <c r="B3" s="66" t="s">
        <v>1343</v>
      </c>
      <c r="C3" s="66" t="s">
        <v>56</v>
      </c>
      <c r="D3" s="14"/>
      <c r="E3" s="14"/>
      <c r="F3" s="15" t="s">
        <v>2158</v>
      </c>
      <c r="G3" s="64"/>
      <c r="H3" s="64"/>
      <c r="I3" s="78">
        <v>3</v>
      </c>
      <c r="J3" s="51"/>
      <c r="K3" s="49">
        <v>51</v>
      </c>
      <c r="L3" s="49">
        <v>69</v>
      </c>
      <c r="M3" s="49">
        <v>24</v>
      </c>
      <c r="N3" s="49">
        <v>93</v>
      </c>
      <c r="O3" s="49">
        <v>22</v>
      </c>
      <c r="P3" s="50">
        <v>0.13114754098360656</v>
      </c>
      <c r="Q3" s="50">
        <v>0.2318840579710145</v>
      </c>
      <c r="R3" s="49">
        <v>1</v>
      </c>
      <c r="S3" s="49">
        <v>0</v>
      </c>
      <c r="T3" s="49">
        <v>51</v>
      </c>
      <c r="U3" s="49">
        <v>93</v>
      </c>
      <c r="V3" s="49">
        <v>2</v>
      </c>
      <c r="W3" s="50">
        <v>1.913879</v>
      </c>
      <c r="X3" s="50">
        <v>0.027058823529411764</v>
      </c>
      <c r="Y3" s="79" t="s">
        <v>1407</v>
      </c>
      <c r="Z3" s="79" t="s">
        <v>1426</v>
      </c>
      <c r="AA3" s="79" t="s">
        <v>454</v>
      </c>
      <c r="AB3" s="87" t="s">
        <v>1526</v>
      </c>
      <c r="AC3" s="87" t="s">
        <v>1636</v>
      </c>
      <c r="AD3" s="87"/>
      <c r="AE3" s="87" t="s">
        <v>1673</v>
      </c>
      <c r="AF3" s="87" t="s">
        <v>1693</v>
      </c>
      <c r="AG3" s="108">
        <v>93</v>
      </c>
      <c r="AH3" s="111">
        <v>3.2191069574247146</v>
      </c>
      <c r="AI3" s="108">
        <v>5</v>
      </c>
      <c r="AJ3" s="111">
        <v>0.17307026652821045</v>
      </c>
      <c r="AK3" s="108">
        <v>0</v>
      </c>
      <c r="AL3" s="111">
        <v>0</v>
      </c>
      <c r="AM3" s="108">
        <v>2791</v>
      </c>
      <c r="AN3" s="111">
        <v>96.60782277604707</v>
      </c>
      <c r="AO3" s="108">
        <v>2889</v>
      </c>
    </row>
    <row r="4" spans="1:41" ht="15">
      <c r="A4" s="65" t="s">
        <v>1331</v>
      </c>
      <c r="B4" s="66" t="s">
        <v>1344</v>
      </c>
      <c r="C4" s="66" t="s">
        <v>56</v>
      </c>
      <c r="D4" s="14"/>
      <c r="E4" s="14"/>
      <c r="F4" s="15" t="s">
        <v>2159</v>
      </c>
      <c r="G4" s="64"/>
      <c r="H4" s="64"/>
      <c r="I4" s="78">
        <v>4</v>
      </c>
      <c r="J4" s="78"/>
      <c r="K4" s="49">
        <v>14</v>
      </c>
      <c r="L4" s="49">
        <v>16</v>
      </c>
      <c r="M4" s="49">
        <v>2</v>
      </c>
      <c r="N4" s="49">
        <v>18</v>
      </c>
      <c r="O4" s="49">
        <v>1</v>
      </c>
      <c r="P4" s="50">
        <v>0</v>
      </c>
      <c r="Q4" s="50">
        <v>0</v>
      </c>
      <c r="R4" s="49">
        <v>1</v>
      </c>
      <c r="S4" s="49">
        <v>0</v>
      </c>
      <c r="T4" s="49">
        <v>14</v>
      </c>
      <c r="U4" s="49">
        <v>18</v>
      </c>
      <c r="V4" s="49">
        <v>2</v>
      </c>
      <c r="W4" s="50">
        <v>1.693878</v>
      </c>
      <c r="X4" s="50">
        <v>0.08791208791208792</v>
      </c>
      <c r="Y4" s="79" t="s">
        <v>1408</v>
      </c>
      <c r="Z4" s="79" t="s">
        <v>1427</v>
      </c>
      <c r="AA4" s="79" t="s">
        <v>1450</v>
      </c>
      <c r="AB4" s="87" t="s">
        <v>1527</v>
      </c>
      <c r="AC4" s="87" t="s">
        <v>1637</v>
      </c>
      <c r="AD4" s="87"/>
      <c r="AE4" s="87" t="s">
        <v>1674</v>
      </c>
      <c r="AF4" s="87" t="s">
        <v>1694</v>
      </c>
      <c r="AG4" s="108">
        <v>7</v>
      </c>
      <c r="AH4" s="111">
        <v>3.056768558951965</v>
      </c>
      <c r="AI4" s="108">
        <v>0</v>
      </c>
      <c r="AJ4" s="111">
        <v>0</v>
      </c>
      <c r="AK4" s="108">
        <v>0</v>
      </c>
      <c r="AL4" s="111">
        <v>0</v>
      </c>
      <c r="AM4" s="108">
        <v>222</v>
      </c>
      <c r="AN4" s="111">
        <v>96.94323144104804</v>
      </c>
      <c r="AO4" s="108">
        <v>229</v>
      </c>
    </row>
    <row r="5" spans="1:41" ht="15">
      <c r="A5" s="65" t="s">
        <v>1332</v>
      </c>
      <c r="B5" s="66" t="s">
        <v>1345</v>
      </c>
      <c r="C5" s="66" t="s">
        <v>56</v>
      </c>
      <c r="D5" s="14"/>
      <c r="E5" s="14"/>
      <c r="F5" s="15" t="s">
        <v>2160</v>
      </c>
      <c r="G5" s="64"/>
      <c r="H5" s="64"/>
      <c r="I5" s="78">
        <v>5</v>
      </c>
      <c r="J5" s="78"/>
      <c r="K5" s="49">
        <v>10</v>
      </c>
      <c r="L5" s="49">
        <v>13</v>
      </c>
      <c r="M5" s="49">
        <v>0</v>
      </c>
      <c r="N5" s="49">
        <v>13</v>
      </c>
      <c r="O5" s="49">
        <v>0</v>
      </c>
      <c r="P5" s="50">
        <v>0.08333333333333333</v>
      </c>
      <c r="Q5" s="50">
        <v>0.15384615384615385</v>
      </c>
      <c r="R5" s="49">
        <v>1</v>
      </c>
      <c r="S5" s="49">
        <v>0</v>
      </c>
      <c r="T5" s="49">
        <v>10</v>
      </c>
      <c r="U5" s="49">
        <v>13</v>
      </c>
      <c r="V5" s="49">
        <v>4</v>
      </c>
      <c r="W5" s="50">
        <v>2.16</v>
      </c>
      <c r="X5" s="50">
        <v>0.14444444444444443</v>
      </c>
      <c r="Y5" s="79" t="s">
        <v>1409</v>
      </c>
      <c r="Z5" s="79" t="s">
        <v>444</v>
      </c>
      <c r="AA5" s="79" t="s">
        <v>1451</v>
      </c>
      <c r="AB5" s="87" t="s">
        <v>1528</v>
      </c>
      <c r="AC5" s="87" t="s">
        <v>1638</v>
      </c>
      <c r="AD5" s="87"/>
      <c r="AE5" s="87" t="s">
        <v>1675</v>
      </c>
      <c r="AF5" s="87" t="s">
        <v>1695</v>
      </c>
      <c r="AG5" s="108">
        <v>10</v>
      </c>
      <c r="AH5" s="111">
        <v>2.7472527472527473</v>
      </c>
      <c r="AI5" s="108">
        <v>0</v>
      </c>
      <c r="AJ5" s="111">
        <v>0</v>
      </c>
      <c r="AK5" s="108">
        <v>0</v>
      </c>
      <c r="AL5" s="111">
        <v>0</v>
      </c>
      <c r="AM5" s="108">
        <v>354</v>
      </c>
      <c r="AN5" s="111">
        <v>97.25274725274726</v>
      </c>
      <c r="AO5" s="108">
        <v>364</v>
      </c>
    </row>
    <row r="6" spans="1:41" ht="15">
      <c r="A6" s="65" t="s">
        <v>1333</v>
      </c>
      <c r="B6" s="66" t="s">
        <v>1346</v>
      </c>
      <c r="C6" s="66" t="s">
        <v>56</v>
      </c>
      <c r="D6" s="14"/>
      <c r="E6" s="14"/>
      <c r="F6" s="15" t="s">
        <v>2161</v>
      </c>
      <c r="G6" s="64"/>
      <c r="H6" s="64"/>
      <c r="I6" s="78">
        <v>6</v>
      </c>
      <c r="J6" s="78"/>
      <c r="K6" s="49">
        <v>8</v>
      </c>
      <c r="L6" s="49">
        <v>7</v>
      </c>
      <c r="M6" s="49">
        <v>0</v>
      </c>
      <c r="N6" s="49">
        <v>7</v>
      </c>
      <c r="O6" s="49">
        <v>0</v>
      </c>
      <c r="P6" s="50">
        <v>0</v>
      </c>
      <c r="Q6" s="50">
        <v>0</v>
      </c>
      <c r="R6" s="49">
        <v>1</v>
      </c>
      <c r="S6" s="49">
        <v>0</v>
      </c>
      <c r="T6" s="49">
        <v>8</v>
      </c>
      <c r="U6" s="49">
        <v>7</v>
      </c>
      <c r="V6" s="49">
        <v>2</v>
      </c>
      <c r="W6" s="50">
        <v>1.53125</v>
      </c>
      <c r="X6" s="50">
        <v>0.125</v>
      </c>
      <c r="Y6" s="79" t="s">
        <v>1359</v>
      </c>
      <c r="Z6" s="79" t="s">
        <v>444</v>
      </c>
      <c r="AA6" s="79" t="s">
        <v>449</v>
      </c>
      <c r="AB6" s="87" t="s">
        <v>1529</v>
      </c>
      <c r="AC6" s="87" t="s">
        <v>1639</v>
      </c>
      <c r="AD6" s="87"/>
      <c r="AE6" s="87" t="s">
        <v>307</v>
      </c>
      <c r="AF6" s="87" t="s">
        <v>1696</v>
      </c>
      <c r="AG6" s="108">
        <v>21</v>
      </c>
      <c r="AH6" s="111">
        <v>9.67741935483871</v>
      </c>
      <c r="AI6" s="108">
        <v>0</v>
      </c>
      <c r="AJ6" s="111">
        <v>0</v>
      </c>
      <c r="AK6" s="108">
        <v>0</v>
      </c>
      <c r="AL6" s="111">
        <v>0</v>
      </c>
      <c r="AM6" s="108">
        <v>196</v>
      </c>
      <c r="AN6" s="111">
        <v>90.3225806451613</v>
      </c>
      <c r="AO6" s="108">
        <v>217</v>
      </c>
    </row>
    <row r="7" spans="1:41" ht="15">
      <c r="A7" s="65" t="s">
        <v>1334</v>
      </c>
      <c r="B7" s="66" t="s">
        <v>1347</v>
      </c>
      <c r="C7" s="66" t="s">
        <v>56</v>
      </c>
      <c r="D7" s="14"/>
      <c r="E7" s="14"/>
      <c r="F7" s="15" t="s">
        <v>2162</v>
      </c>
      <c r="G7" s="64"/>
      <c r="H7" s="64"/>
      <c r="I7" s="78">
        <v>7</v>
      </c>
      <c r="J7" s="78"/>
      <c r="K7" s="49">
        <v>5</v>
      </c>
      <c r="L7" s="49">
        <v>6</v>
      </c>
      <c r="M7" s="49">
        <v>0</v>
      </c>
      <c r="N7" s="49">
        <v>6</v>
      </c>
      <c r="O7" s="49">
        <v>0</v>
      </c>
      <c r="P7" s="50">
        <v>0</v>
      </c>
      <c r="Q7" s="50">
        <v>0</v>
      </c>
      <c r="R7" s="49">
        <v>1</v>
      </c>
      <c r="S7" s="49">
        <v>0</v>
      </c>
      <c r="T7" s="49">
        <v>5</v>
      </c>
      <c r="U7" s="49">
        <v>6</v>
      </c>
      <c r="V7" s="49">
        <v>2</v>
      </c>
      <c r="W7" s="50">
        <v>1.12</v>
      </c>
      <c r="X7" s="50">
        <v>0.3</v>
      </c>
      <c r="Y7" s="79" t="s">
        <v>1410</v>
      </c>
      <c r="Z7" s="79" t="s">
        <v>1428</v>
      </c>
      <c r="AA7" s="79" t="s">
        <v>450</v>
      </c>
      <c r="AB7" s="87" t="s">
        <v>1530</v>
      </c>
      <c r="AC7" s="87" t="s">
        <v>1640</v>
      </c>
      <c r="AD7" s="87"/>
      <c r="AE7" s="87" t="s">
        <v>1676</v>
      </c>
      <c r="AF7" s="87" t="s">
        <v>1697</v>
      </c>
      <c r="AG7" s="108">
        <v>4</v>
      </c>
      <c r="AH7" s="111">
        <v>3.10077519379845</v>
      </c>
      <c r="AI7" s="108">
        <v>0</v>
      </c>
      <c r="AJ7" s="111">
        <v>0</v>
      </c>
      <c r="AK7" s="108">
        <v>0</v>
      </c>
      <c r="AL7" s="111">
        <v>0</v>
      </c>
      <c r="AM7" s="108">
        <v>125</v>
      </c>
      <c r="AN7" s="111">
        <v>96.89922480620154</v>
      </c>
      <c r="AO7" s="108">
        <v>129</v>
      </c>
    </row>
    <row r="8" spans="1:41" ht="15">
      <c r="A8" s="65" t="s">
        <v>1335</v>
      </c>
      <c r="B8" s="66" t="s">
        <v>1348</v>
      </c>
      <c r="C8" s="66" t="s">
        <v>56</v>
      </c>
      <c r="D8" s="14"/>
      <c r="E8" s="14"/>
      <c r="F8" s="15" t="s">
        <v>2163</v>
      </c>
      <c r="G8" s="64"/>
      <c r="H8" s="64"/>
      <c r="I8" s="78">
        <v>8</v>
      </c>
      <c r="J8" s="78"/>
      <c r="K8" s="49">
        <v>5</v>
      </c>
      <c r="L8" s="49">
        <v>6</v>
      </c>
      <c r="M8" s="49">
        <v>0</v>
      </c>
      <c r="N8" s="49">
        <v>6</v>
      </c>
      <c r="O8" s="49">
        <v>0</v>
      </c>
      <c r="P8" s="50">
        <v>0</v>
      </c>
      <c r="Q8" s="50">
        <v>0</v>
      </c>
      <c r="R8" s="49">
        <v>1</v>
      </c>
      <c r="S8" s="49">
        <v>0</v>
      </c>
      <c r="T8" s="49">
        <v>5</v>
      </c>
      <c r="U8" s="49">
        <v>6</v>
      </c>
      <c r="V8" s="49">
        <v>2</v>
      </c>
      <c r="W8" s="50">
        <v>1.12</v>
      </c>
      <c r="X8" s="50">
        <v>0.3</v>
      </c>
      <c r="Y8" s="79" t="s">
        <v>1367</v>
      </c>
      <c r="Z8" s="79" t="s">
        <v>444</v>
      </c>
      <c r="AA8" s="79" t="s">
        <v>451</v>
      </c>
      <c r="AB8" s="87" t="s">
        <v>1531</v>
      </c>
      <c r="AC8" s="87" t="s">
        <v>1641</v>
      </c>
      <c r="AD8" s="87"/>
      <c r="AE8" s="87" t="s">
        <v>1677</v>
      </c>
      <c r="AF8" s="87" t="s">
        <v>1698</v>
      </c>
      <c r="AG8" s="108">
        <v>3</v>
      </c>
      <c r="AH8" s="111">
        <v>2.7777777777777777</v>
      </c>
      <c r="AI8" s="108">
        <v>0</v>
      </c>
      <c r="AJ8" s="111">
        <v>0</v>
      </c>
      <c r="AK8" s="108">
        <v>0</v>
      </c>
      <c r="AL8" s="111">
        <v>0</v>
      </c>
      <c r="AM8" s="108">
        <v>105</v>
      </c>
      <c r="AN8" s="111">
        <v>97.22222222222223</v>
      </c>
      <c r="AO8" s="108">
        <v>108</v>
      </c>
    </row>
    <row r="9" spans="1:41" ht="15">
      <c r="A9" s="65" t="s">
        <v>1336</v>
      </c>
      <c r="B9" s="66" t="s">
        <v>1349</v>
      </c>
      <c r="C9" s="66" t="s">
        <v>56</v>
      </c>
      <c r="D9" s="14"/>
      <c r="E9" s="14"/>
      <c r="F9" s="15" t="s">
        <v>2164</v>
      </c>
      <c r="G9" s="64"/>
      <c r="H9" s="64"/>
      <c r="I9" s="78">
        <v>9</v>
      </c>
      <c r="J9" s="78"/>
      <c r="K9" s="49">
        <v>4</v>
      </c>
      <c r="L9" s="49">
        <v>4</v>
      </c>
      <c r="M9" s="49">
        <v>0</v>
      </c>
      <c r="N9" s="49">
        <v>4</v>
      </c>
      <c r="O9" s="49">
        <v>1</v>
      </c>
      <c r="P9" s="50">
        <v>0</v>
      </c>
      <c r="Q9" s="50">
        <v>0</v>
      </c>
      <c r="R9" s="49">
        <v>1</v>
      </c>
      <c r="S9" s="49">
        <v>0</v>
      </c>
      <c r="T9" s="49">
        <v>4</v>
      </c>
      <c r="U9" s="49">
        <v>4</v>
      </c>
      <c r="V9" s="49">
        <v>2</v>
      </c>
      <c r="W9" s="50">
        <v>1.125</v>
      </c>
      <c r="X9" s="50">
        <v>0.25</v>
      </c>
      <c r="Y9" s="79"/>
      <c r="Z9" s="79"/>
      <c r="AA9" s="79" t="s">
        <v>451</v>
      </c>
      <c r="AB9" s="87" t="s">
        <v>1532</v>
      </c>
      <c r="AC9" s="87" t="s">
        <v>1642</v>
      </c>
      <c r="AD9" s="87"/>
      <c r="AE9" s="87"/>
      <c r="AF9" s="87" t="s">
        <v>1699</v>
      </c>
      <c r="AG9" s="108">
        <v>8</v>
      </c>
      <c r="AH9" s="111">
        <v>5.714285714285714</v>
      </c>
      <c r="AI9" s="108">
        <v>0</v>
      </c>
      <c r="AJ9" s="111">
        <v>0</v>
      </c>
      <c r="AK9" s="108">
        <v>0</v>
      </c>
      <c r="AL9" s="111">
        <v>0</v>
      </c>
      <c r="AM9" s="108">
        <v>132</v>
      </c>
      <c r="AN9" s="111">
        <v>94.28571428571429</v>
      </c>
      <c r="AO9" s="108">
        <v>140</v>
      </c>
    </row>
    <row r="10" spans="1:41" ht="14.25" customHeight="1">
      <c r="A10" s="65" t="s">
        <v>1337</v>
      </c>
      <c r="B10" s="66" t="s">
        <v>1350</v>
      </c>
      <c r="C10" s="66" t="s">
        <v>56</v>
      </c>
      <c r="D10" s="14"/>
      <c r="E10" s="14"/>
      <c r="F10" s="15" t="s">
        <v>2165</v>
      </c>
      <c r="G10" s="64"/>
      <c r="H10" s="64"/>
      <c r="I10" s="78">
        <v>10</v>
      </c>
      <c r="J10" s="78"/>
      <c r="K10" s="49">
        <v>4</v>
      </c>
      <c r="L10" s="49">
        <v>4</v>
      </c>
      <c r="M10" s="49">
        <v>0</v>
      </c>
      <c r="N10" s="49">
        <v>4</v>
      </c>
      <c r="O10" s="49">
        <v>1</v>
      </c>
      <c r="P10" s="50">
        <v>0</v>
      </c>
      <c r="Q10" s="50">
        <v>0</v>
      </c>
      <c r="R10" s="49">
        <v>1</v>
      </c>
      <c r="S10" s="49">
        <v>0</v>
      </c>
      <c r="T10" s="49">
        <v>4</v>
      </c>
      <c r="U10" s="49">
        <v>4</v>
      </c>
      <c r="V10" s="49">
        <v>2</v>
      </c>
      <c r="W10" s="50">
        <v>1.125</v>
      </c>
      <c r="X10" s="50">
        <v>0.25</v>
      </c>
      <c r="Y10" s="79" t="s">
        <v>1411</v>
      </c>
      <c r="Z10" s="79" t="s">
        <v>1428</v>
      </c>
      <c r="AA10" s="79" t="s">
        <v>453</v>
      </c>
      <c r="AB10" s="87" t="s">
        <v>1533</v>
      </c>
      <c r="AC10" s="87" t="s">
        <v>1643</v>
      </c>
      <c r="AD10" s="87"/>
      <c r="AE10" s="87" t="s">
        <v>1678</v>
      </c>
      <c r="AF10" s="87" t="s">
        <v>1700</v>
      </c>
      <c r="AG10" s="108">
        <v>2</v>
      </c>
      <c r="AH10" s="111">
        <v>1.9230769230769231</v>
      </c>
      <c r="AI10" s="108">
        <v>1</v>
      </c>
      <c r="AJ10" s="111">
        <v>0.9615384615384616</v>
      </c>
      <c r="AK10" s="108">
        <v>0</v>
      </c>
      <c r="AL10" s="111">
        <v>0</v>
      </c>
      <c r="AM10" s="108">
        <v>101</v>
      </c>
      <c r="AN10" s="111">
        <v>97.11538461538461</v>
      </c>
      <c r="AO10" s="108">
        <v>104</v>
      </c>
    </row>
    <row r="11" spans="1:41" ht="15">
      <c r="A11" s="65" t="s">
        <v>1338</v>
      </c>
      <c r="B11" s="66" t="s">
        <v>1351</v>
      </c>
      <c r="C11" s="66" t="s">
        <v>56</v>
      </c>
      <c r="D11" s="14"/>
      <c r="E11" s="14"/>
      <c r="F11" s="15" t="s">
        <v>2166</v>
      </c>
      <c r="G11" s="64"/>
      <c r="H11" s="64"/>
      <c r="I11" s="78">
        <v>11</v>
      </c>
      <c r="J11" s="78"/>
      <c r="K11" s="49">
        <v>4</v>
      </c>
      <c r="L11" s="49">
        <v>5</v>
      </c>
      <c r="M11" s="49">
        <v>0</v>
      </c>
      <c r="N11" s="49">
        <v>5</v>
      </c>
      <c r="O11" s="49">
        <v>0</v>
      </c>
      <c r="P11" s="50">
        <v>0</v>
      </c>
      <c r="Q11" s="50">
        <v>0</v>
      </c>
      <c r="R11" s="49">
        <v>1</v>
      </c>
      <c r="S11" s="49">
        <v>0</v>
      </c>
      <c r="T11" s="49">
        <v>4</v>
      </c>
      <c r="U11" s="49">
        <v>5</v>
      </c>
      <c r="V11" s="49">
        <v>2</v>
      </c>
      <c r="W11" s="50">
        <v>0.875</v>
      </c>
      <c r="X11" s="50">
        <v>0.4166666666666667</v>
      </c>
      <c r="Y11" s="79" t="s">
        <v>1363</v>
      </c>
      <c r="Z11" s="79" t="s">
        <v>444</v>
      </c>
      <c r="AA11" s="79" t="s">
        <v>449</v>
      </c>
      <c r="AB11" s="87" t="s">
        <v>1534</v>
      </c>
      <c r="AC11" s="87" t="s">
        <v>1644</v>
      </c>
      <c r="AD11" s="87"/>
      <c r="AE11" s="87" t="s">
        <v>1679</v>
      </c>
      <c r="AF11" s="87" t="s">
        <v>1701</v>
      </c>
      <c r="AG11" s="108">
        <v>6</v>
      </c>
      <c r="AH11" s="111">
        <v>5.882352941176471</v>
      </c>
      <c r="AI11" s="108">
        <v>0</v>
      </c>
      <c r="AJ11" s="111">
        <v>0</v>
      </c>
      <c r="AK11" s="108">
        <v>0</v>
      </c>
      <c r="AL11" s="111">
        <v>0</v>
      </c>
      <c r="AM11" s="108">
        <v>96</v>
      </c>
      <c r="AN11" s="111">
        <v>94.11764705882354</v>
      </c>
      <c r="AO11" s="108">
        <v>102</v>
      </c>
    </row>
    <row r="12" spans="1:41" ht="15">
      <c r="A12" s="65" t="s">
        <v>1339</v>
      </c>
      <c r="B12" s="66" t="s">
        <v>1352</v>
      </c>
      <c r="C12" s="66" t="s">
        <v>56</v>
      </c>
      <c r="D12" s="14"/>
      <c r="E12" s="14"/>
      <c r="F12" s="15" t="s">
        <v>2167</v>
      </c>
      <c r="G12" s="64"/>
      <c r="H12" s="64"/>
      <c r="I12" s="78">
        <v>12</v>
      </c>
      <c r="J12" s="78"/>
      <c r="K12" s="49">
        <v>3</v>
      </c>
      <c r="L12" s="49">
        <v>4</v>
      </c>
      <c r="M12" s="49">
        <v>0</v>
      </c>
      <c r="N12" s="49">
        <v>4</v>
      </c>
      <c r="O12" s="49">
        <v>0</v>
      </c>
      <c r="P12" s="50">
        <v>0.3333333333333333</v>
      </c>
      <c r="Q12" s="50">
        <v>0.5</v>
      </c>
      <c r="R12" s="49">
        <v>1</v>
      </c>
      <c r="S12" s="49">
        <v>0</v>
      </c>
      <c r="T12" s="49">
        <v>3</v>
      </c>
      <c r="U12" s="49">
        <v>4</v>
      </c>
      <c r="V12" s="49">
        <v>1</v>
      </c>
      <c r="W12" s="50">
        <v>0.666667</v>
      </c>
      <c r="X12" s="50">
        <v>0.6666666666666666</v>
      </c>
      <c r="Y12" s="79" t="s">
        <v>1365</v>
      </c>
      <c r="Z12" s="79" t="s">
        <v>444</v>
      </c>
      <c r="AA12" s="79" t="s">
        <v>455</v>
      </c>
      <c r="AB12" s="87" t="s">
        <v>1535</v>
      </c>
      <c r="AC12" s="87" t="s">
        <v>1645</v>
      </c>
      <c r="AD12" s="87"/>
      <c r="AE12" s="87" t="s">
        <v>1680</v>
      </c>
      <c r="AF12" s="87" t="s">
        <v>1702</v>
      </c>
      <c r="AG12" s="108">
        <v>3</v>
      </c>
      <c r="AH12" s="111">
        <v>3.4482758620689653</v>
      </c>
      <c r="AI12" s="108">
        <v>0</v>
      </c>
      <c r="AJ12" s="111">
        <v>0</v>
      </c>
      <c r="AK12" s="108">
        <v>0</v>
      </c>
      <c r="AL12" s="111">
        <v>0</v>
      </c>
      <c r="AM12" s="108">
        <v>84</v>
      </c>
      <c r="AN12" s="111">
        <v>96.55172413793103</v>
      </c>
      <c r="AO12" s="108">
        <v>87</v>
      </c>
    </row>
    <row r="13" spans="1:41" ht="15">
      <c r="A13" s="65" t="s">
        <v>1340</v>
      </c>
      <c r="B13" s="66" t="s">
        <v>1353</v>
      </c>
      <c r="C13" s="66" t="s">
        <v>56</v>
      </c>
      <c r="D13" s="14"/>
      <c r="E13" s="14"/>
      <c r="F13" s="15" t="s">
        <v>2168</v>
      </c>
      <c r="G13" s="64"/>
      <c r="H13" s="64"/>
      <c r="I13" s="78">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79" t="s">
        <v>1412</v>
      </c>
      <c r="Z13" s="79" t="s">
        <v>444</v>
      </c>
      <c r="AA13" s="79" t="s">
        <v>450</v>
      </c>
      <c r="AB13" s="87" t="s">
        <v>1536</v>
      </c>
      <c r="AC13" s="87" t="s">
        <v>1646</v>
      </c>
      <c r="AD13" s="87"/>
      <c r="AE13" s="87" t="s">
        <v>304</v>
      </c>
      <c r="AF13" s="87" t="s">
        <v>1703</v>
      </c>
      <c r="AG13" s="108">
        <v>4</v>
      </c>
      <c r="AH13" s="111">
        <v>6.451612903225806</v>
      </c>
      <c r="AI13" s="108">
        <v>2</v>
      </c>
      <c r="AJ13" s="111">
        <v>3.225806451612903</v>
      </c>
      <c r="AK13" s="108">
        <v>0</v>
      </c>
      <c r="AL13" s="111">
        <v>0</v>
      </c>
      <c r="AM13" s="108">
        <v>56</v>
      </c>
      <c r="AN13" s="111">
        <v>90.3225806451613</v>
      </c>
      <c r="AO13" s="108">
        <v>62</v>
      </c>
    </row>
    <row r="14" spans="1:41" ht="15">
      <c r="A14" s="65" t="s">
        <v>1341</v>
      </c>
      <c r="B14" s="66" t="s">
        <v>1354</v>
      </c>
      <c r="C14" s="66" t="s">
        <v>56</v>
      </c>
      <c r="D14" s="14"/>
      <c r="E14" s="14"/>
      <c r="F14" s="15" t="s">
        <v>2169</v>
      </c>
      <c r="G14" s="64"/>
      <c r="H14" s="64"/>
      <c r="I14" s="78">
        <v>14</v>
      </c>
      <c r="J14" s="78"/>
      <c r="K14" s="49">
        <v>3</v>
      </c>
      <c r="L14" s="49">
        <v>2</v>
      </c>
      <c r="M14" s="49">
        <v>3</v>
      </c>
      <c r="N14" s="49">
        <v>5</v>
      </c>
      <c r="O14" s="49">
        <v>3</v>
      </c>
      <c r="P14" s="50">
        <v>0</v>
      </c>
      <c r="Q14" s="50">
        <v>0</v>
      </c>
      <c r="R14" s="49">
        <v>1</v>
      </c>
      <c r="S14" s="49">
        <v>0</v>
      </c>
      <c r="T14" s="49">
        <v>3</v>
      </c>
      <c r="U14" s="49">
        <v>5</v>
      </c>
      <c r="V14" s="49">
        <v>2</v>
      </c>
      <c r="W14" s="50">
        <v>0.888889</v>
      </c>
      <c r="X14" s="50">
        <v>0.3333333333333333</v>
      </c>
      <c r="Y14" s="79" t="s">
        <v>1362</v>
      </c>
      <c r="Z14" s="79" t="s">
        <v>444</v>
      </c>
      <c r="AA14" s="79" t="s">
        <v>454</v>
      </c>
      <c r="AB14" s="87" t="s">
        <v>1537</v>
      </c>
      <c r="AC14" s="87" t="s">
        <v>1647</v>
      </c>
      <c r="AD14" s="87"/>
      <c r="AE14" s="87"/>
      <c r="AF14" s="87" t="s">
        <v>1704</v>
      </c>
      <c r="AG14" s="108">
        <v>7</v>
      </c>
      <c r="AH14" s="111">
        <v>3.867403314917127</v>
      </c>
      <c r="AI14" s="108">
        <v>0</v>
      </c>
      <c r="AJ14" s="111">
        <v>0</v>
      </c>
      <c r="AK14" s="108">
        <v>0</v>
      </c>
      <c r="AL14" s="111">
        <v>0</v>
      </c>
      <c r="AM14" s="108">
        <v>174</v>
      </c>
      <c r="AN14" s="111">
        <v>96.13259668508287</v>
      </c>
      <c r="AO14" s="108">
        <v>181</v>
      </c>
    </row>
    <row r="15" spans="1:41" ht="15">
      <c r="A15" s="65" t="s">
        <v>1342</v>
      </c>
      <c r="B15" s="66" t="s">
        <v>1343</v>
      </c>
      <c r="C15" s="66" t="s">
        <v>59</v>
      </c>
      <c r="D15" s="14"/>
      <c r="E15" s="14"/>
      <c r="F15" s="15" t="s">
        <v>2170</v>
      </c>
      <c r="G15" s="64"/>
      <c r="H15" s="64"/>
      <c r="I15" s="78">
        <v>15</v>
      </c>
      <c r="J15" s="78"/>
      <c r="K15" s="49">
        <v>2</v>
      </c>
      <c r="L15" s="49">
        <v>2</v>
      </c>
      <c r="M15" s="49">
        <v>0</v>
      </c>
      <c r="N15" s="49">
        <v>2</v>
      </c>
      <c r="O15" s="49">
        <v>1</v>
      </c>
      <c r="P15" s="50">
        <v>0</v>
      </c>
      <c r="Q15" s="50">
        <v>0</v>
      </c>
      <c r="R15" s="49">
        <v>1</v>
      </c>
      <c r="S15" s="49">
        <v>0</v>
      </c>
      <c r="T15" s="49">
        <v>2</v>
      </c>
      <c r="U15" s="49">
        <v>2</v>
      </c>
      <c r="V15" s="49">
        <v>1</v>
      </c>
      <c r="W15" s="50">
        <v>0.5</v>
      </c>
      <c r="X15" s="50">
        <v>0.5</v>
      </c>
      <c r="Y15" s="79" t="s">
        <v>442</v>
      </c>
      <c r="Z15" s="79" t="s">
        <v>446</v>
      </c>
      <c r="AA15" s="79" t="s">
        <v>450</v>
      </c>
      <c r="AB15" s="87" t="s">
        <v>1538</v>
      </c>
      <c r="AC15" s="87" t="s">
        <v>1648</v>
      </c>
      <c r="AD15" s="87"/>
      <c r="AE15" s="87"/>
      <c r="AF15" s="87" t="s">
        <v>1705</v>
      </c>
      <c r="AG15" s="108">
        <v>0</v>
      </c>
      <c r="AH15" s="111">
        <v>0</v>
      </c>
      <c r="AI15" s="108">
        <v>0</v>
      </c>
      <c r="AJ15" s="111">
        <v>0</v>
      </c>
      <c r="AK15" s="108">
        <v>0</v>
      </c>
      <c r="AL15" s="111">
        <v>0</v>
      </c>
      <c r="AM15" s="108">
        <v>24</v>
      </c>
      <c r="AN15" s="111">
        <v>100</v>
      </c>
      <c r="AO15" s="108">
        <v>24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1330</v>
      </c>
      <c r="B2" s="87" t="s">
        <v>300</v>
      </c>
      <c r="C2" s="79">
        <f>VLOOKUP(GroupVertices[[#This Row],[Vertex]],Vertices[],MATCH("ID",Vertices[[#Headers],[Vertex]:[Vertex Content Word Count]],0),FALSE)</f>
        <v>117</v>
      </c>
    </row>
    <row r="3" spans="1:3" ht="15">
      <c r="A3" s="80" t="s">
        <v>1330</v>
      </c>
      <c r="B3" s="87" t="s">
        <v>350</v>
      </c>
      <c r="C3" s="79">
        <f>VLOOKUP(GroupVertices[[#This Row],[Vertex]],Vertices[],MATCH("ID",Vertices[[#Headers],[Vertex]:[Vertex Content Word Count]],0),FALSE)</f>
        <v>116</v>
      </c>
    </row>
    <row r="4" spans="1:3" ht="15">
      <c r="A4" s="80" t="s">
        <v>1330</v>
      </c>
      <c r="B4" s="87" t="s">
        <v>271</v>
      </c>
      <c r="C4" s="79">
        <f>VLOOKUP(GroupVertices[[#This Row],[Vertex]],Vertices[],MATCH("ID",Vertices[[#Headers],[Vertex]:[Vertex Content Word Count]],0),FALSE)</f>
        <v>9</v>
      </c>
    </row>
    <row r="5" spans="1:3" ht="15">
      <c r="A5" s="80" t="s">
        <v>1330</v>
      </c>
      <c r="B5" s="87" t="s">
        <v>302</v>
      </c>
      <c r="C5" s="79">
        <f>VLOOKUP(GroupVertices[[#This Row],[Vertex]],Vertices[],MATCH("ID",Vertices[[#Headers],[Vertex]:[Vertex Content Word Count]],0),FALSE)</f>
        <v>115</v>
      </c>
    </row>
    <row r="6" spans="1:3" ht="15">
      <c r="A6" s="80" t="s">
        <v>1330</v>
      </c>
      <c r="B6" s="87" t="s">
        <v>341</v>
      </c>
      <c r="C6" s="79">
        <f>VLOOKUP(GroupVertices[[#This Row],[Vertex]],Vertices[],MATCH("ID",Vertices[[#Headers],[Vertex]:[Vertex Content Word Count]],0),FALSE)</f>
        <v>97</v>
      </c>
    </row>
    <row r="7" spans="1:3" ht="15">
      <c r="A7" s="80" t="s">
        <v>1330</v>
      </c>
      <c r="B7" s="87" t="s">
        <v>340</v>
      </c>
      <c r="C7" s="79">
        <f>VLOOKUP(GroupVertices[[#This Row],[Vertex]],Vertices[],MATCH("ID",Vertices[[#Headers],[Vertex]:[Vertex Content Word Count]],0),FALSE)</f>
        <v>96</v>
      </c>
    </row>
    <row r="8" spans="1:3" ht="15">
      <c r="A8" s="80" t="s">
        <v>1330</v>
      </c>
      <c r="B8" s="87" t="s">
        <v>339</v>
      </c>
      <c r="C8" s="79">
        <f>VLOOKUP(GroupVertices[[#This Row],[Vertex]],Vertices[],MATCH("ID",Vertices[[#Headers],[Vertex]:[Vertex Content Word Count]],0),FALSE)</f>
        <v>95</v>
      </c>
    </row>
    <row r="9" spans="1:3" ht="15">
      <c r="A9" s="80" t="s">
        <v>1330</v>
      </c>
      <c r="B9" s="87" t="s">
        <v>338</v>
      </c>
      <c r="C9" s="79">
        <f>VLOOKUP(GroupVertices[[#This Row],[Vertex]],Vertices[],MATCH("ID",Vertices[[#Headers],[Vertex]:[Vertex Content Word Count]],0),FALSE)</f>
        <v>94</v>
      </c>
    </row>
    <row r="10" spans="1:3" ht="15">
      <c r="A10" s="80" t="s">
        <v>1330</v>
      </c>
      <c r="B10" s="87" t="s">
        <v>286</v>
      </c>
      <c r="C10" s="79">
        <f>VLOOKUP(GroupVertices[[#This Row],[Vertex]],Vertices[],MATCH("ID",Vertices[[#Headers],[Vertex]:[Vertex Content Word Count]],0),FALSE)</f>
        <v>93</v>
      </c>
    </row>
    <row r="11" spans="1:3" ht="15">
      <c r="A11" s="80" t="s">
        <v>1330</v>
      </c>
      <c r="B11" s="87" t="s">
        <v>337</v>
      </c>
      <c r="C11" s="79">
        <f>VLOOKUP(GroupVertices[[#This Row],[Vertex]],Vertices[],MATCH("ID",Vertices[[#Headers],[Vertex]:[Vertex Content Word Count]],0),FALSE)</f>
        <v>92</v>
      </c>
    </row>
    <row r="12" spans="1:3" ht="15">
      <c r="A12" s="80" t="s">
        <v>1330</v>
      </c>
      <c r="B12" s="87" t="s">
        <v>336</v>
      </c>
      <c r="C12" s="79">
        <f>VLOOKUP(GroupVertices[[#This Row],[Vertex]],Vertices[],MATCH("ID",Vertices[[#Headers],[Vertex]:[Vertex Content Word Count]],0),FALSE)</f>
        <v>91</v>
      </c>
    </row>
    <row r="13" spans="1:3" ht="15">
      <c r="A13" s="80" t="s">
        <v>1330</v>
      </c>
      <c r="B13" s="87" t="s">
        <v>335</v>
      </c>
      <c r="C13" s="79">
        <f>VLOOKUP(GroupVertices[[#This Row],[Vertex]],Vertices[],MATCH("ID",Vertices[[#Headers],[Vertex]:[Vertex Content Word Count]],0),FALSE)</f>
        <v>90</v>
      </c>
    </row>
    <row r="14" spans="1:3" ht="15">
      <c r="A14" s="80" t="s">
        <v>1330</v>
      </c>
      <c r="B14" s="87" t="s">
        <v>334</v>
      </c>
      <c r="C14" s="79">
        <f>VLOOKUP(GroupVertices[[#This Row],[Vertex]],Vertices[],MATCH("ID",Vertices[[#Headers],[Vertex]:[Vertex Content Word Count]],0),FALSE)</f>
        <v>89</v>
      </c>
    </row>
    <row r="15" spans="1:3" ht="15">
      <c r="A15" s="80" t="s">
        <v>1330</v>
      </c>
      <c r="B15" s="87" t="s">
        <v>333</v>
      </c>
      <c r="C15" s="79">
        <f>VLOOKUP(GroupVertices[[#This Row],[Vertex]],Vertices[],MATCH("ID",Vertices[[#Headers],[Vertex]:[Vertex Content Word Count]],0),FALSE)</f>
        <v>85</v>
      </c>
    </row>
    <row r="16" spans="1:3" ht="15">
      <c r="A16" s="80" t="s">
        <v>1330</v>
      </c>
      <c r="B16" s="87" t="s">
        <v>332</v>
      </c>
      <c r="C16" s="79">
        <f>VLOOKUP(GroupVertices[[#This Row],[Vertex]],Vertices[],MATCH("ID",Vertices[[#Headers],[Vertex]:[Vertex Content Word Count]],0),FALSE)</f>
        <v>84</v>
      </c>
    </row>
    <row r="17" spans="1:3" ht="15">
      <c r="A17" s="80" t="s">
        <v>1330</v>
      </c>
      <c r="B17" s="87" t="s">
        <v>331</v>
      </c>
      <c r="C17" s="79">
        <f>VLOOKUP(GroupVertices[[#This Row],[Vertex]],Vertices[],MATCH("ID",Vertices[[#Headers],[Vertex]:[Vertex Content Word Count]],0),FALSE)</f>
        <v>83</v>
      </c>
    </row>
    <row r="18" spans="1:3" ht="15">
      <c r="A18" s="80" t="s">
        <v>1330</v>
      </c>
      <c r="B18" s="87" t="s">
        <v>330</v>
      </c>
      <c r="C18" s="79">
        <f>VLOOKUP(GroupVertices[[#This Row],[Vertex]],Vertices[],MATCH("ID",Vertices[[#Headers],[Vertex]:[Vertex Content Word Count]],0),FALSE)</f>
        <v>82</v>
      </c>
    </row>
    <row r="19" spans="1:3" ht="15">
      <c r="A19" s="80" t="s">
        <v>1330</v>
      </c>
      <c r="B19" s="87" t="s">
        <v>329</v>
      </c>
      <c r="C19" s="79">
        <f>VLOOKUP(GroupVertices[[#This Row],[Vertex]],Vertices[],MATCH("ID",Vertices[[#Headers],[Vertex]:[Vertex Content Word Count]],0),FALSE)</f>
        <v>81</v>
      </c>
    </row>
    <row r="20" spans="1:3" ht="15">
      <c r="A20" s="80" t="s">
        <v>1330</v>
      </c>
      <c r="B20" s="87" t="s">
        <v>328</v>
      </c>
      <c r="C20" s="79">
        <f>VLOOKUP(GroupVertices[[#This Row],[Vertex]],Vertices[],MATCH("ID",Vertices[[#Headers],[Vertex]:[Vertex Content Word Count]],0),FALSE)</f>
        <v>80</v>
      </c>
    </row>
    <row r="21" spans="1:3" ht="15">
      <c r="A21" s="80" t="s">
        <v>1330</v>
      </c>
      <c r="B21" s="87" t="s">
        <v>327</v>
      </c>
      <c r="C21" s="79">
        <f>VLOOKUP(GroupVertices[[#This Row],[Vertex]],Vertices[],MATCH("ID",Vertices[[#Headers],[Vertex]:[Vertex Content Word Count]],0),FALSE)</f>
        <v>79</v>
      </c>
    </row>
    <row r="22" spans="1:3" ht="15">
      <c r="A22" s="80" t="s">
        <v>1330</v>
      </c>
      <c r="B22" s="87" t="s">
        <v>326</v>
      </c>
      <c r="C22" s="79">
        <f>VLOOKUP(GroupVertices[[#This Row],[Vertex]],Vertices[],MATCH("ID",Vertices[[#Headers],[Vertex]:[Vertex Content Word Count]],0),FALSE)</f>
        <v>78</v>
      </c>
    </row>
    <row r="23" spans="1:3" ht="15">
      <c r="A23" s="80" t="s">
        <v>1330</v>
      </c>
      <c r="B23" s="87" t="s">
        <v>325</v>
      </c>
      <c r="C23" s="79">
        <f>VLOOKUP(GroupVertices[[#This Row],[Vertex]],Vertices[],MATCH("ID",Vertices[[#Headers],[Vertex]:[Vertex Content Word Count]],0),FALSE)</f>
        <v>77</v>
      </c>
    </row>
    <row r="24" spans="1:3" ht="15">
      <c r="A24" s="80" t="s">
        <v>1330</v>
      </c>
      <c r="B24" s="87" t="s">
        <v>323</v>
      </c>
      <c r="C24" s="79">
        <f>VLOOKUP(GroupVertices[[#This Row],[Vertex]],Vertices[],MATCH("ID",Vertices[[#Headers],[Vertex]:[Vertex Content Word Count]],0),FALSE)</f>
        <v>73</v>
      </c>
    </row>
    <row r="25" spans="1:3" ht="15">
      <c r="A25" s="80" t="s">
        <v>1330</v>
      </c>
      <c r="B25" s="87" t="s">
        <v>322</v>
      </c>
      <c r="C25" s="79">
        <f>VLOOKUP(GroupVertices[[#This Row],[Vertex]],Vertices[],MATCH("ID",Vertices[[#Headers],[Vertex]:[Vertex Content Word Count]],0),FALSE)</f>
        <v>72</v>
      </c>
    </row>
    <row r="26" spans="1:3" ht="15">
      <c r="A26" s="80" t="s">
        <v>1330</v>
      </c>
      <c r="B26" s="87" t="s">
        <v>321</v>
      </c>
      <c r="C26" s="79">
        <f>VLOOKUP(GroupVertices[[#This Row],[Vertex]],Vertices[],MATCH("ID",Vertices[[#Headers],[Vertex]:[Vertex Content Word Count]],0),FALSE)</f>
        <v>71</v>
      </c>
    </row>
    <row r="27" spans="1:3" ht="15">
      <c r="A27" s="80" t="s">
        <v>1330</v>
      </c>
      <c r="B27" s="87" t="s">
        <v>320</v>
      </c>
      <c r="C27" s="79">
        <f>VLOOKUP(GroupVertices[[#This Row],[Vertex]],Vertices[],MATCH("ID",Vertices[[#Headers],[Vertex]:[Vertex Content Word Count]],0),FALSE)</f>
        <v>70</v>
      </c>
    </row>
    <row r="28" spans="1:3" ht="15">
      <c r="A28" s="80" t="s">
        <v>1330</v>
      </c>
      <c r="B28" s="87" t="s">
        <v>319</v>
      </c>
      <c r="C28" s="79">
        <f>VLOOKUP(GroupVertices[[#This Row],[Vertex]],Vertices[],MATCH("ID",Vertices[[#Headers],[Vertex]:[Vertex Content Word Count]],0),FALSE)</f>
        <v>69</v>
      </c>
    </row>
    <row r="29" spans="1:3" ht="15">
      <c r="A29" s="80" t="s">
        <v>1330</v>
      </c>
      <c r="B29" s="87" t="s">
        <v>318</v>
      </c>
      <c r="C29" s="79">
        <f>VLOOKUP(GroupVertices[[#This Row],[Vertex]],Vertices[],MATCH("ID",Vertices[[#Headers],[Vertex]:[Vertex Content Word Count]],0),FALSE)</f>
        <v>68</v>
      </c>
    </row>
    <row r="30" spans="1:3" ht="15">
      <c r="A30" s="80" t="s">
        <v>1330</v>
      </c>
      <c r="B30" s="87" t="s">
        <v>317</v>
      </c>
      <c r="C30" s="79">
        <f>VLOOKUP(GroupVertices[[#This Row],[Vertex]],Vertices[],MATCH("ID",Vertices[[#Headers],[Vertex]:[Vertex Content Word Count]],0),FALSE)</f>
        <v>67</v>
      </c>
    </row>
    <row r="31" spans="1:3" ht="15">
      <c r="A31" s="80" t="s">
        <v>1330</v>
      </c>
      <c r="B31" s="87" t="s">
        <v>281</v>
      </c>
      <c r="C31" s="79">
        <f>VLOOKUP(GroupVertices[[#This Row],[Vertex]],Vertices[],MATCH("ID",Vertices[[#Headers],[Vertex]:[Vertex Content Word Count]],0),FALSE)</f>
        <v>66</v>
      </c>
    </row>
    <row r="32" spans="1:3" ht="15">
      <c r="A32" s="80" t="s">
        <v>1330</v>
      </c>
      <c r="B32" s="87" t="s">
        <v>280</v>
      </c>
      <c r="C32" s="79">
        <f>VLOOKUP(GroupVertices[[#This Row],[Vertex]],Vertices[],MATCH("ID",Vertices[[#Headers],[Vertex]:[Vertex Content Word Count]],0),FALSE)</f>
        <v>65</v>
      </c>
    </row>
    <row r="33" spans="1:3" ht="15">
      <c r="A33" s="80" t="s">
        <v>1330</v>
      </c>
      <c r="B33" s="87" t="s">
        <v>316</v>
      </c>
      <c r="C33" s="79">
        <f>VLOOKUP(GroupVertices[[#This Row],[Vertex]],Vertices[],MATCH("ID",Vertices[[#Headers],[Vertex]:[Vertex Content Word Count]],0),FALSE)</f>
        <v>63</v>
      </c>
    </row>
    <row r="34" spans="1:3" ht="15">
      <c r="A34" s="80" t="s">
        <v>1330</v>
      </c>
      <c r="B34" s="87" t="s">
        <v>276</v>
      </c>
      <c r="C34" s="79">
        <f>VLOOKUP(GroupVertices[[#This Row],[Vertex]],Vertices[],MATCH("ID",Vertices[[#Headers],[Vertex]:[Vertex Content Word Count]],0),FALSE)</f>
        <v>62</v>
      </c>
    </row>
    <row r="35" spans="1:3" ht="15">
      <c r="A35" s="80" t="s">
        <v>1330</v>
      </c>
      <c r="B35" s="87" t="s">
        <v>315</v>
      </c>
      <c r="C35" s="79">
        <f>VLOOKUP(GroupVertices[[#This Row],[Vertex]],Vertices[],MATCH("ID",Vertices[[#Headers],[Vertex]:[Vertex Content Word Count]],0),FALSE)</f>
        <v>61</v>
      </c>
    </row>
    <row r="36" spans="1:3" ht="15">
      <c r="A36" s="80" t="s">
        <v>1330</v>
      </c>
      <c r="B36" s="87" t="s">
        <v>314</v>
      </c>
      <c r="C36" s="79">
        <f>VLOOKUP(GroupVertices[[#This Row],[Vertex]],Vertices[],MATCH("ID",Vertices[[#Headers],[Vertex]:[Vertex Content Word Count]],0),FALSE)</f>
        <v>60</v>
      </c>
    </row>
    <row r="37" spans="1:3" ht="15">
      <c r="A37" s="80" t="s">
        <v>1330</v>
      </c>
      <c r="B37" s="87" t="s">
        <v>313</v>
      </c>
      <c r="C37" s="79">
        <f>VLOOKUP(GroupVertices[[#This Row],[Vertex]],Vertices[],MATCH("ID",Vertices[[#Headers],[Vertex]:[Vertex Content Word Count]],0),FALSE)</f>
        <v>58</v>
      </c>
    </row>
    <row r="38" spans="1:3" ht="15">
      <c r="A38" s="80" t="s">
        <v>1330</v>
      </c>
      <c r="B38" s="87" t="s">
        <v>277</v>
      </c>
      <c r="C38" s="79">
        <f>VLOOKUP(GroupVertices[[#This Row],[Vertex]],Vertices[],MATCH("ID",Vertices[[#Headers],[Vertex]:[Vertex Content Word Count]],0),FALSE)</f>
        <v>57</v>
      </c>
    </row>
    <row r="39" spans="1:3" ht="15">
      <c r="A39" s="80" t="s">
        <v>1330</v>
      </c>
      <c r="B39" s="87" t="s">
        <v>270</v>
      </c>
      <c r="C39" s="79">
        <f>VLOOKUP(GroupVertices[[#This Row],[Vertex]],Vertices[],MATCH("ID",Vertices[[#Headers],[Vertex]:[Vertex Content Word Count]],0),FALSE)</f>
        <v>56</v>
      </c>
    </row>
    <row r="40" spans="1:3" ht="15">
      <c r="A40" s="80" t="s">
        <v>1330</v>
      </c>
      <c r="B40" s="87" t="s">
        <v>269</v>
      </c>
      <c r="C40" s="79">
        <f>VLOOKUP(GroupVertices[[#This Row],[Vertex]],Vertices[],MATCH("ID",Vertices[[#Headers],[Vertex]:[Vertex Content Word Count]],0),FALSE)</f>
        <v>55</v>
      </c>
    </row>
    <row r="41" spans="1:3" ht="15">
      <c r="A41" s="80" t="s">
        <v>1330</v>
      </c>
      <c r="B41" s="87" t="s">
        <v>284</v>
      </c>
      <c r="C41" s="79">
        <f>VLOOKUP(GroupVertices[[#This Row],[Vertex]],Vertices[],MATCH("ID",Vertices[[#Headers],[Vertex]:[Vertex Content Word Count]],0),FALSE)</f>
        <v>41</v>
      </c>
    </row>
    <row r="42" spans="1:3" ht="15">
      <c r="A42" s="80" t="s">
        <v>1330</v>
      </c>
      <c r="B42" s="87" t="s">
        <v>266</v>
      </c>
      <c r="C42" s="79">
        <f>VLOOKUP(GroupVertices[[#This Row],[Vertex]],Vertices[],MATCH("ID",Vertices[[#Headers],[Vertex]:[Vertex Content Word Count]],0),FALSE)</f>
        <v>53</v>
      </c>
    </row>
    <row r="43" spans="1:3" ht="15">
      <c r="A43" s="80" t="s">
        <v>1330</v>
      </c>
      <c r="B43" s="87" t="s">
        <v>288</v>
      </c>
      <c r="C43" s="79">
        <f>VLOOKUP(GroupVertices[[#This Row],[Vertex]],Vertices[],MATCH("ID",Vertices[[#Headers],[Vertex]:[Vertex Content Word Count]],0),FALSE)</f>
        <v>48</v>
      </c>
    </row>
    <row r="44" spans="1:3" ht="15">
      <c r="A44" s="80" t="s">
        <v>1330</v>
      </c>
      <c r="B44" s="87" t="s">
        <v>263</v>
      </c>
      <c r="C44" s="79">
        <f>VLOOKUP(GroupVertices[[#This Row],[Vertex]],Vertices[],MATCH("ID",Vertices[[#Headers],[Vertex]:[Vertex Content Word Count]],0),FALSE)</f>
        <v>47</v>
      </c>
    </row>
    <row r="45" spans="1:3" ht="15">
      <c r="A45" s="80" t="s">
        <v>1330</v>
      </c>
      <c r="B45" s="87" t="s">
        <v>260</v>
      </c>
      <c r="C45" s="79">
        <f>VLOOKUP(GroupVertices[[#This Row],[Vertex]],Vertices[],MATCH("ID",Vertices[[#Headers],[Vertex]:[Vertex Content Word Count]],0),FALSE)</f>
        <v>42</v>
      </c>
    </row>
    <row r="46" spans="1:3" ht="15">
      <c r="A46" s="80" t="s">
        <v>1330</v>
      </c>
      <c r="B46" s="87" t="s">
        <v>259</v>
      </c>
      <c r="C46" s="79">
        <f>VLOOKUP(GroupVertices[[#This Row],[Vertex]],Vertices[],MATCH("ID",Vertices[[#Headers],[Vertex]:[Vertex Content Word Count]],0),FALSE)</f>
        <v>40</v>
      </c>
    </row>
    <row r="47" spans="1:3" ht="15">
      <c r="A47" s="80" t="s">
        <v>1330</v>
      </c>
      <c r="B47" s="87" t="s">
        <v>249</v>
      </c>
      <c r="C47" s="79">
        <f>VLOOKUP(GroupVertices[[#This Row],[Vertex]],Vertices[],MATCH("ID",Vertices[[#Headers],[Vertex]:[Vertex Content Word Count]],0),FALSE)</f>
        <v>27</v>
      </c>
    </row>
    <row r="48" spans="1:3" ht="15">
      <c r="A48" s="80" t="s">
        <v>1330</v>
      </c>
      <c r="B48" s="87" t="s">
        <v>279</v>
      </c>
      <c r="C48" s="79">
        <f>VLOOKUP(GroupVertices[[#This Row],[Vertex]],Vertices[],MATCH("ID",Vertices[[#Headers],[Vertex]:[Vertex Content Word Count]],0),FALSE)</f>
        <v>15</v>
      </c>
    </row>
    <row r="49" spans="1:3" ht="15">
      <c r="A49" s="80" t="s">
        <v>1330</v>
      </c>
      <c r="B49" s="87" t="s">
        <v>246</v>
      </c>
      <c r="C49" s="79">
        <f>VLOOKUP(GroupVertices[[#This Row],[Vertex]],Vertices[],MATCH("ID",Vertices[[#Headers],[Vertex]:[Vertex Content Word Count]],0),FALSE)</f>
        <v>22</v>
      </c>
    </row>
    <row r="50" spans="1:3" ht="15">
      <c r="A50" s="80" t="s">
        <v>1330</v>
      </c>
      <c r="B50" s="87" t="s">
        <v>242</v>
      </c>
      <c r="C50" s="79">
        <f>VLOOKUP(GroupVertices[[#This Row],[Vertex]],Vertices[],MATCH("ID",Vertices[[#Headers],[Vertex]:[Vertex Content Word Count]],0),FALSE)</f>
        <v>17</v>
      </c>
    </row>
    <row r="51" spans="1:3" ht="15">
      <c r="A51" s="80" t="s">
        <v>1330</v>
      </c>
      <c r="B51" s="87" t="s">
        <v>241</v>
      </c>
      <c r="C51" s="79">
        <f>VLOOKUP(GroupVertices[[#This Row],[Vertex]],Vertices[],MATCH("ID",Vertices[[#Headers],[Vertex]:[Vertex Content Word Count]],0),FALSE)</f>
        <v>16</v>
      </c>
    </row>
    <row r="52" spans="1:3" ht="15">
      <c r="A52" s="80" t="s">
        <v>1330</v>
      </c>
      <c r="B52" s="87" t="s">
        <v>240</v>
      </c>
      <c r="C52" s="79">
        <f>VLOOKUP(GroupVertices[[#This Row],[Vertex]],Vertices[],MATCH("ID",Vertices[[#Headers],[Vertex]:[Vertex Content Word Count]],0),FALSE)</f>
        <v>14</v>
      </c>
    </row>
    <row r="53" spans="1:3" ht="15">
      <c r="A53" s="80" t="s">
        <v>1331</v>
      </c>
      <c r="B53" s="87" t="s">
        <v>301</v>
      </c>
      <c r="C53" s="79">
        <f>VLOOKUP(GroupVertices[[#This Row],[Vertex]],Vertices[],MATCH("ID",Vertices[[#Headers],[Vertex]:[Vertex Content Word Count]],0),FALSE)</f>
        <v>118</v>
      </c>
    </row>
    <row r="54" spans="1:3" ht="15">
      <c r="A54" s="80" t="s">
        <v>1331</v>
      </c>
      <c r="B54" s="87" t="s">
        <v>292</v>
      </c>
      <c r="C54" s="79">
        <f>VLOOKUP(GroupVertices[[#This Row],[Vertex]],Vertices[],MATCH("ID",Vertices[[#Headers],[Vertex]:[Vertex Content Word Count]],0),FALSE)</f>
        <v>88</v>
      </c>
    </row>
    <row r="55" spans="1:3" ht="15">
      <c r="A55" s="80" t="s">
        <v>1331</v>
      </c>
      <c r="B55" s="87" t="s">
        <v>295</v>
      </c>
      <c r="C55" s="79">
        <f>VLOOKUP(GroupVertices[[#This Row],[Vertex]],Vertices[],MATCH("ID",Vertices[[#Headers],[Vertex]:[Vertex Content Word Count]],0),FALSE)</f>
        <v>110</v>
      </c>
    </row>
    <row r="56" spans="1:3" ht="15">
      <c r="A56" s="80" t="s">
        <v>1331</v>
      </c>
      <c r="B56" s="87" t="s">
        <v>294</v>
      </c>
      <c r="C56" s="79">
        <f>VLOOKUP(GroupVertices[[#This Row],[Vertex]],Vertices[],MATCH("ID",Vertices[[#Headers],[Vertex]:[Vertex Content Word Count]],0),FALSE)</f>
        <v>87</v>
      </c>
    </row>
    <row r="57" spans="1:3" ht="15">
      <c r="A57" s="80" t="s">
        <v>1331</v>
      </c>
      <c r="B57" s="87" t="s">
        <v>293</v>
      </c>
      <c r="C57" s="79">
        <f>VLOOKUP(GroupVertices[[#This Row],[Vertex]],Vertices[],MATCH("ID",Vertices[[#Headers],[Vertex]:[Vertex Content Word Count]],0),FALSE)</f>
        <v>109</v>
      </c>
    </row>
    <row r="58" spans="1:3" ht="15">
      <c r="A58" s="80" t="s">
        <v>1331</v>
      </c>
      <c r="B58" s="87" t="s">
        <v>349</v>
      </c>
      <c r="C58" s="79">
        <f>VLOOKUP(GroupVertices[[#This Row],[Vertex]],Vertices[],MATCH("ID",Vertices[[#Headers],[Vertex]:[Vertex Content Word Count]],0),FALSE)</f>
        <v>108</v>
      </c>
    </row>
    <row r="59" spans="1:3" ht="15">
      <c r="A59" s="80" t="s">
        <v>1331</v>
      </c>
      <c r="B59" s="87" t="s">
        <v>348</v>
      </c>
      <c r="C59" s="79">
        <f>VLOOKUP(GroupVertices[[#This Row],[Vertex]],Vertices[],MATCH("ID",Vertices[[#Headers],[Vertex]:[Vertex Content Word Count]],0),FALSE)</f>
        <v>107</v>
      </c>
    </row>
    <row r="60" spans="1:3" ht="15">
      <c r="A60" s="80" t="s">
        <v>1331</v>
      </c>
      <c r="B60" s="87" t="s">
        <v>347</v>
      </c>
      <c r="C60" s="79">
        <f>VLOOKUP(GroupVertices[[#This Row],[Vertex]],Vertices[],MATCH("ID",Vertices[[#Headers],[Vertex]:[Vertex Content Word Count]],0),FALSE)</f>
        <v>106</v>
      </c>
    </row>
    <row r="61" spans="1:3" ht="15">
      <c r="A61" s="80" t="s">
        <v>1331</v>
      </c>
      <c r="B61" s="87" t="s">
        <v>346</v>
      </c>
      <c r="C61" s="79">
        <f>VLOOKUP(GroupVertices[[#This Row],[Vertex]],Vertices[],MATCH("ID",Vertices[[#Headers],[Vertex]:[Vertex Content Word Count]],0),FALSE)</f>
        <v>105</v>
      </c>
    </row>
    <row r="62" spans="1:3" ht="15">
      <c r="A62" s="80" t="s">
        <v>1331</v>
      </c>
      <c r="B62" s="87" t="s">
        <v>345</v>
      </c>
      <c r="C62" s="79">
        <f>VLOOKUP(GroupVertices[[#This Row],[Vertex]],Vertices[],MATCH("ID",Vertices[[#Headers],[Vertex]:[Vertex Content Word Count]],0),FALSE)</f>
        <v>104</v>
      </c>
    </row>
    <row r="63" spans="1:3" ht="15">
      <c r="A63" s="80" t="s">
        <v>1331</v>
      </c>
      <c r="B63" s="87" t="s">
        <v>344</v>
      </c>
      <c r="C63" s="79">
        <f>VLOOKUP(GroupVertices[[#This Row],[Vertex]],Vertices[],MATCH("ID",Vertices[[#Headers],[Vertex]:[Vertex Content Word Count]],0),FALSE)</f>
        <v>103</v>
      </c>
    </row>
    <row r="64" spans="1:3" ht="15">
      <c r="A64" s="80" t="s">
        <v>1331</v>
      </c>
      <c r="B64" s="87" t="s">
        <v>343</v>
      </c>
      <c r="C64" s="79">
        <f>VLOOKUP(GroupVertices[[#This Row],[Vertex]],Vertices[],MATCH("ID",Vertices[[#Headers],[Vertex]:[Vertex Content Word Count]],0),FALSE)</f>
        <v>102</v>
      </c>
    </row>
    <row r="65" spans="1:3" ht="15">
      <c r="A65" s="80" t="s">
        <v>1331</v>
      </c>
      <c r="B65" s="87" t="s">
        <v>342</v>
      </c>
      <c r="C65" s="79">
        <f>VLOOKUP(GroupVertices[[#This Row],[Vertex]],Vertices[],MATCH("ID",Vertices[[#Headers],[Vertex]:[Vertex Content Word Count]],0),FALSE)</f>
        <v>101</v>
      </c>
    </row>
    <row r="66" spans="1:3" ht="15">
      <c r="A66" s="80" t="s">
        <v>1331</v>
      </c>
      <c r="B66" s="87" t="s">
        <v>285</v>
      </c>
      <c r="C66" s="79">
        <f>VLOOKUP(GroupVertices[[#This Row],[Vertex]],Vertices[],MATCH("ID",Vertices[[#Headers],[Vertex]:[Vertex Content Word Count]],0),FALSE)</f>
        <v>86</v>
      </c>
    </row>
    <row r="67" spans="1:3" ht="15">
      <c r="A67" s="80" t="s">
        <v>1332</v>
      </c>
      <c r="B67" s="87" t="s">
        <v>324</v>
      </c>
      <c r="C67" s="79">
        <f>VLOOKUP(GroupVertices[[#This Row],[Vertex]],Vertices[],MATCH("ID",Vertices[[#Headers],[Vertex]:[Vertex Content Word Count]],0),FALSE)</f>
        <v>76</v>
      </c>
    </row>
    <row r="68" spans="1:3" ht="15">
      <c r="A68" s="80" t="s">
        <v>1332</v>
      </c>
      <c r="B68" s="87" t="s">
        <v>274</v>
      </c>
      <c r="C68" s="79">
        <f>VLOOKUP(GroupVertices[[#This Row],[Vertex]],Vertices[],MATCH("ID",Vertices[[#Headers],[Vertex]:[Vertex Content Word Count]],0),FALSE)</f>
        <v>59</v>
      </c>
    </row>
    <row r="69" spans="1:3" ht="15">
      <c r="A69" s="80" t="s">
        <v>1332</v>
      </c>
      <c r="B69" s="87" t="s">
        <v>283</v>
      </c>
      <c r="C69" s="79">
        <f>VLOOKUP(GroupVertices[[#This Row],[Vertex]],Vertices[],MATCH("ID",Vertices[[#Headers],[Vertex]:[Vertex Content Word Count]],0),FALSE)</f>
        <v>75</v>
      </c>
    </row>
    <row r="70" spans="1:3" ht="15">
      <c r="A70" s="80" t="s">
        <v>1332</v>
      </c>
      <c r="B70" s="87" t="s">
        <v>282</v>
      </c>
      <c r="C70" s="79">
        <f>VLOOKUP(GroupVertices[[#This Row],[Vertex]],Vertices[],MATCH("ID",Vertices[[#Headers],[Vertex]:[Vertex Content Word Count]],0),FALSE)</f>
        <v>74</v>
      </c>
    </row>
    <row r="71" spans="1:3" ht="15">
      <c r="A71" s="80" t="s">
        <v>1332</v>
      </c>
      <c r="B71" s="87" t="s">
        <v>306</v>
      </c>
      <c r="C71" s="79">
        <f>VLOOKUP(GroupVertices[[#This Row],[Vertex]],Vertices[],MATCH("ID",Vertices[[#Headers],[Vertex]:[Vertex Content Word Count]],0),FALSE)</f>
        <v>24</v>
      </c>
    </row>
    <row r="72" spans="1:3" ht="15">
      <c r="A72" s="80" t="s">
        <v>1332</v>
      </c>
      <c r="B72" s="87" t="s">
        <v>273</v>
      </c>
      <c r="C72" s="79">
        <f>VLOOKUP(GroupVertices[[#This Row],[Vertex]],Vertices[],MATCH("ID",Vertices[[#Headers],[Vertex]:[Vertex Content Word Count]],0),FALSE)</f>
        <v>7</v>
      </c>
    </row>
    <row r="73" spans="1:3" ht="15">
      <c r="A73" s="80" t="s">
        <v>1332</v>
      </c>
      <c r="B73" s="87" t="s">
        <v>247</v>
      </c>
      <c r="C73" s="79">
        <f>VLOOKUP(GroupVertices[[#This Row],[Vertex]],Vertices[],MATCH("ID",Vertices[[#Headers],[Vertex]:[Vertex Content Word Count]],0),FALSE)</f>
        <v>23</v>
      </c>
    </row>
    <row r="74" spans="1:3" ht="15">
      <c r="A74" s="80" t="s">
        <v>1332</v>
      </c>
      <c r="B74" s="87" t="s">
        <v>237</v>
      </c>
      <c r="C74" s="79">
        <f>VLOOKUP(GroupVertices[[#This Row],[Vertex]],Vertices[],MATCH("ID",Vertices[[#Headers],[Vertex]:[Vertex Content Word Count]],0),FALSE)</f>
        <v>10</v>
      </c>
    </row>
    <row r="75" spans="1:3" ht="15">
      <c r="A75" s="80" t="s">
        <v>1332</v>
      </c>
      <c r="B75" s="87" t="s">
        <v>272</v>
      </c>
      <c r="C75" s="79">
        <f>VLOOKUP(GroupVertices[[#This Row],[Vertex]],Vertices[],MATCH("ID",Vertices[[#Headers],[Vertex]:[Vertex Content Word Count]],0),FALSE)</f>
        <v>8</v>
      </c>
    </row>
    <row r="76" spans="1:3" ht="15">
      <c r="A76" s="80" t="s">
        <v>1332</v>
      </c>
      <c r="B76" s="87" t="s">
        <v>236</v>
      </c>
      <c r="C76" s="79">
        <f>VLOOKUP(GroupVertices[[#This Row],[Vertex]],Vertices[],MATCH("ID",Vertices[[#Headers],[Vertex]:[Vertex Content Word Count]],0),FALSE)</f>
        <v>6</v>
      </c>
    </row>
    <row r="77" spans="1:3" ht="15">
      <c r="A77" s="80" t="s">
        <v>1333</v>
      </c>
      <c r="B77" s="87" t="s">
        <v>258</v>
      </c>
      <c r="C77" s="79">
        <f>VLOOKUP(GroupVertices[[#This Row],[Vertex]],Vertices[],MATCH("ID",Vertices[[#Headers],[Vertex]:[Vertex Content Word Count]],0),FALSE)</f>
        <v>39</v>
      </c>
    </row>
    <row r="78" spans="1:3" ht="15">
      <c r="A78" s="80" t="s">
        <v>1333</v>
      </c>
      <c r="B78" s="87" t="s">
        <v>307</v>
      </c>
      <c r="C78" s="79">
        <f>VLOOKUP(GroupVertices[[#This Row],[Vertex]],Vertices[],MATCH("ID",Vertices[[#Headers],[Vertex]:[Vertex Content Word Count]],0),FALSE)</f>
        <v>26</v>
      </c>
    </row>
    <row r="79" spans="1:3" ht="15">
      <c r="A79" s="80" t="s">
        <v>1333</v>
      </c>
      <c r="B79" s="87" t="s">
        <v>257</v>
      </c>
      <c r="C79" s="79">
        <f>VLOOKUP(GroupVertices[[#This Row],[Vertex]],Vertices[],MATCH("ID",Vertices[[#Headers],[Vertex]:[Vertex Content Word Count]],0),FALSE)</f>
        <v>38</v>
      </c>
    </row>
    <row r="80" spans="1:3" ht="15">
      <c r="A80" s="80" t="s">
        <v>1333</v>
      </c>
      <c r="B80" s="87" t="s">
        <v>255</v>
      </c>
      <c r="C80" s="79">
        <f>VLOOKUP(GroupVertices[[#This Row],[Vertex]],Vertices[],MATCH("ID",Vertices[[#Headers],[Vertex]:[Vertex Content Word Count]],0),FALSE)</f>
        <v>35</v>
      </c>
    </row>
    <row r="81" spans="1:3" ht="15">
      <c r="A81" s="80" t="s">
        <v>1333</v>
      </c>
      <c r="B81" s="87" t="s">
        <v>252</v>
      </c>
      <c r="C81" s="79">
        <f>VLOOKUP(GroupVertices[[#This Row],[Vertex]],Vertices[],MATCH("ID",Vertices[[#Headers],[Vertex]:[Vertex Content Word Count]],0),FALSE)</f>
        <v>30</v>
      </c>
    </row>
    <row r="82" spans="1:3" ht="15">
      <c r="A82" s="80" t="s">
        <v>1333</v>
      </c>
      <c r="B82" s="87" t="s">
        <v>251</v>
      </c>
      <c r="C82" s="79">
        <f>VLOOKUP(GroupVertices[[#This Row],[Vertex]],Vertices[],MATCH("ID",Vertices[[#Headers],[Vertex]:[Vertex Content Word Count]],0),FALSE)</f>
        <v>29</v>
      </c>
    </row>
    <row r="83" spans="1:3" ht="15">
      <c r="A83" s="80" t="s">
        <v>1333</v>
      </c>
      <c r="B83" s="87" t="s">
        <v>250</v>
      </c>
      <c r="C83" s="79">
        <f>VLOOKUP(GroupVertices[[#This Row],[Vertex]],Vertices[],MATCH("ID",Vertices[[#Headers],[Vertex]:[Vertex Content Word Count]],0),FALSE)</f>
        <v>28</v>
      </c>
    </row>
    <row r="84" spans="1:3" ht="15">
      <c r="A84" s="80" t="s">
        <v>1333</v>
      </c>
      <c r="B84" s="87" t="s">
        <v>248</v>
      </c>
      <c r="C84" s="79">
        <f>VLOOKUP(GroupVertices[[#This Row],[Vertex]],Vertices[],MATCH("ID",Vertices[[#Headers],[Vertex]:[Vertex Content Word Count]],0),FALSE)</f>
        <v>25</v>
      </c>
    </row>
    <row r="85" spans="1:3" ht="15">
      <c r="A85" s="80" t="s">
        <v>1334</v>
      </c>
      <c r="B85" s="87" t="s">
        <v>278</v>
      </c>
      <c r="C85" s="79">
        <f>VLOOKUP(GroupVertices[[#This Row],[Vertex]],Vertices[],MATCH("ID",Vertices[[#Headers],[Vertex]:[Vertex Content Word Count]],0),FALSE)</f>
        <v>64</v>
      </c>
    </row>
    <row r="86" spans="1:3" ht="15">
      <c r="A86" s="80" t="s">
        <v>1334</v>
      </c>
      <c r="B86" s="87" t="s">
        <v>244</v>
      </c>
      <c r="C86" s="79">
        <f>VLOOKUP(GroupVertices[[#This Row],[Vertex]],Vertices[],MATCH("ID",Vertices[[#Headers],[Vertex]:[Vertex Content Word Count]],0),FALSE)</f>
        <v>20</v>
      </c>
    </row>
    <row r="87" spans="1:3" ht="15">
      <c r="A87" s="80" t="s">
        <v>1334</v>
      </c>
      <c r="B87" s="87" t="s">
        <v>245</v>
      </c>
      <c r="C87" s="79">
        <f>VLOOKUP(GroupVertices[[#This Row],[Vertex]],Vertices[],MATCH("ID",Vertices[[#Headers],[Vertex]:[Vertex Content Word Count]],0),FALSE)</f>
        <v>21</v>
      </c>
    </row>
    <row r="88" spans="1:3" ht="15">
      <c r="A88" s="80" t="s">
        <v>1334</v>
      </c>
      <c r="B88" s="87" t="s">
        <v>305</v>
      </c>
      <c r="C88" s="79">
        <f>VLOOKUP(GroupVertices[[#This Row],[Vertex]],Vertices[],MATCH("ID",Vertices[[#Headers],[Vertex]:[Vertex Content Word Count]],0),FALSE)</f>
        <v>19</v>
      </c>
    </row>
    <row r="89" spans="1:3" ht="15">
      <c r="A89" s="80" t="s">
        <v>1334</v>
      </c>
      <c r="B89" s="87" t="s">
        <v>243</v>
      </c>
      <c r="C89" s="79">
        <f>VLOOKUP(GroupVertices[[#This Row],[Vertex]],Vertices[],MATCH("ID",Vertices[[#Headers],[Vertex]:[Vertex Content Word Count]],0),FALSE)</f>
        <v>18</v>
      </c>
    </row>
    <row r="90" spans="1:3" ht="15">
      <c r="A90" s="80" t="s">
        <v>1335</v>
      </c>
      <c r="B90" s="87" t="s">
        <v>261</v>
      </c>
      <c r="C90" s="79">
        <f>VLOOKUP(GroupVertices[[#This Row],[Vertex]],Vertices[],MATCH("ID",Vertices[[#Headers],[Vertex]:[Vertex Content Word Count]],0),FALSE)</f>
        <v>43</v>
      </c>
    </row>
    <row r="91" spans="1:3" ht="15">
      <c r="A91" s="80" t="s">
        <v>1335</v>
      </c>
      <c r="B91" s="87" t="s">
        <v>309</v>
      </c>
      <c r="C91" s="79">
        <f>VLOOKUP(GroupVertices[[#This Row],[Vertex]],Vertices[],MATCH("ID",Vertices[[#Headers],[Vertex]:[Vertex Content Word Count]],0),FALSE)</f>
        <v>33</v>
      </c>
    </row>
    <row r="92" spans="1:3" ht="15">
      <c r="A92" s="80" t="s">
        <v>1335</v>
      </c>
      <c r="B92" s="87" t="s">
        <v>308</v>
      </c>
      <c r="C92" s="79">
        <f>VLOOKUP(GroupVertices[[#This Row],[Vertex]],Vertices[],MATCH("ID",Vertices[[#Headers],[Vertex]:[Vertex Content Word Count]],0),FALSE)</f>
        <v>32</v>
      </c>
    </row>
    <row r="93" spans="1:3" ht="15">
      <c r="A93" s="80" t="s">
        <v>1335</v>
      </c>
      <c r="B93" s="87" t="s">
        <v>254</v>
      </c>
      <c r="C93" s="79">
        <f>VLOOKUP(GroupVertices[[#This Row],[Vertex]],Vertices[],MATCH("ID",Vertices[[#Headers],[Vertex]:[Vertex Content Word Count]],0),FALSE)</f>
        <v>34</v>
      </c>
    </row>
    <row r="94" spans="1:3" ht="15">
      <c r="A94" s="80" t="s">
        <v>1335</v>
      </c>
      <c r="B94" s="87" t="s">
        <v>253</v>
      </c>
      <c r="C94" s="79">
        <f>VLOOKUP(GroupVertices[[#This Row],[Vertex]],Vertices[],MATCH("ID",Vertices[[#Headers],[Vertex]:[Vertex Content Word Count]],0),FALSE)</f>
        <v>31</v>
      </c>
    </row>
    <row r="95" spans="1:3" ht="15">
      <c r="A95" s="80" t="s">
        <v>1336</v>
      </c>
      <c r="B95" s="87" t="s">
        <v>299</v>
      </c>
      <c r="C95" s="79">
        <f>VLOOKUP(GroupVertices[[#This Row],[Vertex]],Vertices[],MATCH("ID",Vertices[[#Headers],[Vertex]:[Vertex Content Word Count]],0),FALSE)</f>
        <v>114</v>
      </c>
    </row>
    <row r="96" spans="1:3" ht="15">
      <c r="A96" s="80" t="s">
        <v>1336</v>
      </c>
      <c r="B96" s="87" t="s">
        <v>298</v>
      </c>
      <c r="C96" s="79">
        <f>VLOOKUP(GroupVertices[[#This Row],[Vertex]],Vertices[],MATCH("ID",Vertices[[#Headers],[Vertex]:[Vertex Content Word Count]],0),FALSE)</f>
        <v>112</v>
      </c>
    </row>
    <row r="97" spans="1:3" ht="15">
      <c r="A97" s="80" t="s">
        <v>1336</v>
      </c>
      <c r="B97" s="87" t="s">
        <v>297</v>
      </c>
      <c r="C97" s="79">
        <f>VLOOKUP(GroupVertices[[#This Row],[Vertex]],Vertices[],MATCH("ID",Vertices[[#Headers],[Vertex]:[Vertex Content Word Count]],0),FALSE)</f>
        <v>113</v>
      </c>
    </row>
    <row r="98" spans="1:3" ht="15">
      <c r="A98" s="80" t="s">
        <v>1336</v>
      </c>
      <c r="B98" s="87" t="s">
        <v>296</v>
      </c>
      <c r="C98" s="79">
        <f>VLOOKUP(GroupVertices[[#This Row],[Vertex]],Vertices[],MATCH("ID",Vertices[[#Headers],[Vertex]:[Vertex Content Word Count]],0),FALSE)</f>
        <v>111</v>
      </c>
    </row>
    <row r="99" spans="1:3" ht="15">
      <c r="A99" s="80" t="s">
        <v>1337</v>
      </c>
      <c r="B99" s="87" t="s">
        <v>264</v>
      </c>
      <c r="C99" s="79">
        <f>VLOOKUP(GroupVertices[[#This Row],[Vertex]],Vertices[],MATCH("ID",Vertices[[#Headers],[Vertex]:[Vertex Content Word Count]],0),FALSE)</f>
        <v>49</v>
      </c>
    </row>
    <row r="100" spans="1:3" ht="15">
      <c r="A100" s="80" t="s">
        <v>1337</v>
      </c>
      <c r="B100" s="87" t="s">
        <v>265</v>
      </c>
      <c r="C100" s="79">
        <f>VLOOKUP(GroupVertices[[#This Row],[Vertex]],Vertices[],MATCH("ID",Vertices[[#Headers],[Vertex]:[Vertex Content Word Count]],0),FALSE)</f>
        <v>52</v>
      </c>
    </row>
    <row r="101" spans="1:3" ht="15">
      <c r="A101" s="80" t="s">
        <v>1337</v>
      </c>
      <c r="B101" s="87" t="s">
        <v>312</v>
      </c>
      <c r="C101" s="79">
        <f>VLOOKUP(GroupVertices[[#This Row],[Vertex]],Vertices[],MATCH("ID",Vertices[[#Headers],[Vertex]:[Vertex Content Word Count]],0),FALSE)</f>
        <v>51</v>
      </c>
    </row>
    <row r="102" spans="1:3" ht="15">
      <c r="A102" s="80" t="s">
        <v>1337</v>
      </c>
      <c r="B102" s="87" t="s">
        <v>311</v>
      </c>
      <c r="C102" s="79">
        <f>VLOOKUP(GroupVertices[[#This Row],[Vertex]],Vertices[],MATCH("ID",Vertices[[#Headers],[Vertex]:[Vertex Content Word Count]],0),FALSE)</f>
        <v>50</v>
      </c>
    </row>
    <row r="103" spans="1:3" ht="15">
      <c r="A103" s="80" t="s">
        <v>1338</v>
      </c>
      <c r="B103" s="87" t="s">
        <v>267</v>
      </c>
      <c r="C103" s="79">
        <f>VLOOKUP(GroupVertices[[#This Row],[Vertex]],Vertices[],MATCH("ID",Vertices[[#Headers],[Vertex]:[Vertex Content Word Count]],0),FALSE)</f>
        <v>54</v>
      </c>
    </row>
    <row r="104" spans="1:3" ht="15">
      <c r="A104" s="80" t="s">
        <v>1338</v>
      </c>
      <c r="B104" s="87" t="s">
        <v>275</v>
      </c>
      <c r="C104" s="79">
        <f>VLOOKUP(GroupVertices[[#This Row],[Vertex]],Vertices[],MATCH("ID",Vertices[[#Headers],[Vertex]:[Vertex Content Word Count]],0),FALSE)</f>
        <v>46</v>
      </c>
    </row>
    <row r="105" spans="1:3" ht="15">
      <c r="A105" s="80" t="s">
        <v>1338</v>
      </c>
      <c r="B105" s="87" t="s">
        <v>310</v>
      </c>
      <c r="C105" s="79">
        <f>VLOOKUP(GroupVertices[[#This Row],[Vertex]],Vertices[],MATCH("ID",Vertices[[#Headers],[Vertex]:[Vertex Content Word Count]],0),FALSE)</f>
        <v>45</v>
      </c>
    </row>
    <row r="106" spans="1:3" ht="15">
      <c r="A106" s="80" t="s">
        <v>1338</v>
      </c>
      <c r="B106" s="87" t="s">
        <v>262</v>
      </c>
      <c r="C106" s="79">
        <f>VLOOKUP(GroupVertices[[#This Row],[Vertex]],Vertices[],MATCH("ID",Vertices[[#Headers],[Vertex]:[Vertex Content Word Count]],0),FALSE)</f>
        <v>44</v>
      </c>
    </row>
    <row r="107" spans="1:3" ht="15">
      <c r="A107" s="80" t="s">
        <v>1339</v>
      </c>
      <c r="B107" s="87" t="s">
        <v>291</v>
      </c>
      <c r="C107" s="79">
        <f>VLOOKUP(GroupVertices[[#This Row],[Vertex]],Vertices[],MATCH("ID",Vertices[[#Headers],[Vertex]:[Vertex Content Word Count]],0),FALSE)</f>
        <v>100</v>
      </c>
    </row>
    <row r="108" spans="1:3" ht="15">
      <c r="A108" s="80" t="s">
        <v>1339</v>
      </c>
      <c r="B108" s="87" t="s">
        <v>289</v>
      </c>
      <c r="C108" s="79">
        <f>VLOOKUP(GroupVertices[[#This Row],[Vertex]],Vertices[],MATCH("ID",Vertices[[#Headers],[Vertex]:[Vertex Content Word Count]],0),FALSE)</f>
        <v>99</v>
      </c>
    </row>
    <row r="109" spans="1:3" ht="15">
      <c r="A109" s="80" t="s">
        <v>1339</v>
      </c>
      <c r="B109" s="87" t="s">
        <v>290</v>
      </c>
      <c r="C109" s="79">
        <f>VLOOKUP(GroupVertices[[#This Row],[Vertex]],Vertices[],MATCH("ID",Vertices[[#Headers],[Vertex]:[Vertex Content Word Count]],0),FALSE)</f>
        <v>98</v>
      </c>
    </row>
    <row r="110" spans="1:3" ht="15">
      <c r="A110" s="80" t="s">
        <v>1340</v>
      </c>
      <c r="B110" s="87" t="s">
        <v>304</v>
      </c>
      <c r="C110" s="79">
        <f>VLOOKUP(GroupVertices[[#This Row],[Vertex]],Vertices[],MATCH("ID",Vertices[[#Headers],[Vertex]:[Vertex Content Word Count]],0),FALSE)</f>
        <v>12</v>
      </c>
    </row>
    <row r="111" spans="1:3" ht="15">
      <c r="A111" s="80" t="s">
        <v>1340</v>
      </c>
      <c r="B111" s="87" t="s">
        <v>239</v>
      </c>
      <c r="C111" s="79">
        <f>VLOOKUP(GroupVertices[[#This Row],[Vertex]],Vertices[],MATCH("ID",Vertices[[#Headers],[Vertex]:[Vertex Content Word Count]],0),FALSE)</f>
        <v>13</v>
      </c>
    </row>
    <row r="112" spans="1:3" ht="15">
      <c r="A112" s="80" t="s">
        <v>1340</v>
      </c>
      <c r="B112" s="87" t="s">
        <v>238</v>
      </c>
      <c r="C112" s="79">
        <f>VLOOKUP(GroupVertices[[#This Row],[Vertex]],Vertices[],MATCH("ID",Vertices[[#Headers],[Vertex]:[Vertex Content Word Count]],0),FALSE)</f>
        <v>11</v>
      </c>
    </row>
    <row r="113" spans="1:3" ht="15">
      <c r="A113" s="80" t="s">
        <v>1341</v>
      </c>
      <c r="B113" s="87" t="s">
        <v>235</v>
      </c>
      <c r="C113" s="79">
        <f>VLOOKUP(GroupVertices[[#This Row],[Vertex]],Vertices[],MATCH("ID",Vertices[[#Headers],[Vertex]:[Vertex Content Word Count]],0),FALSE)</f>
        <v>5</v>
      </c>
    </row>
    <row r="114" spans="1:3" ht="15">
      <c r="A114" s="80" t="s">
        <v>1341</v>
      </c>
      <c r="B114" s="87" t="s">
        <v>268</v>
      </c>
      <c r="C114" s="79">
        <f>VLOOKUP(GroupVertices[[#This Row],[Vertex]],Vertices[],MATCH("ID",Vertices[[#Headers],[Vertex]:[Vertex Content Word Count]],0),FALSE)</f>
        <v>4</v>
      </c>
    </row>
    <row r="115" spans="1:3" ht="15">
      <c r="A115" s="80" t="s">
        <v>1341</v>
      </c>
      <c r="B115" s="87" t="s">
        <v>303</v>
      </c>
      <c r="C115" s="79">
        <f>VLOOKUP(GroupVertices[[#This Row],[Vertex]],Vertices[],MATCH("ID",Vertices[[#Headers],[Vertex]:[Vertex Content Word Count]],0),FALSE)</f>
        <v>3</v>
      </c>
    </row>
    <row r="116" spans="1:3" ht="15">
      <c r="A116" s="80" t="s">
        <v>1342</v>
      </c>
      <c r="B116" s="87" t="s">
        <v>287</v>
      </c>
      <c r="C116" s="79">
        <f>VLOOKUP(GroupVertices[[#This Row],[Vertex]],Vertices[],MATCH("ID",Vertices[[#Headers],[Vertex]:[Vertex Content Word Count]],0),FALSE)</f>
        <v>37</v>
      </c>
    </row>
    <row r="117" spans="1:3" ht="15">
      <c r="A117" s="80" t="s">
        <v>1342</v>
      </c>
      <c r="B117" s="87" t="s">
        <v>256</v>
      </c>
      <c r="C117" s="79">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2087</v>
      </c>
      <c r="B2" s="35" t="s">
        <v>1328</v>
      </c>
      <c r="D2" s="32">
        <f>MIN(Vertices[Degree])</f>
        <v>0</v>
      </c>
      <c r="E2" s="3">
        <f>COUNTIF(Vertices[Degree],"&gt;= "&amp;D2)-COUNTIF(Vertices[Degree],"&gt;="&amp;D3)</f>
        <v>0</v>
      </c>
      <c r="F2" s="38">
        <f>MIN(Vertices[In-Degree])</f>
        <v>0</v>
      </c>
      <c r="G2" s="39">
        <f>COUNTIF(Vertices[In-Degree],"&gt;= "&amp;F2)-COUNTIF(Vertices[In-Degree],"&gt;="&amp;F3)</f>
        <v>77</v>
      </c>
      <c r="H2" s="38">
        <f>MIN(Vertices[Out-Degree])</f>
        <v>0</v>
      </c>
      <c r="I2" s="39">
        <f>COUNTIF(Vertices[Out-Degree],"&gt;= "&amp;H2)-COUNTIF(Vertices[Out-Degree],"&gt;="&amp;H3)</f>
        <v>103</v>
      </c>
      <c r="J2" s="38">
        <f>MIN(Vertices[Betweenness Centrality])</f>
        <v>0</v>
      </c>
      <c r="K2" s="39">
        <f>COUNTIF(Vertices[Betweenness Centrality],"&gt;= "&amp;J2)-COUNTIF(Vertices[Betweenness Centrality],"&gt;="&amp;J3)</f>
        <v>112</v>
      </c>
      <c r="L2" s="38">
        <f>MIN(Vertices[Closeness Centrality])</f>
        <v>0.00303</v>
      </c>
      <c r="M2" s="39">
        <f>COUNTIF(Vertices[Closeness Centrality],"&gt;= "&amp;L2)-COUNTIF(Vertices[Closeness Centrality],"&gt;="&amp;L3)</f>
        <v>109</v>
      </c>
      <c r="N2" s="38">
        <f>MIN(Vertices[Eigenvector Centrality])</f>
        <v>0</v>
      </c>
      <c r="O2" s="39">
        <f>COUNTIF(Vertices[Eigenvector Centrality],"&gt;= "&amp;N2)-COUNTIF(Vertices[Eigenvector Centrality],"&gt;="&amp;N3)</f>
        <v>15</v>
      </c>
      <c r="P2" s="38">
        <f>MIN(Vertices[PageRank])</f>
        <v>0.381702</v>
      </c>
      <c r="Q2" s="39">
        <f>COUNTIF(Vertices[PageRank],"&gt;= "&amp;P2)-COUNTIF(Vertices[PageRank],"&gt;="&amp;P3)</f>
        <v>104</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15</v>
      </c>
      <c r="H3" s="40">
        <f aca="true" t="shared" si="3" ref="H3:H35">H2+($H$36-$H$2)/BinDivisor</f>
        <v>2.0588235294117645</v>
      </c>
      <c r="I3" s="41">
        <f>COUNTIF(Vertices[Out-Degree],"&gt;= "&amp;H3)-COUNTIF(Vertices[Out-Degree],"&gt;="&amp;H4)</f>
        <v>10</v>
      </c>
      <c r="J3" s="40">
        <f aca="true" t="shared" si="4" ref="J3:J35">J2+($J$36-$J$2)/BinDivisor</f>
        <v>327.6813725588235</v>
      </c>
      <c r="K3" s="41">
        <f>COUNTIF(Vertices[Betweenness Centrality],"&gt;= "&amp;J3)-COUNTIF(Vertices[Betweenness Centrality],"&gt;="&amp;J4)</f>
        <v>3</v>
      </c>
      <c r="L3" s="40">
        <f aca="true" t="shared" si="5" ref="L3:L35">L2+($L$36-$L$2)/BinDivisor</f>
        <v>0.017646764705882355</v>
      </c>
      <c r="M3" s="41">
        <f>COUNTIF(Vertices[Closeness Centrality],"&gt;= "&amp;L3)-COUNTIF(Vertices[Closeness Centrality],"&gt;="&amp;L4)</f>
        <v>0</v>
      </c>
      <c r="N3" s="40">
        <f aca="true" t="shared" si="6" ref="N3:N35">N2+($N$36-$N$2)/BinDivisor</f>
        <v>0.0025883823529411765</v>
      </c>
      <c r="O3" s="41">
        <f>COUNTIF(Vertices[Eigenvector Centrality],"&gt;= "&amp;N3)-COUNTIF(Vertices[Eigenvector Centrality],"&gt;="&amp;N4)</f>
        <v>2</v>
      </c>
      <c r="P3" s="40">
        <f aca="true" t="shared" si="7" ref="P3:P35">P2+($P$36-$P$2)/BinDivisor</f>
        <v>1.2130669705882353</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2.9411764705882355</v>
      </c>
      <c r="G4" s="39">
        <f>COUNTIF(Vertices[In-Degree],"&gt;= "&amp;F4)-COUNTIF(Vertices[In-Degree],"&gt;="&amp;F5)</f>
        <v>20</v>
      </c>
      <c r="H4" s="38">
        <f t="shared" si="3"/>
        <v>4.117647058823529</v>
      </c>
      <c r="I4" s="39">
        <f>COUNTIF(Vertices[Out-Degree],"&gt;= "&amp;H4)-COUNTIF(Vertices[Out-Degree],"&gt;="&amp;H5)</f>
        <v>1</v>
      </c>
      <c r="J4" s="38">
        <f t="shared" si="4"/>
        <v>655.362745117647</v>
      </c>
      <c r="K4" s="39">
        <f>COUNTIF(Vertices[Betweenness Centrality],"&gt;= "&amp;J4)-COUNTIF(Vertices[Betweenness Centrality],"&gt;="&amp;J5)</f>
        <v>0</v>
      </c>
      <c r="L4" s="38">
        <f t="shared" si="5"/>
        <v>0.032263529411764705</v>
      </c>
      <c r="M4" s="39">
        <f>COUNTIF(Vertices[Closeness Centrality],"&gt;= "&amp;L4)-COUNTIF(Vertices[Closeness Centrality],"&gt;="&amp;L5)</f>
        <v>0</v>
      </c>
      <c r="N4" s="38">
        <f t="shared" si="6"/>
        <v>0.005176764705882353</v>
      </c>
      <c r="O4" s="39">
        <f>COUNTIF(Vertices[Eigenvector Centrality],"&gt;= "&amp;N4)-COUNTIF(Vertices[Eigenvector Centrality],"&gt;="&amp;N5)</f>
        <v>0</v>
      </c>
      <c r="P4" s="38">
        <f t="shared" si="7"/>
        <v>2.0444319411764704</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4.411764705882353</v>
      </c>
      <c r="G5" s="41">
        <f>COUNTIF(Vertices[In-Degree],"&gt;= "&amp;F5)-COUNTIF(Vertices[In-Degree],"&gt;="&amp;F6)</f>
        <v>1</v>
      </c>
      <c r="H5" s="40">
        <f t="shared" si="3"/>
        <v>6.1764705882352935</v>
      </c>
      <c r="I5" s="41">
        <f>COUNTIF(Vertices[Out-Degree],"&gt;= "&amp;H5)-COUNTIF(Vertices[Out-Degree],"&gt;="&amp;H6)</f>
        <v>0</v>
      </c>
      <c r="J5" s="40">
        <f t="shared" si="4"/>
        <v>983.0441176764705</v>
      </c>
      <c r="K5" s="41">
        <f>COUNTIF(Vertices[Betweenness Centrality],"&gt;= "&amp;J5)-COUNTIF(Vertices[Betweenness Centrality],"&gt;="&amp;J6)</f>
        <v>0</v>
      </c>
      <c r="L5" s="40">
        <f t="shared" si="5"/>
        <v>0.04688029411764706</v>
      </c>
      <c r="M5" s="41">
        <f>COUNTIF(Vertices[Closeness Centrality],"&gt;= "&amp;L5)-COUNTIF(Vertices[Closeness Centrality],"&gt;="&amp;L6)</f>
        <v>0</v>
      </c>
      <c r="N5" s="40">
        <f t="shared" si="6"/>
        <v>0.007765147058823529</v>
      </c>
      <c r="O5" s="41">
        <f>COUNTIF(Vertices[Eigenvector Centrality],"&gt;= "&amp;N5)-COUNTIF(Vertices[Eigenvector Centrality],"&gt;="&amp;N6)</f>
        <v>83</v>
      </c>
      <c r="P5" s="40">
        <f t="shared" si="7"/>
        <v>2.8757969117647058</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194</v>
      </c>
      <c r="D6" s="33">
        <f t="shared" si="1"/>
        <v>0</v>
      </c>
      <c r="E6" s="3">
        <f>COUNTIF(Vertices[Degree],"&gt;= "&amp;D6)-COUNTIF(Vertices[Degree],"&gt;="&amp;D7)</f>
        <v>0</v>
      </c>
      <c r="F6" s="38">
        <f t="shared" si="2"/>
        <v>5.882352941176471</v>
      </c>
      <c r="G6" s="39">
        <f>COUNTIF(Vertices[In-Degree],"&gt;= "&amp;F6)-COUNTIF(Vertices[In-Degree],"&gt;="&amp;F7)</f>
        <v>1</v>
      </c>
      <c r="H6" s="38">
        <f t="shared" si="3"/>
        <v>8.235294117647058</v>
      </c>
      <c r="I6" s="39">
        <f>COUNTIF(Vertices[Out-Degree],"&gt;= "&amp;H6)-COUNTIF(Vertices[Out-Degree],"&gt;="&amp;H7)</f>
        <v>0</v>
      </c>
      <c r="J6" s="38">
        <f t="shared" si="4"/>
        <v>1310.725490235294</v>
      </c>
      <c r="K6" s="39">
        <f>COUNTIF(Vertices[Betweenness Centrality],"&gt;= "&amp;J6)-COUNTIF(Vertices[Betweenness Centrality],"&gt;="&amp;J7)</f>
        <v>0</v>
      </c>
      <c r="L6" s="38">
        <f t="shared" si="5"/>
        <v>0.06149705882352942</v>
      </c>
      <c r="M6" s="39">
        <f>COUNTIF(Vertices[Closeness Centrality],"&gt;= "&amp;L6)-COUNTIF(Vertices[Closeness Centrality],"&gt;="&amp;L7)</f>
        <v>0</v>
      </c>
      <c r="N6" s="38">
        <f t="shared" si="6"/>
        <v>0.010353529411764706</v>
      </c>
      <c r="O6" s="39">
        <f>COUNTIF(Vertices[Eigenvector Centrality],"&gt;= "&amp;N6)-COUNTIF(Vertices[Eigenvector Centrality],"&gt;="&amp;N7)</f>
        <v>13</v>
      </c>
      <c r="P6" s="38">
        <f t="shared" si="7"/>
        <v>3.707161882352941</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50</v>
      </c>
      <c r="D7" s="33">
        <f t="shared" si="1"/>
        <v>0</v>
      </c>
      <c r="E7" s="3">
        <f>COUNTIF(Vertices[Degree],"&gt;= "&amp;D7)-COUNTIF(Vertices[Degree],"&gt;="&amp;D8)</f>
        <v>0</v>
      </c>
      <c r="F7" s="40">
        <f t="shared" si="2"/>
        <v>7.352941176470589</v>
      </c>
      <c r="G7" s="41">
        <f>COUNTIF(Vertices[In-Degree],"&gt;= "&amp;F7)-COUNTIF(Vertices[In-Degree],"&gt;="&amp;F8)</f>
        <v>1</v>
      </c>
      <c r="H7" s="40">
        <f t="shared" si="3"/>
        <v>10.294117647058822</v>
      </c>
      <c r="I7" s="41">
        <f>COUNTIF(Vertices[Out-Degree],"&gt;= "&amp;H7)-COUNTIF(Vertices[Out-Degree],"&gt;="&amp;H8)</f>
        <v>1</v>
      </c>
      <c r="J7" s="40">
        <f t="shared" si="4"/>
        <v>1638.4068627941176</v>
      </c>
      <c r="K7" s="41">
        <f>COUNTIF(Vertices[Betweenness Centrality],"&gt;= "&amp;J7)-COUNTIF(Vertices[Betweenness Centrality],"&gt;="&amp;J8)</f>
        <v>0</v>
      </c>
      <c r="L7" s="40">
        <f t="shared" si="5"/>
        <v>0.07611382352941178</v>
      </c>
      <c r="M7" s="41">
        <f>COUNTIF(Vertices[Closeness Centrality],"&gt;= "&amp;L7)-COUNTIF(Vertices[Closeness Centrality],"&gt;="&amp;L8)</f>
        <v>0</v>
      </c>
      <c r="N7" s="40">
        <f t="shared" si="6"/>
        <v>0.012941911764705882</v>
      </c>
      <c r="O7" s="41">
        <f>COUNTIF(Vertices[Eigenvector Centrality],"&gt;= "&amp;N7)-COUNTIF(Vertices[Eigenvector Centrality],"&gt;="&amp;N8)</f>
        <v>1</v>
      </c>
      <c r="P7" s="40">
        <f t="shared" si="7"/>
        <v>4.538526852941176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244</v>
      </c>
      <c r="D8" s="33">
        <f t="shared" si="1"/>
        <v>0</v>
      </c>
      <c r="E8" s="3">
        <f>COUNTIF(Vertices[Degree],"&gt;= "&amp;D8)-COUNTIF(Vertices[Degree],"&gt;="&amp;D9)</f>
        <v>0</v>
      </c>
      <c r="F8" s="38">
        <f t="shared" si="2"/>
        <v>8.823529411764707</v>
      </c>
      <c r="G8" s="39">
        <f>COUNTIF(Vertices[In-Degree],"&gt;= "&amp;F8)-COUNTIF(Vertices[In-Degree],"&gt;="&amp;F9)</f>
        <v>0</v>
      </c>
      <c r="H8" s="38">
        <f t="shared" si="3"/>
        <v>12.352941176470587</v>
      </c>
      <c r="I8" s="39">
        <f>COUNTIF(Vertices[Out-Degree],"&gt;= "&amp;H8)-COUNTIF(Vertices[Out-Degree],"&gt;="&amp;H9)</f>
        <v>0</v>
      </c>
      <c r="J8" s="38">
        <f t="shared" si="4"/>
        <v>1966.0882353529412</v>
      </c>
      <c r="K8" s="39">
        <f>COUNTIF(Vertices[Betweenness Centrality],"&gt;= "&amp;J8)-COUNTIF(Vertices[Betweenness Centrality],"&gt;="&amp;J9)</f>
        <v>0</v>
      </c>
      <c r="L8" s="38">
        <f t="shared" si="5"/>
        <v>0.09073058823529413</v>
      </c>
      <c r="M8" s="39">
        <f>COUNTIF(Vertices[Closeness Centrality],"&gt;= "&amp;L8)-COUNTIF(Vertices[Closeness Centrality],"&gt;="&amp;L9)</f>
        <v>0</v>
      </c>
      <c r="N8" s="38">
        <f t="shared" si="6"/>
        <v>0.015530294117647059</v>
      </c>
      <c r="O8" s="39">
        <f>COUNTIF(Vertices[Eigenvector Centrality],"&gt;= "&amp;N8)-COUNTIF(Vertices[Eigenvector Centrality],"&gt;="&amp;N9)</f>
        <v>0</v>
      </c>
      <c r="P8" s="38">
        <f t="shared" si="7"/>
        <v>5.369891823529412</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4"/>
      <c r="B9" s="114"/>
      <c r="D9" s="33">
        <f t="shared" si="1"/>
        <v>0</v>
      </c>
      <c r="E9" s="3">
        <f>COUNTIF(Vertices[Degree],"&gt;= "&amp;D9)-COUNTIF(Vertices[Degree],"&gt;="&amp;D10)</f>
        <v>0</v>
      </c>
      <c r="F9" s="40">
        <f t="shared" si="2"/>
        <v>10.294117647058824</v>
      </c>
      <c r="G9" s="41">
        <f>COUNTIF(Vertices[In-Degree],"&gt;= "&amp;F9)-COUNTIF(Vertices[In-Degree],"&gt;="&amp;F10)</f>
        <v>0</v>
      </c>
      <c r="H9" s="40">
        <f t="shared" si="3"/>
        <v>14.411764705882351</v>
      </c>
      <c r="I9" s="41">
        <f>COUNTIF(Vertices[Out-Degree],"&gt;= "&amp;H9)-COUNTIF(Vertices[Out-Degree],"&gt;="&amp;H10)</f>
        <v>0</v>
      </c>
      <c r="J9" s="40">
        <f t="shared" si="4"/>
        <v>2293.7696079117645</v>
      </c>
      <c r="K9" s="41">
        <f>COUNTIF(Vertices[Betweenness Centrality],"&gt;= "&amp;J9)-COUNTIF(Vertices[Betweenness Centrality],"&gt;="&amp;J10)</f>
        <v>0</v>
      </c>
      <c r="L9" s="40">
        <f t="shared" si="5"/>
        <v>0.10534735294117649</v>
      </c>
      <c r="M9" s="41">
        <f>COUNTIF(Vertices[Closeness Centrality],"&gt;= "&amp;L9)-COUNTIF(Vertices[Closeness Centrality],"&gt;="&amp;L10)</f>
        <v>0</v>
      </c>
      <c r="N9" s="40">
        <f t="shared" si="6"/>
        <v>0.018118676470588235</v>
      </c>
      <c r="O9" s="41">
        <f>COUNTIF(Vertices[Eigenvector Centrality],"&gt;= "&amp;N9)-COUNTIF(Vertices[Eigenvector Centrality],"&gt;="&amp;N10)</f>
        <v>0</v>
      </c>
      <c r="P9" s="40">
        <f t="shared" si="7"/>
        <v>6.201256794117647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2088</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16.470588235294116</v>
      </c>
      <c r="I10" s="39">
        <f>COUNTIF(Vertices[Out-Degree],"&gt;= "&amp;H10)-COUNTIF(Vertices[Out-Degree],"&gt;="&amp;H11)</f>
        <v>0</v>
      </c>
      <c r="J10" s="38">
        <f t="shared" si="4"/>
        <v>2621.450980470588</v>
      </c>
      <c r="K10" s="39">
        <f>COUNTIF(Vertices[Betweenness Centrality],"&gt;= "&amp;J10)-COUNTIF(Vertices[Betweenness Centrality],"&gt;="&amp;J11)</f>
        <v>0</v>
      </c>
      <c r="L10" s="38">
        <f t="shared" si="5"/>
        <v>0.11996411764705885</v>
      </c>
      <c r="M10" s="39">
        <f>COUNTIF(Vertices[Closeness Centrality],"&gt;= "&amp;L10)-COUNTIF(Vertices[Closeness Centrality],"&gt;="&amp;L11)</f>
        <v>0</v>
      </c>
      <c r="N10" s="38">
        <f t="shared" si="6"/>
        <v>0.020707058823529412</v>
      </c>
      <c r="O10" s="39">
        <f>COUNTIF(Vertices[Eigenvector Centrality],"&gt;= "&amp;N10)-COUNTIF(Vertices[Eigenvector Centrality],"&gt;="&amp;N11)</f>
        <v>1</v>
      </c>
      <c r="P10" s="38">
        <f t="shared" si="7"/>
        <v>7.032621764705882</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4"/>
      <c r="B11" s="114"/>
      <c r="D11" s="33">
        <f t="shared" si="1"/>
        <v>0</v>
      </c>
      <c r="E11" s="3">
        <f>COUNTIF(Vertices[Degree],"&gt;= "&amp;D11)-COUNTIF(Vertices[Degree],"&gt;="&amp;D12)</f>
        <v>0</v>
      </c>
      <c r="F11" s="40">
        <f t="shared" si="2"/>
        <v>13.23529411764706</v>
      </c>
      <c r="G11" s="41">
        <f>COUNTIF(Vertices[In-Degree],"&gt;= "&amp;F11)-COUNTIF(Vertices[In-Degree],"&gt;="&amp;F12)</f>
        <v>0</v>
      </c>
      <c r="H11" s="40">
        <f t="shared" si="3"/>
        <v>18.52941176470588</v>
      </c>
      <c r="I11" s="41">
        <f>COUNTIF(Vertices[Out-Degree],"&gt;= "&amp;H11)-COUNTIF(Vertices[Out-Degree],"&gt;="&amp;H12)</f>
        <v>0</v>
      </c>
      <c r="J11" s="40">
        <f t="shared" si="4"/>
        <v>2949.1323530294117</v>
      </c>
      <c r="K11" s="41">
        <f>COUNTIF(Vertices[Betweenness Centrality],"&gt;= "&amp;J11)-COUNTIF(Vertices[Betweenness Centrality],"&gt;="&amp;J12)</f>
        <v>0</v>
      </c>
      <c r="L11" s="40">
        <f t="shared" si="5"/>
        <v>0.1345808823529412</v>
      </c>
      <c r="M11" s="41">
        <f>COUNTIF(Vertices[Closeness Centrality],"&gt;= "&amp;L11)-COUNTIF(Vertices[Closeness Centrality],"&gt;="&amp;L12)</f>
        <v>0</v>
      </c>
      <c r="N11" s="40">
        <f t="shared" si="6"/>
        <v>0.023295441176470588</v>
      </c>
      <c r="O11" s="41">
        <f>COUNTIF(Vertices[Eigenvector Centrality],"&gt;= "&amp;N11)-COUNTIF(Vertices[Eigenvector Centrality],"&gt;="&amp;N12)</f>
        <v>0</v>
      </c>
      <c r="P11" s="40">
        <f t="shared" si="7"/>
        <v>7.863986735294118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351</v>
      </c>
      <c r="B12" s="35">
        <v>64</v>
      </c>
      <c r="D12" s="33">
        <f t="shared" si="1"/>
        <v>0</v>
      </c>
      <c r="E12" s="3">
        <f>COUNTIF(Vertices[Degree],"&gt;= "&amp;D12)-COUNTIF(Vertices[Degree],"&gt;="&amp;D13)</f>
        <v>0</v>
      </c>
      <c r="F12" s="38">
        <f t="shared" si="2"/>
        <v>14.705882352941178</v>
      </c>
      <c r="G12" s="39">
        <f>COUNTIF(Vertices[In-Degree],"&gt;= "&amp;F12)-COUNTIF(Vertices[In-Degree],"&gt;="&amp;F13)</f>
        <v>0</v>
      </c>
      <c r="H12" s="38">
        <f t="shared" si="3"/>
        <v>20.588235294117645</v>
      </c>
      <c r="I12" s="39">
        <f>COUNTIF(Vertices[Out-Degree],"&gt;= "&amp;H12)-COUNTIF(Vertices[Out-Degree],"&gt;="&amp;H13)</f>
        <v>0</v>
      </c>
      <c r="J12" s="38">
        <f t="shared" si="4"/>
        <v>3276.8137255882352</v>
      </c>
      <c r="K12" s="39">
        <f>COUNTIF(Vertices[Betweenness Centrality],"&gt;= "&amp;J12)-COUNTIF(Vertices[Betweenness Centrality],"&gt;="&amp;J13)</f>
        <v>0</v>
      </c>
      <c r="L12" s="38">
        <f t="shared" si="5"/>
        <v>0.14919764705882355</v>
      </c>
      <c r="M12" s="39">
        <f>COUNTIF(Vertices[Closeness Centrality],"&gt;= "&amp;L12)-COUNTIF(Vertices[Closeness Centrality],"&gt;="&amp;L13)</f>
        <v>0</v>
      </c>
      <c r="N12" s="38">
        <f t="shared" si="6"/>
        <v>0.025883823529411765</v>
      </c>
      <c r="O12" s="39">
        <f>COUNTIF(Vertices[Eigenvector Centrality],"&gt;= "&amp;N12)-COUNTIF(Vertices[Eigenvector Centrality],"&gt;="&amp;N13)</f>
        <v>0</v>
      </c>
      <c r="P12" s="38">
        <f t="shared" si="7"/>
        <v>8.695351705882352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353</v>
      </c>
      <c r="B13" s="35">
        <v>87</v>
      </c>
      <c r="D13" s="33">
        <f t="shared" si="1"/>
        <v>0</v>
      </c>
      <c r="E13" s="3">
        <f>COUNTIF(Vertices[Degree],"&gt;= "&amp;D13)-COUNTIF(Vertices[Degree],"&gt;="&amp;D14)</f>
        <v>0</v>
      </c>
      <c r="F13" s="40">
        <f t="shared" si="2"/>
        <v>16.176470588235297</v>
      </c>
      <c r="G13" s="41">
        <f>COUNTIF(Vertices[In-Degree],"&gt;= "&amp;F13)-COUNTIF(Vertices[In-Degree],"&gt;="&amp;F14)</f>
        <v>0</v>
      </c>
      <c r="H13" s="40">
        <f t="shared" si="3"/>
        <v>22.64705882352941</v>
      </c>
      <c r="I13" s="41">
        <f>COUNTIF(Vertices[Out-Degree],"&gt;= "&amp;H13)-COUNTIF(Vertices[Out-Degree],"&gt;="&amp;H14)</f>
        <v>0</v>
      </c>
      <c r="J13" s="40">
        <f t="shared" si="4"/>
        <v>3604.495098147059</v>
      </c>
      <c r="K13" s="41">
        <f>COUNTIF(Vertices[Betweenness Centrality],"&gt;= "&amp;J13)-COUNTIF(Vertices[Betweenness Centrality],"&gt;="&amp;J14)</f>
        <v>0</v>
      </c>
      <c r="L13" s="40">
        <f t="shared" si="5"/>
        <v>0.1638144117647059</v>
      </c>
      <c r="M13" s="41">
        <f>COUNTIF(Vertices[Closeness Centrality],"&gt;= "&amp;L13)-COUNTIF(Vertices[Closeness Centrality],"&gt;="&amp;L14)</f>
        <v>0</v>
      </c>
      <c r="N13" s="40">
        <f t="shared" si="6"/>
        <v>0.02847220588235294</v>
      </c>
      <c r="O13" s="41">
        <f>COUNTIF(Vertices[Eigenvector Centrality],"&gt;= "&amp;N13)-COUNTIF(Vertices[Eigenvector Centrality],"&gt;="&amp;N14)</f>
        <v>0</v>
      </c>
      <c r="P13" s="40">
        <f t="shared" si="7"/>
        <v>9.526716676470588</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197</v>
      </c>
      <c r="B14" s="35">
        <v>29</v>
      </c>
      <c r="D14" s="33">
        <f t="shared" si="1"/>
        <v>0</v>
      </c>
      <c r="E14" s="3">
        <f>COUNTIF(Vertices[Degree],"&gt;= "&amp;D14)-COUNTIF(Vertices[Degree],"&gt;="&amp;D15)</f>
        <v>0</v>
      </c>
      <c r="F14" s="38">
        <f t="shared" si="2"/>
        <v>17.647058823529413</v>
      </c>
      <c r="G14" s="39">
        <f>COUNTIF(Vertices[In-Degree],"&gt;= "&amp;F14)-COUNTIF(Vertices[In-Degree],"&gt;="&amp;F15)</f>
        <v>0</v>
      </c>
      <c r="H14" s="38">
        <f t="shared" si="3"/>
        <v>24.705882352941174</v>
      </c>
      <c r="I14" s="39">
        <f>COUNTIF(Vertices[Out-Degree],"&gt;= "&amp;H14)-COUNTIF(Vertices[Out-Degree],"&gt;="&amp;H15)</f>
        <v>0</v>
      </c>
      <c r="J14" s="38">
        <f t="shared" si="4"/>
        <v>3932.1764707058824</v>
      </c>
      <c r="K14" s="39">
        <f>COUNTIF(Vertices[Betweenness Centrality],"&gt;= "&amp;J14)-COUNTIF(Vertices[Betweenness Centrality],"&gt;="&amp;J15)</f>
        <v>0</v>
      </c>
      <c r="L14" s="38">
        <f t="shared" si="5"/>
        <v>0.17843117647058826</v>
      </c>
      <c r="M14" s="39">
        <f>COUNTIF(Vertices[Closeness Centrality],"&gt;= "&amp;L14)-COUNTIF(Vertices[Closeness Centrality],"&gt;="&amp;L15)</f>
        <v>0</v>
      </c>
      <c r="N14" s="38">
        <f t="shared" si="6"/>
        <v>0.031060588235294118</v>
      </c>
      <c r="O14" s="39">
        <f>COUNTIF(Vertices[Eigenvector Centrality],"&gt;= "&amp;N14)-COUNTIF(Vertices[Eigenvector Centrality],"&gt;="&amp;N15)</f>
        <v>0</v>
      </c>
      <c r="P14" s="38">
        <f t="shared" si="7"/>
        <v>10.358081647058825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352</v>
      </c>
      <c r="B15" s="35">
        <v>64</v>
      </c>
      <c r="D15" s="33">
        <f t="shared" si="1"/>
        <v>0</v>
      </c>
      <c r="E15" s="3">
        <f>COUNTIF(Vertices[Degree],"&gt;= "&amp;D15)-COUNTIF(Vertices[Degree],"&gt;="&amp;D16)</f>
        <v>0</v>
      </c>
      <c r="F15" s="40">
        <f t="shared" si="2"/>
        <v>19.11764705882353</v>
      </c>
      <c r="G15" s="41">
        <f>COUNTIF(Vertices[In-Degree],"&gt;= "&amp;F15)-COUNTIF(Vertices[In-Degree],"&gt;="&amp;F16)</f>
        <v>0</v>
      </c>
      <c r="H15" s="40">
        <f t="shared" si="3"/>
        <v>26.76470588235294</v>
      </c>
      <c r="I15" s="41">
        <f>COUNTIF(Vertices[Out-Degree],"&gt;= "&amp;H15)-COUNTIF(Vertices[Out-Degree],"&gt;="&amp;H16)</f>
        <v>0</v>
      </c>
      <c r="J15" s="40">
        <f t="shared" si="4"/>
        <v>4259.8578432647055</v>
      </c>
      <c r="K15" s="41">
        <f>COUNTIF(Vertices[Betweenness Centrality],"&gt;= "&amp;J15)-COUNTIF(Vertices[Betweenness Centrality],"&gt;="&amp;J16)</f>
        <v>0</v>
      </c>
      <c r="L15" s="40">
        <f t="shared" si="5"/>
        <v>0.19304794117647062</v>
      </c>
      <c r="M15" s="41">
        <f>COUNTIF(Vertices[Closeness Centrality],"&gt;= "&amp;L15)-COUNTIF(Vertices[Closeness Centrality],"&gt;="&amp;L16)</f>
        <v>3</v>
      </c>
      <c r="N15" s="40">
        <f t="shared" si="6"/>
        <v>0.033648970588235294</v>
      </c>
      <c r="O15" s="41">
        <f>COUNTIF(Vertices[Eigenvector Centrality],"&gt;= "&amp;N15)-COUNTIF(Vertices[Eigenvector Centrality],"&gt;="&amp;N16)</f>
        <v>0</v>
      </c>
      <c r="P15" s="40">
        <f t="shared" si="7"/>
        <v>11.18944661764706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4"/>
      <c r="B16" s="114"/>
      <c r="D16" s="33">
        <f t="shared" si="1"/>
        <v>0</v>
      </c>
      <c r="E16" s="3">
        <f>COUNTIF(Vertices[Degree],"&gt;= "&amp;D16)-COUNTIF(Vertices[Degree],"&gt;="&amp;D17)</f>
        <v>0</v>
      </c>
      <c r="F16" s="38">
        <f t="shared" si="2"/>
        <v>20.588235294117645</v>
      </c>
      <c r="G16" s="39">
        <f>COUNTIF(Vertices[In-Degree],"&gt;= "&amp;F16)-COUNTIF(Vertices[In-Degree],"&gt;="&amp;F17)</f>
        <v>0</v>
      </c>
      <c r="H16" s="38">
        <f t="shared" si="3"/>
        <v>28.823529411764703</v>
      </c>
      <c r="I16" s="39">
        <f>COUNTIF(Vertices[Out-Degree],"&gt;= "&amp;H16)-COUNTIF(Vertices[Out-Degree],"&gt;="&amp;H17)</f>
        <v>0</v>
      </c>
      <c r="J16" s="38">
        <f t="shared" si="4"/>
        <v>4587.539215823529</v>
      </c>
      <c r="K16" s="39">
        <f>COUNTIF(Vertices[Betweenness Centrality],"&gt;= "&amp;J16)-COUNTIF(Vertices[Betweenness Centrality],"&gt;="&amp;J17)</f>
        <v>0</v>
      </c>
      <c r="L16" s="38">
        <f t="shared" si="5"/>
        <v>0.20766470588235297</v>
      </c>
      <c r="M16" s="39">
        <f>COUNTIF(Vertices[Closeness Centrality],"&gt;= "&amp;L16)-COUNTIF(Vertices[Closeness Centrality],"&gt;="&amp;L17)</f>
        <v>0</v>
      </c>
      <c r="N16" s="38">
        <f t="shared" si="6"/>
        <v>0.03623735294117647</v>
      </c>
      <c r="O16" s="39">
        <f>COUNTIF(Vertices[Eigenvector Centrality],"&gt;= "&amp;N16)-COUNTIF(Vertices[Eigenvector Centrality],"&gt;="&amp;N17)</f>
        <v>0</v>
      </c>
      <c r="P16" s="38">
        <f t="shared" si="7"/>
        <v>12.020811588235297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29</v>
      </c>
      <c r="D17" s="33">
        <f t="shared" si="1"/>
        <v>0</v>
      </c>
      <c r="E17" s="3">
        <f>COUNTIF(Vertices[Degree],"&gt;= "&amp;D17)-COUNTIF(Vertices[Degree],"&gt;="&amp;D18)</f>
        <v>0</v>
      </c>
      <c r="F17" s="40">
        <f t="shared" si="2"/>
        <v>22.05882352941176</v>
      </c>
      <c r="G17" s="41">
        <f>COUNTIF(Vertices[In-Degree],"&gt;= "&amp;F17)-COUNTIF(Vertices[In-Degree],"&gt;="&amp;F18)</f>
        <v>0</v>
      </c>
      <c r="H17" s="40">
        <f t="shared" si="3"/>
        <v>30.882352941176467</v>
      </c>
      <c r="I17" s="41">
        <f>COUNTIF(Vertices[Out-Degree],"&gt;= "&amp;H17)-COUNTIF(Vertices[Out-Degree],"&gt;="&amp;H18)</f>
        <v>0</v>
      </c>
      <c r="J17" s="40">
        <f t="shared" si="4"/>
        <v>4915.220588382353</v>
      </c>
      <c r="K17" s="41">
        <f>COUNTIF(Vertices[Betweenness Centrality],"&gt;= "&amp;J17)-COUNTIF(Vertices[Betweenness Centrality],"&gt;="&amp;J18)</f>
        <v>0</v>
      </c>
      <c r="L17" s="40">
        <f t="shared" si="5"/>
        <v>0.22228147058823533</v>
      </c>
      <c r="M17" s="41">
        <f>COUNTIF(Vertices[Closeness Centrality],"&gt;= "&amp;L17)-COUNTIF(Vertices[Closeness Centrality],"&gt;="&amp;L18)</f>
        <v>0</v>
      </c>
      <c r="N17" s="40">
        <f t="shared" si="6"/>
        <v>0.03882573529411765</v>
      </c>
      <c r="O17" s="41">
        <f>COUNTIF(Vertices[Eigenvector Centrality],"&gt;= "&amp;N17)-COUNTIF(Vertices[Eigenvector Centrality],"&gt;="&amp;N18)</f>
        <v>0</v>
      </c>
      <c r="P17" s="40">
        <f t="shared" si="7"/>
        <v>12.852176558823533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4"/>
      <c r="B18" s="114"/>
      <c r="D18" s="33">
        <f t="shared" si="1"/>
        <v>0</v>
      </c>
      <c r="E18" s="3">
        <f>COUNTIF(Vertices[Degree],"&gt;= "&amp;D18)-COUNTIF(Vertices[Degree],"&gt;="&amp;D19)</f>
        <v>0</v>
      </c>
      <c r="F18" s="38">
        <f t="shared" si="2"/>
        <v>23.529411764705877</v>
      </c>
      <c r="G18" s="39">
        <f>COUNTIF(Vertices[In-Degree],"&gt;= "&amp;F18)-COUNTIF(Vertices[In-Degree],"&gt;="&amp;F19)</f>
        <v>0</v>
      </c>
      <c r="H18" s="38">
        <f t="shared" si="3"/>
        <v>32.94117647058823</v>
      </c>
      <c r="I18" s="39">
        <f>COUNTIF(Vertices[Out-Degree],"&gt;= "&amp;H18)-COUNTIF(Vertices[Out-Degree],"&gt;="&amp;H19)</f>
        <v>0</v>
      </c>
      <c r="J18" s="38">
        <f t="shared" si="4"/>
        <v>5242.901960941176</v>
      </c>
      <c r="K18" s="39">
        <f>COUNTIF(Vertices[Betweenness Centrality],"&gt;= "&amp;J18)-COUNTIF(Vertices[Betweenness Centrality],"&gt;="&amp;J19)</f>
        <v>0</v>
      </c>
      <c r="L18" s="38">
        <f t="shared" si="5"/>
        <v>0.2368982352941177</v>
      </c>
      <c r="M18" s="39">
        <f>COUNTIF(Vertices[Closeness Centrality],"&gt;= "&amp;L18)-COUNTIF(Vertices[Closeness Centrality],"&gt;="&amp;L19)</f>
        <v>0</v>
      </c>
      <c r="N18" s="38">
        <f t="shared" si="6"/>
        <v>0.041414117647058823</v>
      </c>
      <c r="O18" s="39">
        <f>COUNTIF(Vertices[Eigenvector Centrality],"&gt;= "&amp;N18)-COUNTIF(Vertices[Eigenvector Centrality],"&gt;="&amp;N19)</f>
        <v>0</v>
      </c>
      <c r="P18" s="38">
        <f t="shared" si="7"/>
        <v>13.68354152941177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0.12429378531073447</v>
      </c>
      <c r="D19" s="33">
        <f t="shared" si="1"/>
        <v>0</v>
      </c>
      <c r="E19" s="3">
        <f>COUNTIF(Vertices[Degree],"&gt;= "&amp;D19)-COUNTIF(Vertices[Degree],"&gt;="&amp;D20)</f>
        <v>0</v>
      </c>
      <c r="F19" s="40">
        <f t="shared" si="2"/>
        <v>24.999999999999993</v>
      </c>
      <c r="G19" s="41">
        <f>COUNTIF(Vertices[In-Degree],"&gt;= "&amp;F19)-COUNTIF(Vertices[In-Degree],"&gt;="&amp;F20)</f>
        <v>0</v>
      </c>
      <c r="H19" s="40">
        <f t="shared" si="3"/>
        <v>35</v>
      </c>
      <c r="I19" s="41">
        <f>COUNTIF(Vertices[Out-Degree],"&gt;= "&amp;H19)-COUNTIF(Vertices[Out-Degree],"&gt;="&amp;H20)</f>
        <v>0</v>
      </c>
      <c r="J19" s="40">
        <f t="shared" si="4"/>
        <v>5570.5833335</v>
      </c>
      <c r="K19" s="41">
        <f>COUNTIF(Vertices[Betweenness Centrality],"&gt;= "&amp;J19)-COUNTIF(Vertices[Betweenness Centrality],"&gt;="&amp;J20)</f>
        <v>0</v>
      </c>
      <c r="L19" s="40">
        <f t="shared" si="5"/>
        <v>0.25151500000000004</v>
      </c>
      <c r="M19" s="41">
        <f>COUNTIF(Vertices[Closeness Centrality],"&gt;= "&amp;L19)-COUNTIF(Vertices[Closeness Centrality],"&gt;="&amp;L20)</f>
        <v>0</v>
      </c>
      <c r="N19" s="40">
        <f t="shared" si="6"/>
        <v>0.0440025</v>
      </c>
      <c r="O19" s="41">
        <f>COUNTIF(Vertices[Eigenvector Centrality],"&gt;= "&amp;N19)-COUNTIF(Vertices[Eigenvector Centrality],"&gt;="&amp;N20)</f>
        <v>0</v>
      </c>
      <c r="P19" s="40">
        <f t="shared" si="7"/>
        <v>14.514906500000006</v>
      </c>
      <c r="Q19" s="41">
        <f>COUNTIF(Vertices[PageRank],"&gt;= "&amp;P19)-COUNTIF(Vertices[PageRank],"&gt;="&amp;P20)</f>
        <v>0</v>
      </c>
      <c r="R19" s="40">
        <f t="shared" si="8"/>
        <v>0.5</v>
      </c>
      <c r="S19" s="45">
        <f>COUNTIF(Vertices[Clustering Coefficient],"&gt;= "&amp;R19)-COUNTIF(Vertices[Clustering Coefficient],"&gt;="&amp;R20)</f>
        <v>21</v>
      </c>
      <c r="T19" s="40" t="e">
        <f ca="1" t="shared" si="9"/>
        <v>#REF!</v>
      </c>
      <c r="U19" s="41" t="e">
        <f ca="1" t="shared" si="0"/>
        <v>#REF!</v>
      </c>
    </row>
    <row r="20" spans="1:21" ht="15">
      <c r="A20" s="35" t="s">
        <v>171</v>
      </c>
      <c r="B20" s="35">
        <v>0.22110552763819097</v>
      </c>
      <c r="D20" s="33">
        <f t="shared" si="1"/>
        <v>0</v>
      </c>
      <c r="E20" s="3">
        <f>COUNTIF(Vertices[Degree],"&gt;= "&amp;D20)-COUNTIF(Vertices[Degree],"&gt;="&amp;D21)</f>
        <v>0</v>
      </c>
      <c r="F20" s="38">
        <f t="shared" si="2"/>
        <v>26.47058823529411</v>
      </c>
      <c r="G20" s="39">
        <f>COUNTIF(Vertices[In-Degree],"&gt;= "&amp;F20)-COUNTIF(Vertices[In-Degree],"&gt;="&amp;F21)</f>
        <v>0</v>
      </c>
      <c r="H20" s="38">
        <f t="shared" si="3"/>
        <v>37.05882352941177</v>
      </c>
      <c r="I20" s="39">
        <f>COUNTIF(Vertices[Out-Degree],"&gt;= "&amp;H20)-COUNTIF(Vertices[Out-Degree],"&gt;="&amp;H21)</f>
        <v>0</v>
      </c>
      <c r="J20" s="38">
        <f t="shared" si="4"/>
        <v>5898.264706058823</v>
      </c>
      <c r="K20" s="39">
        <f>COUNTIF(Vertices[Betweenness Centrality],"&gt;= "&amp;J20)-COUNTIF(Vertices[Betweenness Centrality],"&gt;="&amp;J21)</f>
        <v>0</v>
      </c>
      <c r="L20" s="38">
        <f t="shared" si="5"/>
        <v>0.2661317647058824</v>
      </c>
      <c r="M20" s="39">
        <f>COUNTIF(Vertices[Closeness Centrality],"&gt;= "&amp;L20)-COUNTIF(Vertices[Closeness Centrality],"&gt;="&amp;L21)</f>
        <v>0</v>
      </c>
      <c r="N20" s="38">
        <f t="shared" si="6"/>
        <v>0.046590882352941176</v>
      </c>
      <c r="O20" s="39">
        <f>COUNTIF(Vertices[Eigenvector Centrality],"&gt;= "&amp;N20)-COUNTIF(Vertices[Eigenvector Centrality],"&gt;="&amp;N21)</f>
        <v>0</v>
      </c>
      <c r="P20" s="38">
        <f t="shared" si="7"/>
        <v>15.346271470588242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4"/>
      <c r="B21" s="114"/>
      <c r="D21" s="33">
        <f t="shared" si="1"/>
        <v>0</v>
      </c>
      <c r="E21" s="3">
        <f>COUNTIF(Vertices[Degree],"&gt;= "&amp;D21)-COUNTIF(Vertices[Degree],"&gt;="&amp;D22)</f>
        <v>0</v>
      </c>
      <c r="F21" s="40">
        <f t="shared" si="2"/>
        <v>27.941176470588225</v>
      </c>
      <c r="G21" s="41">
        <f>COUNTIF(Vertices[In-Degree],"&gt;= "&amp;F21)-COUNTIF(Vertices[In-Degree],"&gt;="&amp;F22)</f>
        <v>0</v>
      </c>
      <c r="H21" s="40">
        <f t="shared" si="3"/>
        <v>39.117647058823536</v>
      </c>
      <c r="I21" s="41">
        <f>COUNTIF(Vertices[Out-Degree],"&gt;= "&amp;H21)-COUNTIF(Vertices[Out-Degree],"&gt;="&amp;H22)</f>
        <v>0</v>
      </c>
      <c r="J21" s="40">
        <f t="shared" si="4"/>
        <v>6225.946078617647</v>
      </c>
      <c r="K21" s="41">
        <f>COUNTIF(Vertices[Betweenness Centrality],"&gt;= "&amp;J21)-COUNTIF(Vertices[Betweenness Centrality],"&gt;="&amp;J22)</f>
        <v>0</v>
      </c>
      <c r="L21" s="40">
        <f t="shared" si="5"/>
        <v>0.28074852941176476</v>
      </c>
      <c r="M21" s="41">
        <f>COUNTIF(Vertices[Closeness Centrality],"&gt;= "&amp;L21)-COUNTIF(Vertices[Closeness Centrality],"&gt;="&amp;L22)</f>
        <v>0</v>
      </c>
      <c r="N21" s="40">
        <f t="shared" si="6"/>
        <v>0.04917926470588235</v>
      </c>
      <c r="O21" s="41">
        <f>COUNTIF(Vertices[Eigenvector Centrality],"&gt;= "&amp;N21)-COUNTIF(Vertices[Eigenvector Centrality],"&gt;="&amp;N22)</f>
        <v>0</v>
      </c>
      <c r="P21" s="40">
        <f t="shared" si="7"/>
        <v>16.177636441176478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29.41176470588234</v>
      </c>
      <c r="G22" s="39">
        <f>COUNTIF(Vertices[In-Degree],"&gt;= "&amp;F22)-COUNTIF(Vertices[In-Degree],"&gt;="&amp;F23)</f>
        <v>0</v>
      </c>
      <c r="H22" s="38">
        <f t="shared" si="3"/>
        <v>41.176470588235304</v>
      </c>
      <c r="I22" s="39">
        <f>COUNTIF(Vertices[Out-Degree],"&gt;= "&amp;H22)-COUNTIF(Vertices[Out-Degree],"&gt;="&amp;H23)</f>
        <v>0</v>
      </c>
      <c r="J22" s="38">
        <f t="shared" si="4"/>
        <v>6553.6274511764705</v>
      </c>
      <c r="K22" s="39">
        <f>COUNTIF(Vertices[Betweenness Centrality],"&gt;= "&amp;J22)-COUNTIF(Vertices[Betweenness Centrality],"&gt;="&amp;J23)</f>
        <v>0</v>
      </c>
      <c r="L22" s="38">
        <f t="shared" si="5"/>
        <v>0.2953652941176471</v>
      </c>
      <c r="M22" s="39">
        <f>COUNTIF(Vertices[Closeness Centrality],"&gt;= "&amp;L22)-COUNTIF(Vertices[Closeness Centrality],"&gt;="&amp;L23)</f>
        <v>0</v>
      </c>
      <c r="N22" s="38">
        <f t="shared" si="6"/>
        <v>0.05176764705882353</v>
      </c>
      <c r="O22" s="39">
        <f>COUNTIF(Vertices[Eigenvector Centrality],"&gt;= "&amp;N22)-COUNTIF(Vertices[Eigenvector Centrality],"&gt;="&amp;N23)</f>
        <v>0</v>
      </c>
      <c r="P22" s="38">
        <f t="shared" si="7"/>
        <v>17.009001411764714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30.882352941176457</v>
      </c>
      <c r="G23" s="41">
        <f>COUNTIF(Vertices[In-Degree],"&gt;= "&amp;F23)-COUNTIF(Vertices[In-Degree],"&gt;="&amp;F24)</f>
        <v>0</v>
      </c>
      <c r="H23" s="40">
        <f t="shared" si="3"/>
        <v>43.23529411764707</v>
      </c>
      <c r="I23" s="41">
        <f>COUNTIF(Vertices[Out-Degree],"&gt;= "&amp;H23)-COUNTIF(Vertices[Out-Degree],"&gt;="&amp;H24)</f>
        <v>0</v>
      </c>
      <c r="J23" s="40">
        <f t="shared" si="4"/>
        <v>6881.308823735294</v>
      </c>
      <c r="K23" s="41">
        <f>COUNTIF(Vertices[Betweenness Centrality],"&gt;= "&amp;J23)-COUNTIF(Vertices[Betweenness Centrality],"&gt;="&amp;J24)</f>
        <v>0</v>
      </c>
      <c r="L23" s="40">
        <f t="shared" si="5"/>
        <v>0.30998205882352947</v>
      </c>
      <c r="M23" s="41">
        <f>COUNTIF(Vertices[Closeness Centrality],"&gt;= "&amp;L23)-COUNTIF(Vertices[Closeness Centrality],"&gt;="&amp;L24)</f>
        <v>0</v>
      </c>
      <c r="N23" s="40">
        <f t="shared" si="6"/>
        <v>0.054356029411764706</v>
      </c>
      <c r="O23" s="41">
        <f>COUNTIF(Vertices[Eigenvector Centrality],"&gt;= "&amp;N23)-COUNTIF(Vertices[Eigenvector Centrality],"&gt;="&amp;N24)</f>
        <v>0</v>
      </c>
      <c r="P23" s="40">
        <f t="shared" si="7"/>
        <v>17.84036638235295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109</v>
      </c>
      <c r="D24" s="33">
        <f t="shared" si="1"/>
        <v>0</v>
      </c>
      <c r="E24" s="3">
        <f>COUNTIF(Vertices[Degree],"&gt;= "&amp;D24)-COUNTIF(Vertices[Degree],"&gt;="&amp;D25)</f>
        <v>0</v>
      </c>
      <c r="F24" s="38">
        <f t="shared" si="2"/>
        <v>32.35294117647057</v>
      </c>
      <c r="G24" s="39">
        <f>COUNTIF(Vertices[In-Degree],"&gt;= "&amp;F24)-COUNTIF(Vertices[In-Degree],"&gt;="&amp;F25)</f>
        <v>0</v>
      </c>
      <c r="H24" s="38">
        <f t="shared" si="3"/>
        <v>45.29411764705884</v>
      </c>
      <c r="I24" s="39">
        <f>COUNTIF(Vertices[Out-Degree],"&gt;= "&amp;H24)-COUNTIF(Vertices[Out-Degree],"&gt;="&amp;H25)</f>
        <v>0</v>
      </c>
      <c r="J24" s="38">
        <f t="shared" si="4"/>
        <v>7208.990196294118</v>
      </c>
      <c r="K24" s="39">
        <f>COUNTIF(Vertices[Betweenness Centrality],"&gt;= "&amp;J24)-COUNTIF(Vertices[Betweenness Centrality],"&gt;="&amp;J25)</f>
        <v>0</v>
      </c>
      <c r="L24" s="38">
        <f t="shared" si="5"/>
        <v>0.32459882352941183</v>
      </c>
      <c r="M24" s="39">
        <f>COUNTIF(Vertices[Closeness Centrality],"&gt;= "&amp;L24)-COUNTIF(Vertices[Closeness Centrality],"&gt;="&amp;L25)</f>
        <v>3</v>
      </c>
      <c r="N24" s="38">
        <f t="shared" si="6"/>
        <v>0.05694441176470588</v>
      </c>
      <c r="O24" s="39">
        <f>COUNTIF(Vertices[Eigenvector Centrality],"&gt;= "&amp;N24)-COUNTIF(Vertices[Eigenvector Centrality],"&gt;="&amp;N25)</f>
        <v>0</v>
      </c>
      <c r="P24" s="38">
        <f t="shared" si="7"/>
        <v>18.671731352941187</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235</v>
      </c>
      <c r="D25" s="33">
        <f t="shared" si="1"/>
        <v>0</v>
      </c>
      <c r="E25" s="3">
        <f>COUNTIF(Vertices[Degree],"&gt;= "&amp;D25)-COUNTIF(Vertices[Degree],"&gt;="&amp;D26)</f>
        <v>0</v>
      </c>
      <c r="F25" s="40">
        <f t="shared" si="2"/>
        <v>33.82352941176469</v>
      </c>
      <c r="G25" s="41">
        <f>COUNTIF(Vertices[In-Degree],"&gt;= "&amp;F25)-COUNTIF(Vertices[In-Degree],"&gt;="&amp;F26)</f>
        <v>0</v>
      </c>
      <c r="H25" s="40">
        <f t="shared" si="3"/>
        <v>47.35294117647061</v>
      </c>
      <c r="I25" s="41">
        <f>COUNTIF(Vertices[Out-Degree],"&gt;= "&amp;H25)-COUNTIF(Vertices[Out-Degree],"&gt;="&amp;H26)</f>
        <v>0</v>
      </c>
      <c r="J25" s="40">
        <f t="shared" si="4"/>
        <v>7536.671568852941</v>
      </c>
      <c r="K25" s="41">
        <f>COUNTIF(Vertices[Betweenness Centrality],"&gt;= "&amp;J25)-COUNTIF(Vertices[Betweenness Centrality],"&gt;="&amp;J26)</f>
        <v>0</v>
      </c>
      <c r="L25" s="40">
        <f t="shared" si="5"/>
        <v>0.3392155882352942</v>
      </c>
      <c r="M25" s="41">
        <f>COUNTIF(Vertices[Closeness Centrality],"&gt;= "&amp;L25)-COUNTIF(Vertices[Closeness Centrality],"&gt;="&amp;L26)</f>
        <v>0</v>
      </c>
      <c r="N25" s="40">
        <f t="shared" si="6"/>
        <v>0.05953279411764706</v>
      </c>
      <c r="O25" s="41">
        <f>COUNTIF(Vertices[Eigenvector Centrality],"&gt;= "&amp;N25)-COUNTIF(Vertices[Eigenvector Centrality],"&gt;="&amp;N26)</f>
        <v>0</v>
      </c>
      <c r="P25" s="40">
        <f t="shared" si="7"/>
        <v>19.503096323529423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4"/>
      <c r="B26" s="114"/>
      <c r="D26" s="33">
        <f t="shared" si="1"/>
        <v>0</v>
      </c>
      <c r="E26" s="3">
        <f>COUNTIF(Vertices[Degree],"&gt;= "&amp;D26)-COUNTIF(Vertices[Degree],"&gt;="&amp;D27)</f>
        <v>0</v>
      </c>
      <c r="F26" s="38">
        <f t="shared" si="2"/>
        <v>35.294117647058805</v>
      </c>
      <c r="G26" s="39">
        <f>COUNTIF(Vertices[In-Degree],"&gt;= "&amp;F26)-COUNTIF(Vertices[In-Degree],"&gt;="&amp;F27)</f>
        <v>0</v>
      </c>
      <c r="H26" s="38">
        <f t="shared" si="3"/>
        <v>49.411764705882376</v>
      </c>
      <c r="I26" s="39">
        <f>COUNTIF(Vertices[Out-Degree],"&gt;= "&amp;H26)-COUNTIF(Vertices[Out-Degree],"&gt;="&amp;H27)</f>
        <v>0</v>
      </c>
      <c r="J26" s="38">
        <f t="shared" si="4"/>
        <v>7864.352941411765</v>
      </c>
      <c r="K26" s="39">
        <f>COUNTIF(Vertices[Betweenness Centrality],"&gt;= "&amp;J26)-COUNTIF(Vertices[Betweenness Centrality],"&gt;="&amp;J27)</f>
        <v>0</v>
      </c>
      <c r="L26" s="38">
        <f t="shared" si="5"/>
        <v>0.35383235294117654</v>
      </c>
      <c r="M26" s="39">
        <f>COUNTIF(Vertices[Closeness Centrality],"&gt;= "&amp;L26)-COUNTIF(Vertices[Closeness Centrality],"&gt;="&amp;L27)</f>
        <v>0</v>
      </c>
      <c r="N26" s="38">
        <f t="shared" si="6"/>
        <v>0.062121176470588235</v>
      </c>
      <c r="O26" s="39">
        <f>COUNTIF(Vertices[Eigenvector Centrality],"&gt;= "&amp;N26)-COUNTIF(Vertices[Eigenvector Centrality],"&gt;="&amp;N27)</f>
        <v>0</v>
      </c>
      <c r="P26" s="38">
        <f t="shared" si="7"/>
        <v>20.33446129411766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36.76470588235292</v>
      </c>
      <c r="G27" s="41">
        <f>COUNTIF(Vertices[In-Degree],"&gt;= "&amp;F27)-COUNTIF(Vertices[In-Degree],"&gt;="&amp;F28)</f>
        <v>0</v>
      </c>
      <c r="H27" s="40">
        <f t="shared" si="3"/>
        <v>51.470588235294144</v>
      </c>
      <c r="I27" s="41">
        <f>COUNTIF(Vertices[Out-Degree],"&gt;= "&amp;H27)-COUNTIF(Vertices[Out-Degree],"&gt;="&amp;H28)</f>
        <v>0</v>
      </c>
      <c r="J27" s="40">
        <f t="shared" si="4"/>
        <v>8192.034313970587</v>
      </c>
      <c r="K27" s="41">
        <f>COUNTIF(Vertices[Betweenness Centrality],"&gt;= "&amp;J27)-COUNTIF(Vertices[Betweenness Centrality],"&gt;="&amp;J28)</f>
        <v>0</v>
      </c>
      <c r="L27" s="40">
        <f t="shared" si="5"/>
        <v>0.3684491176470589</v>
      </c>
      <c r="M27" s="41">
        <f>COUNTIF(Vertices[Closeness Centrality],"&gt;= "&amp;L27)-COUNTIF(Vertices[Closeness Centrality],"&gt;="&amp;L28)</f>
        <v>0</v>
      </c>
      <c r="N27" s="40">
        <f t="shared" si="6"/>
        <v>0.06470955882352941</v>
      </c>
      <c r="O27" s="41">
        <f>COUNTIF(Vertices[Eigenvector Centrality],"&gt;= "&amp;N27)-COUNTIF(Vertices[Eigenvector Centrality],"&gt;="&amp;N28)</f>
        <v>0</v>
      </c>
      <c r="P27" s="40">
        <f t="shared" si="7"/>
        <v>21.165826264705895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2.117252</v>
      </c>
      <c r="D28" s="33">
        <f t="shared" si="1"/>
        <v>0</v>
      </c>
      <c r="E28" s="3">
        <f>COUNTIF(Vertices[Degree],"&gt;= "&amp;D28)-COUNTIF(Vertices[Degree],"&gt;="&amp;D29)</f>
        <v>0</v>
      </c>
      <c r="F28" s="38">
        <f t="shared" si="2"/>
        <v>38.23529411764704</v>
      </c>
      <c r="G28" s="39">
        <f>COUNTIF(Vertices[In-Degree],"&gt;= "&amp;F28)-COUNTIF(Vertices[In-Degree],"&gt;="&amp;F29)</f>
        <v>0</v>
      </c>
      <c r="H28" s="38">
        <f t="shared" si="3"/>
        <v>53.52941176470591</v>
      </c>
      <c r="I28" s="39">
        <f>COUNTIF(Vertices[Out-Degree],"&gt;= "&amp;H28)-COUNTIF(Vertices[Out-Degree],"&gt;="&amp;H29)</f>
        <v>0</v>
      </c>
      <c r="J28" s="38">
        <f t="shared" si="4"/>
        <v>8519.715686529411</v>
      </c>
      <c r="K28" s="39">
        <f>COUNTIF(Vertices[Betweenness Centrality],"&gt;= "&amp;J28)-COUNTIF(Vertices[Betweenness Centrality],"&gt;="&amp;J29)</f>
        <v>0</v>
      </c>
      <c r="L28" s="38">
        <f t="shared" si="5"/>
        <v>0.38306588235294126</v>
      </c>
      <c r="M28" s="39">
        <f>COUNTIF(Vertices[Closeness Centrality],"&gt;= "&amp;L28)-COUNTIF(Vertices[Closeness Centrality],"&gt;="&amp;L29)</f>
        <v>0</v>
      </c>
      <c r="N28" s="38">
        <f t="shared" si="6"/>
        <v>0.06729794117647059</v>
      </c>
      <c r="O28" s="39">
        <f>COUNTIF(Vertices[Eigenvector Centrality],"&gt;= "&amp;N28)-COUNTIF(Vertices[Eigenvector Centrality],"&gt;="&amp;N29)</f>
        <v>0</v>
      </c>
      <c r="P28" s="38">
        <f t="shared" si="7"/>
        <v>21.99719123529413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4"/>
      <c r="B29" s="114"/>
      <c r="D29" s="33">
        <f t="shared" si="1"/>
        <v>0</v>
      </c>
      <c r="E29" s="3">
        <f>COUNTIF(Vertices[Degree],"&gt;= "&amp;D29)-COUNTIF(Vertices[Degree],"&gt;="&amp;D30)</f>
        <v>0</v>
      </c>
      <c r="F29" s="40">
        <f t="shared" si="2"/>
        <v>39.70588235294115</v>
      </c>
      <c r="G29" s="41">
        <f>COUNTIF(Vertices[In-Degree],"&gt;= "&amp;F29)-COUNTIF(Vertices[In-Degree],"&gt;="&amp;F30)</f>
        <v>0</v>
      </c>
      <c r="H29" s="40">
        <f t="shared" si="3"/>
        <v>55.58823529411768</v>
      </c>
      <c r="I29" s="41">
        <f>COUNTIF(Vertices[Out-Degree],"&gt;= "&amp;H29)-COUNTIF(Vertices[Out-Degree],"&gt;="&amp;H30)</f>
        <v>0</v>
      </c>
      <c r="J29" s="40">
        <f t="shared" si="4"/>
        <v>8847.397059088235</v>
      </c>
      <c r="K29" s="41">
        <f>COUNTIF(Vertices[Betweenness Centrality],"&gt;= "&amp;J29)-COUNTIF(Vertices[Betweenness Centrality],"&gt;="&amp;J30)</f>
        <v>0</v>
      </c>
      <c r="L29" s="40">
        <f t="shared" si="5"/>
        <v>0.3976826470588236</v>
      </c>
      <c r="M29" s="41">
        <f>COUNTIF(Vertices[Closeness Centrality],"&gt;= "&amp;L29)-COUNTIF(Vertices[Closeness Centrality],"&gt;="&amp;L30)</f>
        <v>0</v>
      </c>
      <c r="N29" s="40">
        <f t="shared" si="6"/>
        <v>0.06988632352941176</v>
      </c>
      <c r="O29" s="41">
        <f>COUNTIF(Vertices[Eigenvector Centrality],"&gt;= "&amp;N29)-COUNTIF(Vertices[Eigenvector Centrality],"&gt;="&amp;N30)</f>
        <v>0</v>
      </c>
      <c r="P29" s="40">
        <f t="shared" si="7"/>
        <v>22.828556205882368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0.014917541229385307</v>
      </c>
      <c r="D30" s="33">
        <f t="shared" si="1"/>
        <v>0</v>
      </c>
      <c r="E30" s="3">
        <f>COUNTIF(Vertices[Degree],"&gt;= "&amp;D30)-COUNTIF(Vertices[Degree],"&gt;="&amp;D31)</f>
        <v>0</v>
      </c>
      <c r="F30" s="38">
        <f t="shared" si="2"/>
        <v>41.17647058823527</v>
      </c>
      <c r="G30" s="39">
        <f>COUNTIF(Vertices[In-Degree],"&gt;= "&amp;F30)-COUNTIF(Vertices[In-Degree],"&gt;="&amp;F31)</f>
        <v>0</v>
      </c>
      <c r="H30" s="38">
        <f t="shared" si="3"/>
        <v>57.64705882352945</v>
      </c>
      <c r="I30" s="39">
        <f>COUNTIF(Vertices[Out-Degree],"&gt;= "&amp;H30)-COUNTIF(Vertices[Out-Degree],"&gt;="&amp;H31)</f>
        <v>0</v>
      </c>
      <c r="J30" s="38">
        <f t="shared" si="4"/>
        <v>9175.078431647058</v>
      </c>
      <c r="K30" s="39">
        <f>COUNTIF(Vertices[Betweenness Centrality],"&gt;= "&amp;J30)-COUNTIF(Vertices[Betweenness Centrality],"&gt;="&amp;J31)</f>
        <v>0</v>
      </c>
      <c r="L30" s="38">
        <f t="shared" si="5"/>
        <v>0.41229941176470597</v>
      </c>
      <c r="M30" s="39">
        <f>COUNTIF(Vertices[Closeness Centrality],"&gt;= "&amp;L30)-COUNTIF(Vertices[Closeness Centrality],"&gt;="&amp;L31)</f>
        <v>0</v>
      </c>
      <c r="N30" s="38">
        <f t="shared" si="6"/>
        <v>0.07247470588235294</v>
      </c>
      <c r="O30" s="39">
        <f>COUNTIF(Vertices[Eigenvector Centrality],"&gt;= "&amp;N30)-COUNTIF(Vertices[Eigenvector Centrality],"&gt;="&amp;N31)</f>
        <v>0</v>
      </c>
      <c r="P30" s="38">
        <f t="shared" si="7"/>
        <v>23.659921176470604</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2089</v>
      </c>
      <c r="B31" s="35">
        <v>0.391251</v>
      </c>
      <c r="D31" s="33">
        <f t="shared" si="1"/>
        <v>0</v>
      </c>
      <c r="E31" s="3">
        <f>COUNTIF(Vertices[Degree],"&gt;= "&amp;D31)-COUNTIF(Vertices[Degree],"&gt;="&amp;D32)</f>
        <v>0</v>
      </c>
      <c r="F31" s="40">
        <f t="shared" si="2"/>
        <v>42.647058823529385</v>
      </c>
      <c r="G31" s="41">
        <f>COUNTIF(Vertices[In-Degree],"&gt;= "&amp;F31)-COUNTIF(Vertices[In-Degree],"&gt;="&amp;F32)</f>
        <v>0</v>
      </c>
      <c r="H31" s="40">
        <f t="shared" si="3"/>
        <v>59.70588235294122</v>
      </c>
      <c r="I31" s="41">
        <f>COUNTIF(Vertices[Out-Degree],"&gt;= "&amp;H31)-COUNTIF(Vertices[Out-Degree],"&gt;="&amp;H32)</f>
        <v>0</v>
      </c>
      <c r="J31" s="40">
        <f t="shared" si="4"/>
        <v>9502.759804205882</v>
      </c>
      <c r="K31" s="41">
        <f>COUNTIF(Vertices[Betweenness Centrality],"&gt;= "&amp;J31)-COUNTIF(Vertices[Betweenness Centrality],"&gt;="&amp;J32)</f>
        <v>0</v>
      </c>
      <c r="L31" s="40">
        <f t="shared" si="5"/>
        <v>0.4269161764705883</v>
      </c>
      <c r="M31" s="41">
        <f>COUNTIF(Vertices[Closeness Centrality],"&gt;= "&amp;L31)-COUNTIF(Vertices[Closeness Centrality],"&gt;="&amp;L32)</f>
        <v>0</v>
      </c>
      <c r="N31" s="40">
        <f t="shared" si="6"/>
        <v>0.07506308823529412</v>
      </c>
      <c r="O31" s="41">
        <f>COUNTIF(Vertices[Eigenvector Centrality],"&gt;= "&amp;N31)-COUNTIF(Vertices[Eigenvector Centrality],"&gt;="&amp;N32)</f>
        <v>0</v>
      </c>
      <c r="P31" s="40">
        <f t="shared" si="7"/>
        <v>24.49128614705884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4"/>
      <c r="B32" s="114"/>
      <c r="D32" s="33">
        <f t="shared" si="1"/>
        <v>0</v>
      </c>
      <c r="E32" s="3">
        <f>COUNTIF(Vertices[Degree],"&gt;= "&amp;D32)-COUNTIF(Vertices[Degree],"&gt;="&amp;D33)</f>
        <v>0</v>
      </c>
      <c r="F32" s="38">
        <f t="shared" si="2"/>
        <v>44.1176470588235</v>
      </c>
      <c r="G32" s="39">
        <f>COUNTIF(Vertices[In-Degree],"&gt;= "&amp;F32)-COUNTIF(Vertices[In-Degree],"&gt;="&amp;F33)</f>
        <v>0</v>
      </c>
      <c r="H32" s="38">
        <f t="shared" si="3"/>
        <v>61.764705882352985</v>
      </c>
      <c r="I32" s="39">
        <f>COUNTIF(Vertices[Out-Degree],"&gt;= "&amp;H32)-COUNTIF(Vertices[Out-Degree],"&gt;="&amp;H33)</f>
        <v>0</v>
      </c>
      <c r="J32" s="38">
        <f t="shared" si="4"/>
        <v>9830.441176764705</v>
      </c>
      <c r="K32" s="39">
        <f>COUNTIF(Vertices[Betweenness Centrality],"&gt;= "&amp;J32)-COUNTIF(Vertices[Betweenness Centrality],"&gt;="&amp;J33)</f>
        <v>0</v>
      </c>
      <c r="L32" s="38">
        <f t="shared" si="5"/>
        <v>0.4415329411764707</v>
      </c>
      <c r="M32" s="39">
        <f>COUNTIF(Vertices[Closeness Centrality],"&gt;= "&amp;L32)-COUNTIF(Vertices[Closeness Centrality],"&gt;="&amp;L33)</f>
        <v>0</v>
      </c>
      <c r="N32" s="38">
        <f t="shared" si="6"/>
        <v>0.0776514705882353</v>
      </c>
      <c r="O32" s="39">
        <f>COUNTIF(Vertices[Eigenvector Centrality],"&gt;= "&amp;N32)-COUNTIF(Vertices[Eigenvector Centrality],"&gt;="&amp;N33)</f>
        <v>0</v>
      </c>
      <c r="P32" s="38">
        <f t="shared" si="7"/>
        <v>25.322651117647077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2090</v>
      </c>
      <c r="B33" s="35" t="s">
        <v>2104</v>
      </c>
      <c r="D33" s="33">
        <f t="shared" si="1"/>
        <v>0</v>
      </c>
      <c r="E33" s="3">
        <f>COUNTIF(Vertices[Degree],"&gt;= "&amp;D33)-COUNTIF(Vertices[Degree],"&gt;="&amp;D34)</f>
        <v>0</v>
      </c>
      <c r="F33" s="40">
        <f t="shared" si="2"/>
        <v>45.58823529411762</v>
      </c>
      <c r="G33" s="41">
        <f>COUNTIF(Vertices[In-Degree],"&gt;= "&amp;F33)-COUNTIF(Vertices[In-Degree],"&gt;="&amp;F34)</f>
        <v>0</v>
      </c>
      <c r="H33" s="40">
        <f t="shared" si="3"/>
        <v>63.82352941176475</v>
      </c>
      <c r="I33" s="41">
        <f>COUNTIF(Vertices[Out-Degree],"&gt;= "&amp;H33)-COUNTIF(Vertices[Out-Degree],"&gt;="&amp;H34)</f>
        <v>0</v>
      </c>
      <c r="J33" s="40">
        <f t="shared" si="4"/>
        <v>10158.122549323529</v>
      </c>
      <c r="K33" s="41">
        <f>COUNTIF(Vertices[Betweenness Centrality],"&gt;= "&amp;J33)-COUNTIF(Vertices[Betweenness Centrality],"&gt;="&amp;J34)</f>
        <v>0</v>
      </c>
      <c r="L33" s="40">
        <f t="shared" si="5"/>
        <v>0.45614970588235304</v>
      </c>
      <c r="M33" s="41">
        <f>COUNTIF(Vertices[Closeness Centrality],"&gt;= "&amp;L33)-COUNTIF(Vertices[Closeness Centrality],"&gt;="&amp;L34)</f>
        <v>0</v>
      </c>
      <c r="N33" s="40">
        <f t="shared" si="6"/>
        <v>0.08023985294117647</v>
      </c>
      <c r="O33" s="41">
        <f>COUNTIF(Vertices[Eigenvector Centrality],"&gt;= "&amp;N33)-COUNTIF(Vertices[Eigenvector Centrality],"&gt;="&amp;N34)</f>
        <v>0</v>
      </c>
      <c r="P33" s="40">
        <f t="shared" si="7"/>
        <v>26.154016088235313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4"/>
      <c r="B34" s="114"/>
      <c r="D34" s="33">
        <f t="shared" si="1"/>
        <v>0</v>
      </c>
      <c r="E34" s="3">
        <f>COUNTIF(Vertices[Degree],"&gt;= "&amp;D34)-COUNTIF(Vertices[Degree],"&gt;="&amp;D35)</f>
        <v>0</v>
      </c>
      <c r="F34" s="38">
        <f t="shared" si="2"/>
        <v>47.05882352941173</v>
      </c>
      <c r="G34" s="39">
        <f>COUNTIF(Vertices[In-Degree],"&gt;= "&amp;F34)-COUNTIF(Vertices[In-Degree],"&gt;="&amp;F35)</f>
        <v>0</v>
      </c>
      <c r="H34" s="38">
        <f t="shared" si="3"/>
        <v>65.88235294117652</v>
      </c>
      <c r="I34" s="39">
        <f>COUNTIF(Vertices[Out-Degree],"&gt;= "&amp;H34)-COUNTIF(Vertices[Out-Degree],"&gt;="&amp;H35)</f>
        <v>0</v>
      </c>
      <c r="J34" s="38">
        <f t="shared" si="4"/>
        <v>10485.803921882352</v>
      </c>
      <c r="K34" s="39">
        <f>COUNTIF(Vertices[Betweenness Centrality],"&gt;= "&amp;J34)-COUNTIF(Vertices[Betweenness Centrality],"&gt;="&amp;J35)</f>
        <v>0</v>
      </c>
      <c r="L34" s="38">
        <f t="shared" si="5"/>
        <v>0.4707664705882354</v>
      </c>
      <c r="M34" s="39">
        <f>COUNTIF(Vertices[Closeness Centrality],"&gt;= "&amp;L34)-COUNTIF(Vertices[Closeness Centrality],"&gt;="&amp;L35)</f>
        <v>0</v>
      </c>
      <c r="N34" s="38">
        <f t="shared" si="6"/>
        <v>0.08282823529411765</v>
      </c>
      <c r="O34" s="39">
        <f>COUNTIF(Vertices[Eigenvector Centrality],"&gt;= "&amp;N34)-COUNTIF(Vertices[Eigenvector Centrality],"&gt;="&amp;N35)</f>
        <v>0</v>
      </c>
      <c r="P34" s="38">
        <f t="shared" si="7"/>
        <v>26.98538105882355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2091</v>
      </c>
      <c r="B35" s="35" t="s">
        <v>2195</v>
      </c>
      <c r="D35" s="33">
        <f t="shared" si="1"/>
        <v>0</v>
      </c>
      <c r="E35" s="3">
        <f>COUNTIF(Vertices[Degree],"&gt;= "&amp;D35)-COUNTIF(Vertices[Degree],"&gt;="&amp;D36)</f>
        <v>0</v>
      </c>
      <c r="F35" s="40">
        <f t="shared" si="2"/>
        <v>48.52941176470585</v>
      </c>
      <c r="G35" s="41">
        <f>COUNTIF(Vertices[In-Degree],"&gt;= "&amp;F35)-COUNTIF(Vertices[In-Degree],"&gt;="&amp;F36)</f>
        <v>0</v>
      </c>
      <c r="H35" s="40">
        <f t="shared" si="3"/>
        <v>67.94117647058829</v>
      </c>
      <c r="I35" s="41">
        <f>COUNTIF(Vertices[Out-Degree],"&gt;= "&amp;H35)-COUNTIF(Vertices[Out-Degree],"&gt;="&amp;H36)</f>
        <v>0</v>
      </c>
      <c r="J35" s="40">
        <f t="shared" si="4"/>
        <v>10813.485294441176</v>
      </c>
      <c r="K35" s="41">
        <f>COUNTIF(Vertices[Betweenness Centrality],"&gt;= "&amp;J35)-COUNTIF(Vertices[Betweenness Centrality],"&gt;="&amp;J36)</f>
        <v>0</v>
      </c>
      <c r="L35" s="40">
        <f t="shared" si="5"/>
        <v>0.48538323529411775</v>
      </c>
      <c r="M35" s="41">
        <f>COUNTIF(Vertices[Closeness Centrality],"&gt;= "&amp;L35)-COUNTIF(Vertices[Closeness Centrality],"&gt;="&amp;L36)</f>
        <v>0</v>
      </c>
      <c r="N35" s="40">
        <f t="shared" si="6"/>
        <v>0.08541661764705882</v>
      </c>
      <c r="O35" s="41">
        <f>COUNTIF(Vertices[Eigenvector Centrality],"&gt;= "&amp;N35)-COUNTIF(Vertices[Eigenvector Centrality],"&gt;="&amp;N36)</f>
        <v>0</v>
      </c>
      <c r="P35" s="40">
        <f t="shared" si="7"/>
        <v>27.816746029411785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4"/>
      <c r="B36" s="114"/>
      <c r="D36" s="33">
        <f>MAX(Vertices[Degree])</f>
        <v>0</v>
      </c>
      <c r="E36" s="3">
        <f>COUNTIF(Vertices[Degree],"&gt;= "&amp;D36)-COUNTIF(Vertices[Degree],"&gt;="&amp;#REF!)</f>
        <v>0</v>
      </c>
      <c r="F36" s="42">
        <f>MAX(Vertices[In-Degree])</f>
        <v>50</v>
      </c>
      <c r="G36" s="43">
        <f>COUNTIF(Vertices[In-Degree],"&gt;= "&amp;F36)-COUNTIF(Vertices[In-Degree],"&gt;="&amp;#REF!)</f>
        <v>1</v>
      </c>
      <c r="H36" s="42">
        <f>MAX(Vertices[Out-Degree])</f>
        <v>70</v>
      </c>
      <c r="I36" s="43">
        <f>COUNTIF(Vertices[Out-Degree],"&gt;= "&amp;H36)-COUNTIF(Vertices[Out-Degree],"&gt;="&amp;#REF!)</f>
        <v>1</v>
      </c>
      <c r="J36" s="42">
        <f>MAX(Vertices[Betweenness Centrality])</f>
        <v>11141.166667</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0.088005</v>
      </c>
      <c r="O36" s="43">
        <f>COUNTIF(Vertices[Eigenvector Centrality],"&gt;= "&amp;N36)-COUNTIF(Vertices[Eigenvector Centrality],"&gt;="&amp;#REF!)</f>
        <v>1</v>
      </c>
      <c r="P36" s="42">
        <f>MAX(Vertices[PageRank])</f>
        <v>28.648111</v>
      </c>
      <c r="Q36" s="43">
        <f>COUNTIF(Vertices[PageRank],"&gt;= "&amp;P36)-COUNTIF(Vertices[PageRank],"&gt;="&amp;#REF!)</f>
        <v>1</v>
      </c>
      <c r="R36" s="42">
        <f>MAX(Vertices[Clustering Coefficient])</f>
        <v>1</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35" t="s">
        <v>2092</v>
      </c>
      <c r="B37" s="35" t="s">
        <v>2190</v>
      </c>
    </row>
    <row r="38" spans="1:2" ht="15">
      <c r="A38" s="35" t="s">
        <v>2093</v>
      </c>
      <c r="B38" s="35" t="s">
        <v>2191</v>
      </c>
    </row>
    <row r="39" spans="1:2" ht="409.6">
      <c r="A39" s="35" t="s">
        <v>2094</v>
      </c>
      <c r="B39" s="54" t="s">
        <v>2192</v>
      </c>
    </row>
    <row r="40" spans="1:2" ht="15">
      <c r="A40" s="35" t="s">
        <v>2095</v>
      </c>
      <c r="B40" s="35" t="s">
        <v>2193</v>
      </c>
    </row>
    <row r="41" spans="1:2" ht="15">
      <c r="A41" s="35" t="s">
        <v>2096</v>
      </c>
      <c r="B41" s="35" t="s">
        <v>2194</v>
      </c>
    </row>
    <row r="42" spans="1:2" ht="15">
      <c r="A42" s="35" t="s">
        <v>2097</v>
      </c>
      <c r="B42" s="35" t="s">
        <v>1329</v>
      </c>
    </row>
    <row r="43" spans="1:2" ht="15">
      <c r="A43" s="35" t="s">
        <v>2098</v>
      </c>
      <c r="B43" s="35" t="s">
        <v>1329</v>
      </c>
    </row>
    <row r="44" spans="1:2" ht="15">
      <c r="A44" s="35" t="s">
        <v>2099</v>
      </c>
      <c r="B44" s="35" t="s">
        <v>1329</v>
      </c>
    </row>
    <row r="45" spans="1:2" ht="15">
      <c r="A45" s="35" t="s">
        <v>2100</v>
      </c>
      <c r="B45" s="35"/>
    </row>
    <row r="46" spans="1:2" ht="15">
      <c r="A46" s="35" t="s">
        <v>21</v>
      </c>
      <c r="B46" s="35"/>
    </row>
    <row r="47" spans="1:2" ht="15">
      <c r="A47" s="35" t="s">
        <v>2101</v>
      </c>
      <c r="B47" s="35" t="s">
        <v>780</v>
      </c>
    </row>
    <row r="48" spans="1:2" ht="15">
      <c r="A48" s="35" t="s">
        <v>2102</v>
      </c>
      <c r="B48" s="35"/>
    </row>
    <row r="49" spans="1:2" ht="15">
      <c r="A49" s="35" t="s">
        <v>2103</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50</v>
      </c>
    </row>
    <row r="82" spans="1:2" ht="15">
      <c r="A82" s="34" t="s">
        <v>90</v>
      </c>
      <c r="B82" s="48">
        <f>_xlfn.IFERROR(AVERAGE(Vertices[In-Degree]),NoMetricMessage)</f>
        <v>1.7844827586206897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70</v>
      </c>
    </row>
    <row r="96" spans="1:2" ht="15">
      <c r="A96" s="34" t="s">
        <v>96</v>
      </c>
      <c r="B96" s="48">
        <f>_xlfn.IFERROR(AVERAGE(Vertices[Out-Degree]),NoMetricMessage)</f>
        <v>1.7844827586206897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11141.166667</v>
      </c>
    </row>
    <row r="110" spans="1:2" ht="15">
      <c r="A110" s="34" t="s">
        <v>102</v>
      </c>
      <c r="B110" s="48">
        <f>_xlfn.IFERROR(AVERAGE(Vertices[Betweenness Centrality]),NoMetricMessage)</f>
        <v>115.67241381034482</v>
      </c>
    </row>
    <row r="111" spans="1:2" ht="15">
      <c r="A111" s="34" t="s">
        <v>103</v>
      </c>
      <c r="B111" s="48">
        <f>_xlfn.IFERROR(MEDIAN(Vertices[Betweenness Centrality]),NoMetricMessage)</f>
        <v>0</v>
      </c>
    </row>
    <row r="122" spans="1:2" ht="15">
      <c r="A122" s="34" t="s">
        <v>106</v>
      </c>
      <c r="B122" s="48">
        <f>IF(COUNT(Vertices[Closeness Centrality])&gt;0,L2,NoMetricMessage)</f>
        <v>0.00303</v>
      </c>
    </row>
    <row r="123" spans="1:2" ht="15">
      <c r="A123" s="34" t="s">
        <v>107</v>
      </c>
      <c r="B123" s="48">
        <f>IF(COUNT(Vertices[Closeness Centrality])&gt;0,L36,NoMetricMessage)</f>
        <v>0.5</v>
      </c>
    </row>
    <row r="124" spans="1:2" ht="15">
      <c r="A124" s="34" t="s">
        <v>108</v>
      </c>
      <c r="B124" s="48">
        <f>_xlfn.IFERROR(AVERAGE(Vertices[Closeness Centrality]),NoMetricMessage)</f>
        <v>0.02223297413793099</v>
      </c>
    </row>
    <row r="125" spans="1:2" ht="15">
      <c r="A125" s="34" t="s">
        <v>109</v>
      </c>
      <c r="B125" s="48">
        <f>_xlfn.IFERROR(MEDIAN(Vertices[Closeness Centrality]),NoMetricMessage)</f>
        <v>0.004464</v>
      </c>
    </row>
    <row r="136" spans="1:2" ht="15">
      <c r="A136" s="34" t="s">
        <v>112</v>
      </c>
      <c r="B136" s="48">
        <f>IF(COUNT(Vertices[Eigenvector Centrality])&gt;0,N2,NoMetricMessage)</f>
        <v>0</v>
      </c>
    </row>
    <row r="137" spans="1:2" ht="15">
      <c r="A137" s="34" t="s">
        <v>113</v>
      </c>
      <c r="B137" s="48">
        <f>IF(COUNT(Vertices[Eigenvector Centrality])&gt;0,N36,NoMetricMessage)</f>
        <v>0.088005</v>
      </c>
    </row>
    <row r="138" spans="1:2" ht="15">
      <c r="A138" s="34" t="s">
        <v>114</v>
      </c>
      <c r="B138" s="48">
        <f>_xlfn.IFERROR(AVERAGE(Vertices[Eigenvector Centrality]),NoMetricMessage)</f>
        <v>0.008620568965517241</v>
      </c>
    </row>
    <row r="139" spans="1:2" ht="15">
      <c r="A139" s="34" t="s">
        <v>115</v>
      </c>
      <c r="B139" s="48">
        <f>_xlfn.IFERROR(MEDIAN(Vertices[Eigenvector Centrality]),NoMetricMessage)</f>
        <v>0.008636999999999999</v>
      </c>
    </row>
    <row r="150" spans="1:2" ht="15">
      <c r="A150" s="34" t="s">
        <v>140</v>
      </c>
      <c r="B150" s="48">
        <f>IF(COUNT(Vertices[PageRank])&gt;0,P2,NoMetricMessage)</f>
        <v>0.381702</v>
      </c>
    </row>
    <row r="151" spans="1:2" ht="15">
      <c r="A151" s="34" t="s">
        <v>141</v>
      </c>
      <c r="B151" s="48">
        <f>IF(COUNT(Vertices[PageRank])&gt;0,P36,NoMetricMessage)</f>
        <v>28.648111</v>
      </c>
    </row>
    <row r="152" spans="1:2" ht="15">
      <c r="A152" s="34" t="s">
        <v>142</v>
      </c>
      <c r="B152" s="48">
        <f>_xlfn.IFERROR(AVERAGE(Vertices[PageRank]),NoMetricMessage)</f>
        <v>0.9999956293103444</v>
      </c>
    </row>
    <row r="153" spans="1:2" ht="15">
      <c r="A153" s="34" t="s">
        <v>143</v>
      </c>
      <c r="B153" s="48">
        <f>_xlfn.IFERROR(MEDIAN(Vertices[PageRank]),NoMetricMessage)</f>
        <v>0.640497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0.3740145591652943</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1328</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2174</v>
      </c>
    </row>
    <row r="9" spans="1:11" ht="409.6">
      <c r="A9"/>
      <c r="B9">
        <v>3</v>
      </c>
      <c r="C9">
        <v>4</v>
      </c>
      <c r="D9" t="s">
        <v>62</v>
      </c>
      <c r="E9" t="s">
        <v>62</v>
      </c>
      <c r="H9" t="s">
        <v>74</v>
      </c>
      <c r="J9" t="s">
        <v>178</v>
      </c>
      <c r="K9" s="13" t="s">
        <v>2175</v>
      </c>
    </row>
    <row r="10" spans="1:11" ht="409.6">
      <c r="A10"/>
      <c r="B10">
        <v>4</v>
      </c>
      <c r="D10" t="s">
        <v>63</v>
      </c>
      <c r="E10" t="s">
        <v>63</v>
      </c>
      <c r="H10" t="s">
        <v>75</v>
      </c>
      <c r="J10" t="s">
        <v>179</v>
      </c>
      <c r="K10" s="13" t="s">
        <v>2176</v>
      </c>
    </row>
    <row r="11" spans="1:11" ht="15">
      <c r="A11"/>
      <c r="B11">
        <v>5</v>
      </c>
      <c r="D11" t="s">
        <v>46</v>
      </c>
      <c r="E11">
        <v>1</v>
      </c>
      <c r="H11" t="s">
        <v>76</v>
      </c>
      <c r="J11" t="s">
        <v>180</v>
      </c>
      <c r="K11" t="s">
        <v>2177</v>
      </c>
    </row>
    <row r="12" spans="1:11" ht="15">
      <c r="A12"/>
      <c r="B12"/>
      <c r="D12" t="s">
        <v>64</v>
      </c>
      <c r="E12">
        <v>2</v>
      </c>
      <c r="H12">
        <v>0</v>
      </c>
      <c r="J12" t="s">
        <v>181</v>
      </c>
      <c r="K12" t="s">
        <v>2178</v>
      </c>
    </row>
    <row r="13" spans="1:11" ht="15">
      <c r="A13"/>
      <c r="B13"/>
      <c r="D13">
        <v>1</v>
      </c>
      <c r="E13">
        <v>3</v>
      </c>
      <c r="H13">
        <v>1</v>
      </c>
      <c r="J13" t="s">
        <v>182</v>
      </c>
      <c r="K13" t="s">
        <v>2179</v>
      </c>
    </row>
    <row r="14" spans="4:11" ht="15">
      <c r="D14">
        <v>2</v>
      </c>
      <c r="E14">
        <v>4</v>
      </c>
      <c r="H14">
        <v>2</v>
      </c>
      <c r="J14" t="s">
        <v>183</v>
      </c>
      <c r="K14" t="s">
        <v>2180</v>
      </c>
    </row>
    <row r="15" spans="4:11" ht="15">
      <c r="D15">
        <v>3</v>
      </c>
      <c r="E15">
        <v>5</v>
      </c>
      <c r="H15">
        <v>3</v>
      </c>
      <c r="J15" t="s">
        <v>184</v>
      </c>
      <c r="K15" t="s">
        <v>2181</v>
      </c>
    </row>
    <row r="16" spans="4:11" ht="15">
      <c r="D16">
        <v>4</v>
      </c>
      <c r="E16">
        <v>6</v>
      </c>
      <c r="H16">
        <v>4</v>
      </c>
      <c r="J16" t="s">
        <v>185</v>
      </c>
      <c r="K16" t="s">
        <v>2182</v>
      </c>
    </row>
    <row r="17" spans="4:11" ht="15">
      <c r="D17">
        <v>5</v>
      </c>
      <c r="E17">
        <v>7</v>
      </c>
      <c r="H17">
        <v>5</v>
      </c>
      <c r="J17" t="s">
        <v>186</v>
      </c>
      <c r="K17" t="s">
        <v>2183</v>
      </c>
    </row>
    <row r="18" spans="4:11" ht="15">
      <c r="D18">
        <v>6</v>
      </c>
      <c r="E18">
        <v>8</v>
      </c>
      <c r="H18">
        <v>6</v>
      </c>
      <c r="J18" t="s">
        <v>187</v>
      </c>
      <c r="K18" t="s">
        <v>2184</v>
      </c>
    </row>
    <row r="19" spans="4:11" ht="15">
      <c r="D19">
        <v>7</v>
      </c>
      <c r="E19">
        <v>9</v>
      </c>
      <c r="H19">
        <v>7</v>
      </c>
      <c r="J19" t="s">
        <v>188</v>
      </c>
      <c r="K19" t="s">
        <v>2185</v>
      </c>
    </row>
    <row r="20" spans="4:11" ht="15">
      <c r="D20">
        <v>8</v>
      </c>
      <c r="H20">
        <v>8</v>
      </c>
      <c r="J20" t="s">
        <v>189</v>
      </c>
      <c r="K20" t="s">
        <v>2186</v>
      </c>
    </row>
    <row r="21" spans="4:11" ht="409.6">
      <c r="D21">
        <v>9</v>
      </c>
      <c r="H21">
        <v>9</v>
      </c>
      <c r="J21" t="s">
        <v>190</v>
      </c>
      <c r="K21" s="13" t="s">
        <v>2187</v>
      </c>
    </row>
    <row r="22" spans="4:11" ht="409.6">
      <c r="D22">
        <v>10</v>
      </c>
      <c r="J22" t="s">
        <v>191</v>
      </c>
      <c r="K22" s="13" t="s">
        <v>2188</v>
      </c>
    </row>
    <row r="23" spans="4:11" ht="409.6">
      <c r="D23">
        <v>11</v>
      </c>
      <c r="J23" t="s">
        <v>192</v>
      </c>
      <c r="K23" s="13" t="s">
        <v>2189</v>
      </c>
    </row>
    <row r="24" spans="10:11" ht="15">
      <c r="J24" t="s">
        <v>193</v>
      </c>
      <c r="K24" t="s">
        <v>2171</v>
      </c>
    </row>
    <row r="25" spans="10:11" ht="409.6">
      <c r="J25" t="s">
        <v>194</v>
      </c>
      <c r="K25" s="13" t="s">
        <v>2173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345DE-7564-4486-A197-D36E4B2368A1}">
  <dimension ref="A1:V8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1358</v>
      </c>
      <c r="B1" s="13" t="s">
        <v>1369</v>
      </c>
      <c r="C1" s="13" t="s">
        <v>1370</v>
      </c>
      <c r="D1" s="13" t="s">
        <v>1379</v>
      </c>
      <c r="E1" s="13" t="s">
        <v>1378</v>
      </c>
      <c r="F1" s="13" t="s">
        <v>1383</v>
      </c>
      <c r="G1" s="13" t="s">
        <v>1382</v>
      </c>
      <c r="H1" s="13" t="s">
        <v>1387</v>
      </c>
      <c r="I1" s="13" t="s">
        <v>1386</v>
      </c>
      <c r="J1" s="13" t="s">
        <v>1389</v>
      </c>
      <c r="K1" s="13" t="s">
        <v>1388</v>
      </c>
      <c r="L1" s="13" t="s">
        <v>1393</v>
      </c>
      <c r="M1" s="13" t="s">
        <v>1392</v>
      </c>
      <c r="N1" s="13" t="s">
        <v>1395</v>
      </c>
      <c r="O1" s="79" t="s">
        <v>1394</v>
      </c>
      <c r="P1" s="79" t="s">
        <v>1397</v>
      </c>
      <c r="Q1" s="13" t="s">
        <v>1396</v>
      </c>
      <c r="R1" s="13" t="s">
        <v>1402</v>
      </c>
      <c r="S1" s="13" t="s">
        <v>1401</v>
      </c>
      <c r="T1" s="13" t="s">
        <v>1404</v>
      </c>
      <c r="U1" s="13" t="s">
        <v>1403</v>
      </c>
      <c r="V1" s="13" t="s">
        <v>1405</v>
      </c>
    </row>
    <row r="2" spans="1:22" ht="15">
      <c r="A2" s="83" t="s">
        <v>1359</v>
      </c>
      <c r="B2" s="79">
        <v>8</v>
      </c>
      <c r="C2" s="83" t="s">
        <v>1360</v>
      </c>
      <c r="D2" s="79">
        <v>7</v>
      </c>
      <c r="E2" s="83" t="s">
        <v>1361</v>
      </c>
      <c r="F2" s="79">
        <v>4</v>
      </c>
      <c r="G2" s="83" t="s">
        <v>1366</v>
      </c>
      <c r="H2" s="79">
        <v>3</v>
      </c>
      <c r="I2" s="83" t="s">
        <v>1359</v>
      </c>
      <c r="J2" s="79">
        <v>7</v>
      </c>
      <c r="K2" s="83" t="s">
        <v>1390</v>
      </c>
      <c r="L2" s="79">
        <v>3</v>
      </c>
      <c r="M2" s="83" t="s">
        <v>1367</v>
      </c>
      <c r="N2" s="79">
        <v>3</v>
      </c>
      <c r="O2" s="79"/>
      <c r="P2" s="79"/>
      <c r="Q2" s="83" t="s">
        <v>1398</v>
      </c>
      <c r="R2" s="79">
        <v>2</v>
      </c>
      <c r="S2" s="83" t="s">
        <v>1363</v>
      </c>
      <c r="T2" s="79">
        <v>3</v>
      </c>
      <c r="U2" s="83" t="s">
        <v>1365</v>
      </c>
      <c r="V2" s="79">
        <v>3</v>
      </c>
    </row>
    <row r="3" spans="1:22" ht="15">
      <c r="A3" s="84" t="s">
        <v>1360</v>
      </c>
      <c r="B3" s="79">
        <v>7</v>
      </c>
      <c r="C3" s="83" t="s">
        <v>1364</v>
      </c>
      <c r="D3" s="79">
        <v>5</v>
      </c>
      <c r="E3" s="83" t="s">
        <v>1380</v>
      </c>
      <c r="F3" s="79">
        <v>3</v>
      </c>
      <c r="G3" s="83" t="s">
        <v>1368</v>
      </c>
      <c r="H3" s="79">
        <v>3</v>
      </c>
      <c r="I3" s="79"/>
      <c r="J3" s="79"/>
      <c r="K3" s="83" t="s">
        <v>1391</v>
      </c>
      <c r="L3" s="79">
        <v>1</v>
      </c>
      <c r="M3" s="79"/>
      <c r="N3" s="79"/>
      <c r="O3" s="79"/>
      <c r="P3" s="79"/>
      <c r="Q3" s="83" t="s">
        <v>1399</v>
      </c>
      <c r="R3" s="79">
        <v>1</v>
      </c>
      <c r="S3" s="79"/>
      <c r="T3" s="79"/>
      <c r="U3" s="79"/>
      <c r="V3" s="79"/>
    </row>
    <row r="4" spans="1:22" ht="15">
      <c r="A4" s="84" t="s">
        <v>1361</v>
      </c>
      <c r="B4" s="79">
        <v>5</v>
      </c>
      <c r="C4" s="83" t="s">
        <v>1371</v>
      </c>
      <c r="D4" s="79">
        <v>3</v>
      </c>
      <c r="E4" s="83" t="s">
        <v>1381</v>
      </c>
      <c r="F4" s="79">
        <v>1</v>
      </c>
      <c r="G4" s="83" t="s">
        <v>1384</v>
      </c>
      <c r="H4" s="79">
        <v>2</v>
      </c>
      <c r="I4" s="79"/>
      <c r="J4" s="79"/>
      <c r="K4" s="79"/>
      <c r="L4" s="79"/>
      <c r="M4" s="79"/>
      <c r="N4" s="79"/>
      <c r="O4" s="79"/>
      <c r="P4" s="79"/>
      <c r="Q4" s="83" t="s">
        <v>1400</v>
      </c>
      <c r="R4" s="79">
        <v>1</v>
      </c>
      <c r="S4" s="79"/>
      <c r="T4" s="79"/>
      <c r="U4" s="79"/>
      <c r="V4" s="79"/>
    </row>
    <row r="5" spans="1:22" ht="15">
      <c r="A5" s="84" t="s">
        <v>1362</v>
      </c>
      <c r="B5" s="79">
        <v>5</v>
      </c>
      <c r="C5" s="83" t="s">
        <v>1372</v>
      </c>
      <c r="D5" s="79">
        <v>3</v>
      </c>
      <c r="E5" s="83" t="s">
        <v>1362</v>
      </c>
      <c r="F5" s="79">
        <v>1</v>
      </c>
      <c r="G5" s="83" t="s">
        <v>1385</v>
      </c>
      <c r="H5" s="79">
        <v>1</v>
      </c>
      <c r="I5" s="79"/>
      <c r="J5" s="79"/>
      <c r="K5" s="79"/>
      <c r="L5" s="79"/>
      <c r="M5" s="79"/>
      <c r="N5" s="79"/>
      <c r="O5" s="79"/>
      <c r="P5" s="79"/>
      <c r="Q5" s="79"/>
      <c r="R5" s="79"/>
      <c r="S5" s="79"/>
      <c r="T5" s="79"/>
      <c r="U5" s="79"/>
      <c r="V5" s="79"/>
    </row>
    <row r="6" spans="1:22" ht="15">
      <c r="A6" s="84" t="s">
        <v>1363</v>
      </c>
      <c r="B6" s="79">
        <v>5</v>
      </c>
      <c r="C6" s="83" t="s">
        <v>1373</v>
      </c>
      <c r="D6" s="79">
        <v>2</v>
      </c>
      <c r="E6" s="79"/>
      <c r="F6" s="79"/>
      <c r="G6" s="79"/>
      <c r="H6" s="79"/>
      <c r="I6" s="79"/>
      <c r="J6" s="79"/>
      <c r="K6" s="79"/>
      <c r="L6" s="79"/>
      <c r="M6" s="79"/>
      <c r="N6" s="79"/>
      <c r="O6" s="79"/>
      <c r="P6" s="79"/>
      <c r="Q6" s="79"/>
      <c r="R6" s="79"/>
      <c r="S6" s="79"/>
      <c r="T6" s="79"/>
      <c r="U6" s="79"/>
      <c r="V6" s="79"/>
    </row>
    <row r="7" spans="1:22" ht="15">
      <c r="A7" s="84" t="s">
        <v>1364</v>
      </c>
      <c r="B7" s="79">
        <v>5</v>
      </c>
      <c r="C7" s="83" t="s">
        <v>1363</v>
      </c>
      <c r="D7" s="79">
        <v>2</v>
      </c>
      <c r="E7" s="79"/>
      <c r="F7" s="79"/>
      <c r="G7" s="79"/>
      <c r="H7" s="79"/>
      <c r="I7" s="79"/>
      <c r="J7" s="79"/>
      <c r="K7" s="79"/>
      <c r="L7" s="79"/>
      <c r="M7" s="79"/>
      <c r="N7" s="79"/>
      <c r="O7" s="79"/>
      <c r="P7" s="79"/>
      <c r="Q7" s="79"/>
      <c r="R7" s="79"/>
      <c r="S7" s="79"/>
      <c r="T7" s="79"/>
      <c r="U7" s="79"/>
      <c r="V7" s="79"/>
    </row>
    <row r="8" spans="1:22" ht="15">
      <c r="A8" s="84" t="s">
        <v>1365</v>
      </c>
      <c r="B8" s="79">
        <v>4</v>
      </c>
      <c r="C8" s="83" t="s">
        <v>1374</v>
      </c>
      <c r="D8" s="79">
        <v>2</v>
      </c>
      <c r="E8" s="79"/>
      <c r="F8" s="79"/>
      <c r="G8" s="79"/>
      <c r="H8" s="79"/>
      <c r="I8" s="79"/>
      <c r="J8" s="79"/>
      <c r="K8" s="79"/>
      <c r="L8" s="79"/>
      <c r="M8" s="79"/>
      <c r="N8" s="79"/>
      <c r="O8" s="79"/>
      <c r="P8" s="79"/>
      <c r="Q8" s="79"/>
      <c r="R8" s="79"/>
      <c r="S8" s="79"/>
      <c r="T8" s="79"/>
      <c r="U8" s="79"/>
      <c r="V8" s="79"/>
    </row>
    <row r="9" spans="1:22" ht="15">
      <c r="A9" s="84" t="s">
        <v>1366</v>
      </c>
      <c r="B9" s="79">
        <v>4</v>
      </c>
      <c r="C9" s="83" t="s">
        <v>1375</v>
      </c>
      <c r="D9" s="79">
        <v>2</v>
      </c>
      <c r="E9" s="79"/>
      <c r="F9" s="79"/>
      <c r="G9" s="79"/>
      <c r="H9" s="79"/>
      <c r="I9" s="79"/>
      <c r="J9" s="79"/>
      <c r="K9" s="79"/>
      <c r="L9" s="79"/>
      <c r="M9" s="79"/>
      <c r="N9" s="79"/>
      <c r="O9" s="79"/>
      <c r="P9" s="79"/>
      <c r="Q9" s="79"/>
      <c r="R9" s="79"/>
      <c r="S9" s="79"/>
      <c r="T9" s="79"/>
      <c r="U9" s="79"/>
      <c r="V9" s="79"/>
    </row>
    <row r="10" spans="1:22" ht="15">
      <c r="A10" s="84" t="s">
        <v>1367</v>
      </c>
      <c r="B10" s="79">
        <v>4</v>
      </c>
      <c r="C10" s="83" t="s">
        <v>1376</v>
      </c>
      <c r="D10" s="79">
        <v>2</v>
      </c>
      <c r="E10" s="79"/>
      <c r="F10" s="79"/>
      <c r="G10" s="79"/>
      <c r="H10" s="79"/>
      <c r="I10" s="79"/>
      <c r="J10" s="79"/>
      <c r="K10" s="79"/>
      <c r="L10" s="79"/>
      <c r="M10" s="79"/>
      <c r="N10" s="79"/>
      <c r="O10" s="79"/>
      <c r="P10" s="79"/>
      <c r="Q10" s="79"/>
      <c r="R10" s="79"/>
      <c r="S10" s="79"/>
      <c r="T10" s="79"/>
      <c r="U10" s="79"/>
      <c r="V10" s="79"/>
    </row>
    <row r="11" spans="1:22" ht="15">
      <c r="A11" s="84" t="s">
        <v>1368</v>
      </c>
      <c r="B11" s="79">
        <v>4</v>
      </c>
      <c r="C11" s="83" t="s">
        <v>1377</v>
      </c>
      <c r="D11" s="79">
        <v>2</v>
      </c>
      <c r="E11" s="79"/>
      <c r="F11" s="79"/>
      <c r="G11" s="79"/>
      <c r="H11" s="79"/>
      <c r="I11" s="79"/>
      <c r="J11" s="79"/>
      <c r="K11" s="79"/>
      <c r="L11" s="79"/>
      <c r="M11" s="79"/>
      <c r="N11" s="79"/>
      <c r="O11" s="79"/>
      <c r="P11" s="79"/>
      <c r="Q11" s="79"/>
      <c r="R11" s="79"/>
      <c r="S11" s="79"/>
      <c r="T11" s="79"/>
      <c r="U11" s="79"/>
      <c r="V11" s="79"/>
    </row>
    <row r="14" spans="1:22" ht="14.4" customHeight="1">
      <c r="A14" s="13" t="s">
        <v>1413</v>
      </c>
      <c r="B14" s="13" t="s">
        <v>1369</v>
      </c>
      <c r="C14" s="13" t="s">
        <v>1415</v>
      </c>
      <c r="D14" s="13" t="s">
        <v>1379</v>
      </c>
      <c r="E14" s="13" t="s">
        <v>1416</v>
      </c>
      <c r="F14" s="13" t="s">
        <v>1383</v>
      </c>
      <c r="G14" s="13" t="s">
        <v>1417</v>
      </c>
      <c r="H14" s="13" t="s">
        <v>1387</v>
      </c>
      <c r="I14" s="13" t="s">
        <v>1418</v>
      </c>
      <c r="J14" s="13" t="s">
        <v>1389</v>
      </c>
      <c r="K14" s="13" t="s">
        <v>1419</v>
      </c>
      <c r="L14" s="13" t="s">
        <v>1393</v>
      </c>
      <c r="M14" s="13" t="s">
        <v>1420</v>
      </c>
      <c r="N14" s="13" t="s">
        <v>1395</v>
      </c>
      <c r="O14" s="79" t="s">
        <v>1421</v>
      </c>
      <c r="P14" s="79" t="s">
        <v>1397</v>
      </c>
      <c r="Q14" s="13" t="s">
        <v>1422</v>
      </c>
      <c r="R14" s="13" t="s">
        <v>1402</v>
      </c>
      <c r="S14" s="13" t="s">
        <v>1423</v>
      </c>
      <c r="T14" s="13" t="s">
        <v>1404</v>
      </c>
      <c r="U14" s="13" t="s">
        <v>1424</v>
      </c>
      <c r="V14" s="13" t="s">
        <v>1405</v>
      </c>
    </row>
    <row r="15" spans="1:22" ht="15">
      <c r="A15" s="79" t="s">
        <v>444</v>
      </c>
      <c r="B15" s="79">
        <v>129</v>
      </c>
      <c r="C15" s="79" t="s">
        <v>444</v>
      </c>
      <c r="D15" s="79">
        <v>89</v>
      </c>
      <c r="E15" s="79" t="s">
        <v>444</v>
      </c>
      <c r="F15" s="79">
        <v>6</v>
      </c>
      <c r="G15" s="79" t="s">
        <v>444</v>
      </c>
      <c r="H15" s="79">
        <v>9</v>
      </c>
      <c r="I15" s="79" t="s">
        <v>444</v>
      </c>
      <c r="J15" s="79">
        <v>7</v>
      </c>
      <c r="K15" s="79" t="s">
        <v>445</v>
      </c>
      <c r="L15" s="79">
        <v>3</v>
      </c>
      <c r="M15" s="79" t="s">
        <v>444</v>
      </c>
      <c r="N15" s="79">
        <v>3</v>
      </c>
      <c r="O15" s="79"/>
      <c r="P15" s="79"/>
      <c r="Q15" s="79" t="s">
        <v>445</v>
      </c>
      <c r="R15" s="79">
        <v>3</v>
      </c>
      <c r="S15" s="79" t="s">
        <v>444</v>
      </c>
      <c r="T15" s="79">
        <v>3</v>
      </c>
      <c r="U15" s="79" t="s">
        <v>444</v>
      </c>
      <c r="V15" s="79">
        <v>3</v>
      </c>
    </row>
    <row r="16" spans="1:22" ht="15">
      <c r="A16" s="80" t="s">
        <v>445</v>
      </c>
      <c r="B16" s="79">
        <v>8</v>
      </c>
      <c r="C16" s="79" t="s">
        <v>1414</v>
      </c>
      <c r="D16" s="79">
        <v>1</v>
      </c>
      <c r="E16" s="79" t="s">
        <v>448</v>
      </c>
      <c r="F16" s="79">
        <v>3</v>
      </c>
      <c r="G16" s="79"/>
      <c r="H16" s="79"/>
      <c r="I16" s="79"/>
      <c r="J16" s="79"/>
      <c r="K16" s="79" t="s">
        <v>444</v>
      </c>
      <c r="L16" s="79">
        <v>1</v>
      </c>
      <c r="M16" s="79"/>
      <c r="N16" s="79"/>
      <c r="O16" s="79"/>
      <c r="P16" s="79"/>
      <c r="Q16" s="79" t="s">
        <v>444</v>
      </c>
      <c r="R16" s="79">
        <v>1</v>
      </c>
      <c r="S16" s="79"/>
      <c r="T16" s="79"/>
      <c r="U16" s="79"/>
      <c r="V16" s="79"/>
    </row>
    <row r="17" spans="1:22" ht="15">
      <c r="A17" s="80" t="s">
        <v>448</v>
      </c>
      <c r="B17" s="79">
        <v>3</v>
      </c>
      <c r="C17" s="79" t="s">
        <v>445</v>
      </c>
      <c r="D17" s="79">
        <v>1</v>
      </c>
      <c r="E17" s="79"/>
      <c r="F17" s="79"/>
      <c r="G17" s="79"/>
      <c r="H17" s="79"/>
      <c r="I17" s="79"/>
      <c r="J17" s="79"/>
      <c r="K17" s="79"/>
      <c r="L17" s="79"/>
      <c r="M17" s="79"/>
      <c r="N17" s="79"/>
      <c r="O17" s="79"/>
      <c r="P17" s="79"/>
      <c r="Q17" s="79"/>
      <c r="R17" s="79"/>
      <c r="S17" s="79"/>
      <c r="T17" s="79"/>
      <c r="U17" s="79"/>
      <c r="V17" s="79"/>
    </row>
    <row r="18" spans="1:22" ht="15">
      <c r="A18" s="80" t="s">
        <v>1414</v>
      </c>
      <c r="B18" s="79">
        <v>1</v>
      </c>
      <c r="C18" s="79"/>
      <c r="D18" s="79"/>
      <c r="E18" s="79"/>
      <c r="F18" s="79"/>
      <c r="G18" s="79"/>
      <c r="H18" s="79"/>
      <c r="I18" s="79"/>
      <c r="J18" s="79"/>
      <c r="K18" s="79"/>
      <c r="L18" s="79"/>
      <c r="M18" s="79"/>
      <c r="N18" s="79"/>
      <c r="O18" s="79"/>
      <c r="P18" s="79"/>
      <c r="Q18" s="79"/>
      <c r="R18" s="79"/>
      <c r="S18" s="79"/>
      <c r="T18" s="79"/>
      <c r="U18" s="79"/>
      <c r="V18" s="79"/>
    </row>
    <row r="21" spans="1:22" ht="14.4" customHeight="1">
      <c r="A21" s="13" t="s">
        <v>1429</v>
      </c>
      <c r="B21" s="13" t="s">
        <v>1369</v>
      </c>
      <c r="C21" s="13" t="s">
        <v>1438</v>
      </c>
      <c r="D21" s="13" t="s">
        <v>1379</v>
      </c>
      <c r="E21" s="13" t="s">
        <v>1439</v>
      </c>
      <c r="F21" s="13" t="s">
        <v>1383</v>
      </c>
      <c r="G21" s="13" t="s">
        <v>1440</v>
      </c>
      <c r="H21" s="13" t="s">
        <v>1387</v>
      </c>
      <c r="I21" s="13" t="s">
        <v>1441</v>
      </c>
      <c r="J21" s="13" t="s">
        <v>1389</v>
      </c>
      <c r="K21" s="13" t="s">
        <v>1442</v>
      </c>
      <c r="L21" s="13" t="s">
        <v>1393</v>
      </c>
      <c r="M21" s="13" t="s">
        <v>1443</v>
      </c>
      <c r="N21" s="13" t="s">
        <v>1395</v>
      </c>
      <c r="O21" s="13" t="s">
        <v>1444</v>
      </c>
      <c r="P21" s="13" t="s">
        <v>1397</v>
      </c>
      <c r="Q21" s="13" t="s">
        <v>1445</v>
      </c>
      <c r="R21" s="13" t="s">
        <v>1402</v>
      </c>
      <c r="S21" s="13" t="s">
        <v>1447</v>
      </c>
      <c r="T21" s="13" t="s">
        <v>1404</v>
      </c>
      <c r="U21" s="13" t="s">
        <v>1448</v>
      </c>
      <c r="V21" s="13" t="s">
        <v>1405</v>
      </c>
    </row>
    <row r="22" spans="1:22" ht="15">
      <c r="A22" s="79" t="s">
        <v>451</v>
      </c>
      <c r="B22" s="79">
        <v>152</v>
      </c>
      <c r="C22" s="79" t="s">
        <v>451</v>
      </c>
      <c r="D22" s="79">
        <v>95</v>
      </c>
      <c r="E22" s="79" t="s">
        <v>451</v>
      </c>
      <c r="F22" s="79">
        <v>9</v>
      </c>
      <c r="G22" s="79" t="s">
        <v>451</v>
      </c>
      <c r="H22" s="79">
        <v>12</v>
      </c>
      <c r="I22" s="79" t="s">
        <v>451</v>
      </c>
      <c r="J22" s="79">
        <v>7</v>
      </c>
      <c r="K22" s="79" t="s">
        <v>451</v>
      </c>
      <c r="L22" s="79">
        <v>4</v>
      </c>
      <c r="M22" s="79" t="s">
        <v>451</v>
      </c>
      <c r="N22" s="79">
        <v>3</v>
      </c>
      <c r="O22" s="79" t="s">
        <v>451</v>
      </c>
      <c r="P22" s="79">
        <v>4</v>
      </c>
      <c r="Q22" s="79" t="s">
        <v>1435</v>
      </c>
      <c r="R22" s="79">
        <v>3</v>
      </c>
      <c r="S22" s="79" t="s">
        <v>451</v>
      </c>
      <c r="T22" s="79">
        <v>3</v>
      </c>
      <c r="U22" s="79" t="s">
        <v>1430</v>
      </c>
      <c r="V22" s="79">
        <v>6</v>
      </c>
    </row>
    <row r="23" spans="1:22" ht="15">
      <c r="A23" s="80" t="s">
        <v>1430</v>
      </c>
      <c r="B23" s="79">
        <v>128</v>
      </c>
      <c r="C23" s="79" t="s">
        <v>1430</v>
      </c>
      <c r="D23" s="79">
        <v>83</v>
      </c>
      <c r="E23" s="79" t="s">
        <v>1430</v>
      </c>
      <c r="F23" s="79">
        <v>7</v>
      </c>
      <c r="G23" s="79" t="s">
        <v>1430</v>
      </c>
      <c r="H23" s="79">
        <v>12</v>
      </c>
      <c r="I23" s="79" t="s">
        <v>1430</v>
      </c>
      <c r="J23" s="79">
        <v>7</v>
      </c>
      <c r="K23" s="79" t="s">
        <v>1430</v>
      </c>
      <c r="L23" s="79">
        <v>1</v>
      </c>
      <c r="M23" s="79"/>
      <c r="N23" s="79"/>
      <c r="O23" s="79"/>
      <c r="P23" s="79"/>
      <c r="Q23" s="79" t="s">
        <v>451</v>
      </c>
      <c r="R23" s="79">
        <v>3</v>
      </c>
      <c r="S23" s="79" t="s">
        <v>1430</v>
      </c>
      <c r="T23" s="79">
        <v>3</v>
      </c>
      <c r="U23" s="79" t="s">
        <v>1431</v>
      </c>
      <c r="V23" s="79">
        <v>6</v>
      </c>
    </row>
    <row r="24" spans="1:22" ht="15">
      <c r="A24" s="80" t="s">
        <v>1431</v>
      </c>
      <c r="B24" s="79">
        <v>91</v>
      </c>
      <c r="C24" s="79" t="s">
        <v>1431</v>
      </c>
      <c r="D24" s="79">
        <v>62</v>
      </c>
      <c r="E24" s="79" t="s">
        <v>1432</v>
      </c>
      <c r="F24" s="79">
        <v>5</v>
      </c>
      <c r="G24" s="79" t="s">
        <v>1431</v>
      </c>
      <c r="H24" s="79">
        <v>12</v>
      </c>
      <c r="I24" s="79"/>
      <c r="J24" s="79"/>
      <c r="K24" s="79" t="s">
        <v>1431</v>
      </c>
      <c r="L24" s="79">
        <v>1</v>
      </c>
      <c r="M24" s="79"/>
      <c r="N24" s="79"/>
      <c r="O24" s="79"/>
      <c r="P24" s="79"/>
      <c r="Q24" s="79" t="s">
        <v>1437</v>
      </c>
      <c r="R24" s="79">
        <v>2</v>
      </c>
      <c r="S24" s="79"/>
      <c r="T24" s="79"/>
      <c r="U24" s="79" t="s">
        <v>451</v>
      </c>
      <c r="V24" s="79">
        <v>3</v>
      </c>
    </row>
    <row r="25" spans="1:22" ht="15">
      <c r="A25" s="80" t="s">
        <v>1432</v>
      </c>
      <c r="B25" s="79">
        <v>5</v>
      </c>
      <c r="C25" s="79" t="s">
        <v>1433</v>
      </c>
      <c r="D25" s="79">
        <v>2</v>
      </c>
      <c r="E25" s="79" t="s">
        <v>1431</v>
      </c>
      <c r="F25" s="79">
        <v>5</v>
      </c>
      <c r="G25" s="79" t="s">
        <v>1436</v>
      </c>
      <c r="H25" s="79">
        <v>2</v>
      </c>
      <c r="I25" s="79"/>
      <c r="J25" s="79"/>
      <c r="K25" s="79"/>
      <c r="L25" s="79"/>
      <c r="M25" s="79"/>
      <c r="N25" s="79"/>
      <c r="O25" s="79"/>
      <c r="P25" s="79"/>
      <c r="Q25" s="79" t="s">
        <v>1446</v>
      </c>
      <c r="R25" s="79">
        <v>2</v>
      </c>
      <c r="S25" s="79"/>
      <c r="T25" s="79"/>
      <c r="U25" s="79"/>
      <c r="V25" s="79"/>
    </row>
    <row r="26" spans="1:22" ht="15">
      <c r="A26" s="80" t="s">
        <v>1433</v>
      </c>
      <c r="B26" s="79">
        <v>4</v>
      </c>
      <c r="C26" s="79"/>
      <c r="D26" s="79"/>
      <c r="E26" s="79" t="s">
        <v>294</v>
      </c>
      <c r="F26" s="79">
        <v>3</v>
      </c>
      <c r="G26" s="79" t="s">
        <v>1433</v>
      </c>
      <c r="H26" s="79">
        <v>1</v>
      </c>
      <c r="I26" s="79"/>
      <c r="J26" s="79"/>
      <c r="K26" s="79"/>
      <c r="L26" s="79"/>
      <c r="M26" s="79"/>
      <c r="N26" s="79"/>
      <c r="O26" s="79"/>
      <c r="P26" s="79"/>
      <c r="Q26" s="79"/>
      <c r="R26" s="79"/>
      <c r="S26" s="79"/>
      <c r="T26" s="79"/>
      <c r="U26" s="79"/>
      <c r="V26" s="79"/>
    </row>
    <row r="27" spans="1:22" ht="15">
      <c r="A27" s="80" t="s">
        <v>294</v>
      </c>
      <c r="B27" s="79">
        <v>3</v>
      </c>
      <c r="C27" s="79"/>
      <c r="D27" s="79"/>
      <c r="E27" s="79" t="s">
        <v>1434</v>
      </c>
      <c r="F27" s="79">
        <v>3</v>
      </c>
      <c r="G27" s="79"/>
      <c r="H27" s="79"/>
      <c r="I27" s="79"/>
      <c r="J27" s="79"/>
      <c r="K27" s="79"/>
      <c r="L27" s="79"/>
      <c r="M27" s="79"/>
      <c r="N27" s="79"/>
      <c r="O27" s="79"/>
      <c r="P27" s="79"/>
      <c r="Q27" s="79"/>
      <c r="R27" s="79"/>
      <c r="S27" s="79"/>
      <c r="T27" s="79"/>
      <c r="U27" s="79"/>
      <c r="V27" s="79"/>
    </row>
    <row r="28" spans="1:22" ht="15">
      <c r="A28" s="80" t="s">
        <v>1434</v>
      </c>
      <c r="B28" s="79">
        <v>3</v>
      </c>
      <c r="C28" s="79"/>
      <c r="D28" s="79"/>
      <c r="E28" s="79"/>
      <c r="F28" s="79"/>
      <c r="G28" s="79"/>
      <c r="H28" s="79"/>
      <c r="I28" s="79"/>
      <c r="J28" s="79"/>
      <c r="K28" s="79"/>
      <c r="L28" s="79"/>
      <c r="M28" s="79"/>
      <c r="N28" s="79"/>
      <c r="O28" s="79"/>
      <c r="P28" s="79"/>
      <c r="Q28" s="79"/>
      <c r="R28" s="79"/>
      <c r="S28" s="79"/>
      <c r="T28" s="79"/>
      <c r="U28" s="79"/>
      <c r="V28" s="79"/>
    </row>
    <row r="29" spans="1:22" ht="15">
      <c r="A29" s="80" t="s">
        <v>1435</v>
      </c>
      <c r="B29" s="79">
        <v>3</v>
      </c>
      <c r="C29" s="79"/>
      <c r="D29" s="79"/>
      <c r="E29" s="79"/>
      <c r="F29" s="79"/>
      <c r="G29" s="79"/>
      <c r="H29" s="79"/>
      <c r="I29" s="79"/>
      <c r="J29" s="79"/>
      <c r="K29" s="79"/>
      <c r="L29" s="79"/>
      <c r="M29" s="79"/>
      <c r="N29" s="79"/>
      <c r="O29" s="79"/>
      <c r="P29" s="79"/>
      <c r="Q29" s="79"/>
      <c r="R29" s="79"/>
      <c r="S29" s="79"/>
      <c r="T29" s="79"/>
      <c r="U29" s="79"/>
      <c r="V29" s="79"/>
    </row>
    <row r="30" spans="1:22" ht="15">
      <c r="A30" s="80" t="s">
        <v>1436</v>
      </c>
      <c r="B30" s="79">
        <v>2</v>
      </c>
      <c r="C30" s="79"/>
      <c r="D30" s="79"/>
      <c r="E30" s="79"/>
      <c r="F30" s="79"/>
      <c r="G30" s="79"/>
      <c r="H30" s="79"/>
      <c r="I30" s="79"/>
      <c r="J30" s="79"/>
      <c r="K30" s="79"/>
      <c r="L30" s="79"/>
      <c r="M30" s="79"/>
      <c r="N30" s="79"/>
      <c r="O30" s="79"/>
      <c r="P30" s="79"/>
      <c r="Q30" s="79"/>
      <c r="R30" s="79"/>
      <c r="S30" s="79"/>
      <c r="T30" s="79"/>
      <c r="U30" s="79"/>
      <c r="V30" s="79"/>
    </row>
    <row r="31" spans="1:22" ht="15">
      <c r="A31" s="80" t="s">
        <v>1437</v>
      </c>
      <c r="B31" s="79">
        <v>2</v>
      </c>
      <c r="C31" s="79"/>
      <c r="D31" s="79"/>
      <c r="E31" s="79"/>
      <c r="F31" s="79"/>
      <c r="G31" s="79"/>
      <c r="H31" s="79"/>
      <c r="I31" s="79"/>
      <c r="J31" s="79"/>
      <c r="K31" s="79"/>
      <c r="L31" s="79"/>
      <c r="M31" s="79"/>
      <c r="N31" s="79"/>
      <c r="O31" s="79"/>
      <c r="P31" s="79"/>
      <c r="Q31" s="79"/>
      <c r="R31" s="79"/>
      <c r="S31" s="79"/>
      <c r="T31" s="79"/>
      <c r="U31" s="79"/>
      <c r="V31" s="79"/>
    </row>
    <row r="34" spans="1:22" ht="14.4" customHeight="1">
      <c r="A34" s="13" t="s">
        <v>1452</v>
      </c>
      <c r="B34" s="13" t="s">
        <v>1369</v>
      </c>
      <c r="C34" s="13" t="s">
        <v>1461</v>
      </c>
      <c r="D34" s="13" t="s">
        <v>1379</v>
      </c>
      <c r="E34" s="13" t="s">
        <v>1463</v>
      </c>
      <c r="F34" s="13" t="s">
        <v>1383</v>
      </c>
      <c r="G34" s="13" t="s">
        <v>1468</v>
      </c>
      <c r="H34" s="13" t="s">
        <v>1387</v>
      </c>
      <c r="I34" s="13" t="s">
        <v>1470</v>
      </c>
      <c r="J34" s="13" t="s">
        <v>1389</v>
      </c>
      <c r="K34" s="13" t="s">
        <v>1478</v>
      </c>
      <c r="L34" s="13" t="s">
        <v>1393</v>
      </c>
      <c r="M34" s="13" t="s">
        <v>1488</v>
      </c>
      <c r="N34" s="13" t="s">
        <v>1395</v>
      </c>
      <c r="O34" s="13" t="s">
        <v>1497</v>
      </c>
      <c r="P34" s="13" t="s">
        <v>1397</v>
      </c>
      <c r="Q34" s="13" t="s">
        <v>1507</v>
      </c>
      <c r="R34" s="13" t="s">
        <v>1402</v>
      </c>
      <c r="S34" s="13" t="s">
        <v>1514</v>
      </c>
      <c r="T34" s="13" t="s">
        <v>1404</v>
      </c>
      <c r="U34" s="13" t="s">
        <v>1520</v>
      </c>
      <c r="V34" s="13" t="s">
        <v>1405</v>
      </c>
    </row>
    <row r="35" spans="1:22" ht="15">
      <c r="A35" s="87" t="s">
        <v>1437</v>
      </c>
      <c r="B35" s="87">
        <v>208</v>
      </c>
      <c r="C35" s="87" t="s">
        <v>1437</v>
      </c>
      <c r="D35" s="87">
        <v>136</v>
      </c>
      <c r="E35" s="87" t="s">
        <v>1453</v>
      </c>
      <c r="F35" s="87">
        <v>9</v>
      </c>
      <c r="G35" s="87" t="s">
        <v>1437</v>
      </c>
      <c r="H35" s="87">
        <v>18</v>
      </c>
      <c r="I35" s="87" t="s">
        <v>1471</v>
      </c>
      <c r="J35" s="87">
        <v>14</v>
      </c>
      <c r="K35" s="87" t="s">
        <v>1453</v>
      </c>
      <c r="L35" s="87">
        <v>4</v>
      </c>
      <c r="M35" s="87" t="s">
        <v>1489</v>
      </c>
      <c r="N35" s="87">
        <v>6</v>
      </c>
      <c r="O35" s="87" t="s">
        <v>1498</v>
      </c>
      <c r="P35" s="87">
        <v>4</v>
      </c>
      <c r="Q35" s="87" t="s">
        <v>1437</v>
      </c>
      <c r="R35" s="87">
        <v>5</v>
      </c>
      <c r="S35" s="87" t="s">
        <v>1453</v>
      </c>
      <c r="T35" s="87">
        <v>3</v>
      </c>
      <c r="U35" s="87" t="s">
        <v>1454</v>
      </c>
      <c r="V35" s="87">
        <v>6</v>
      </c>
    </row>
    <row r="36" spans="1:22" ht="15">
      <c r="A36" s="88" t="s">
        <v>1453</v>
      </c>
      <c r="B36" s="87">
        <v>152</v>
      </c>
      <c r="C36" s="87" t="s">
        <v>1453</v>
      </c>
      <c r="D36" s="87">
        <v>95</v>
      </c>
      <c r="E36" s="87" t="s">
        <v>1437</v>
      </c>
      <c r="F36" s="87">
        <v>8</v>
      </c>
      <c r="G36" s="87" t="s">
        <v>1453</v>
      </c>
      <c r="H36" s="87">
        <v>12</v>
      </c>
      <c r="I36" s="87" t="s">
        <v>1437</v>
      </c>
      <c r="J36" s="87">
        <v>14</v>
      </c>
      <c r="K36" s="87" t="s">
        <v>1479</v>
      </c>
      <c r="L36" s="87">
        <v>4</v>
      </c>
      <c r="M36" s="87" t="s">
        <v>1456</v>
      </c>
      <c r="N36" s="87">
        <v>3</v>
      </c>
      <c r="O36" s="87" t="s">
        <v>1499</v>
      </c>
      <c r="P36" s="87">
        <v>4</v>
      </c>
      <c r="Q36" s="87" t="s">
        <v>1446</v>
      </c>
      <c r="R36" s="87">
        <v>4</v>
      </c>
      <c r="S36" s="87" t="s">
        <v>1515</v>
      </c>
      <c r="T36" s="87">
        <v>3</v>
      </c>
      <c r="U36" s="87" t="s">
        <v>1458</v>
      </c>
      <c r="V36" s="87">
        <v>6</v>
      </c>
    </row>
    <row r="37" spans="1:22" ht="15">
      <c r="A37" s="88" t="s">
        <v>1454</v>
      </c>
      <c r="B37" s="87">
        <v>128</v>
      </c>
      <c r="C37" s="87" t="s">
        <v>1455</v>
      </c>
      <c r="D37" s="87">
        <v>88</v>
      </c>
      <c r="E37" s="87" t="s">
        <v>1456</v>
      </c>
      <c r="F37" s="87">
        <v>7</v>
      </c>
      <c r="G37" s="87" t="s">
        <v>1454</v>
      </c>
      <c r="H37" s="87">
        <v>12</v>
      </c>
      <c r="I37" s="87" t="s">
        <v>1456</v>
      </c>
      <c r="J37" s="87">
        <v>7</v>
      </c>
      <c r="K37" s="87" t="s">
        <v>1480</v>
      </c>
      <c r="L37" s="87">
        <v>3</v>
      </c>
      <c r="M37" s="87" t="s">
        <v>1460</v>
      </c>
      <c r="N37" s="87">
        <v>3</v>
      </c>
      <c r="O37" s="87" t="s">
        <v>1500</v>
      </c>
      <c r="P37" s="87">
        <v>4</v>
      </c>
      <c r="Q37" s="87" t="s">
        <v>1508</v>
      </c>
      <c r="R37" s="87">
        <v>3</v>
      </c>
      <c r="S37" s="87" t="s">
        <v>1516</v>
      </c>
      <c r="T37" s="87">
        <v>3</v>
      </c>
      <c r="U37" s="87" t="s">
        <v>1521</v>
      </c>
      <c r="V37" s="87">
        <v>3</v>
      </c>
    </row>
    <row r="38" spans="1:22" ht="15">
      <c r="A38" s="88" t="s">
        <v>1455</v>
      </c>
      <c r="B38" s="87">
        <v>127</v>
      </c>
      <c r="C38" s="87" t="s">
        <v>1457</v>
      </c>
      <c r="D38" s="87">
        <v>83</v>
      </c>
      <c r="E38" s="87" t="s">
        <v>1455</v>
      </c>
      <c r="F38" s="87">
        <v>7</v>
      </c>
      <c r="G38" s="87" t="s">
        <v>1458</v>
      </c>
      <c r="H38" s="87">
        <v>12</v>
      </c>
      <c r="I38" s="87" t="s">
        <v>1460</v>
      </c>
      <c r="J38" s="87">
        <v>7</v>
      </c>
      <c r="K38" s="87" t="s">
        <v>1481</v>
      </c>
      <c r="L38" s="87">
        <v>3</v>
      </c>
      <c r="M38" s="87" t="s">
        <v>1490</v>
      </c>
      <c r="N38" s="87">
        <v>3</v>
      </c>
      <c r="O38" s="87" t="s">
        <v>1501</v>
      </c>
      <c r="P38" s="87">
        <v>4</v>
      </c>
      <c r="Q38" s="87" t="s">
        <v>1453</v>
      </c>
      <c r="R38" s="87">
        <v>3</v>
      </c>
      <c r="S38" s="87" t="s">
        <v>1456</v>
      </c>
      <c r="T38" s="87">
        <v>3</v>
      </c>
      <c r="U38" s="87" t="s">
        <v>1522</v>
      </c>
      <c r="V38" s="87">
        <v>3</v>
      </c>
    </row>
    <row r="39" spans="1:22" ht="15">
      <c r="A39" s="88" t="s">
        <v>1456</v>
      </c>
      <c r="B39" s="87">
        <v>113</v>
      </c>
      <c r="C39" s="87" t="s">
        <v>1454</v>
      </c>
      <c r="D39" s="87">
        <v>83</v>
      </c>
      <c r="E39" s="87" t="s">
        <v>1454</v>
      </c>
      <c r="F39" s="87">
        <v>7</v>
      </c>
      <c r="G39" s="87" t="s">
        <v>1462</v>
      </c>
      <c r="H39" s="87">
        <v>9</v>
      </c>
      <c r="I39" s="87" t="s">
        <v>1472</v>
      </c>
      <c r="J39" s="87">
        <v>7</v>
      </c>
      <c r="K39" s="87" t="s">
        <v>1482</v>
      </c>
      <c r="L39" s="87">
        <v>3</v>
      </c>
      <c r="M39" s="87" t="s">
        <v>1491</v>
      </c>
      <c r="N39" s="87">
        <v>3</v>
      </c>
      <c r="O39" s="87" t="s">
        <v>1502</v>
      </c>
      <c r="P39" s="87">
        <v>4</v>
      </c>
      <c r="Q39" s="87" t="s">
        <v>311</v>
      </c>
      <c r="R39" s="87">
        <v>2</v>
      </c>
      <c r="S39" s="87" t="s">
        <v>1460</v>
      </c>
      <c r="T39" s="87">
        <v>3</v>
      </c>
      <c r="U39" s="87" t="s">
        <v>1523</v>
      </c>
      <c r="V39" s="87">
        <v>3</v>
      </c>
    </row>
    <row r="40" spans="1:22" ht="15">
      <c r="A40" s="88" t="s">
        <v>1457</v>
      </c>
      <c r="B40" s="87">
        <v>113</v>
      </c>
      <c r="C40" s="87" t="s">
        <v>1456</v>
      </c>
      <c r="D40" s="87">
        <v>78</v>
      </c>
      <c r="E40" s="87" t="s">
        <v>1464</v>
      </c>
      <c r="F40" s="87">
        <v>6</v>
      </c>
      <c r="G40" s="87" t="s">
        <v>1446</v>
      </c>
      <c r="H40" s="87">
        <v>8</v>
      </c>
      <c r="I40" s="87" t="s">
        <v>1473</v>
      </c>
      <c r="J40" s="87">
        <v>7</v>
      </c>
      <c r="K40" s="87" t="s">
        <v>1483</v>
      </c>
      <c r="L40" s="87">
        <v>3</v>
      </c>
      <c r="M40" s="87" t="s">
        <v>1492</v>
      </c>
      <c r="N40" s="87">
        <v>3</v>
      </c>
      <c r="O40" s="87" t="s">
        <v>1503</v>
      </c>
      <c r="P40" s="87">
        <v>4</v>
      </c>
      <c r="Q40" s="87" t="s">
        <v>1509</v>
      </c>
      <c r="R40" s="87">
        <v>2</v>
      </c>
      <c r="S40" s="87" t="s">
        <v>275</v>
      </c>
      <c r="T40" s="87">
        <v>3</v>
      </c>
      <c r="U40" s="87" t="s">
        <v>1453</v>
      </c>
      <c r="V40" s="87">
        <v>3</v>
      </c>
    </row>
    <row r="41" spans="1:22" ht="15">
      <c r="A41" s="88" t="s">
        <v>1458</v>
      </c>
      <c r="B41" s="87">
        <v>92</v>
      </c>
      <c r="C41" s="87" t="s">
        <v>1458</v>
      </c>
      <c r="D41" s="87">
        <v>62</v>
      </c>
      <c r="E41" s="87" t="s">
        <v>1457</v>
      </c>
      <c r="F41" s="87">
        <v>6</v>
      </c>
      <c r="G41" s="87" t="s">
        <v>1456</v>
      </c>
      <c r="H41" s="87">
        <v>7</v>
      </c>
      <c r="I41" s="87" t="s">
        <v>1474</v>
      </c>
      <c r="J41" s="87">
        <v>7</v>
      </c>
      <c r="K41" s="87" t="s">
        <v>1484</v>
      </c>
      <c r="L41" s="87">
        <v>3</v>
      </c>
      <c r="M41" s="87" t="s">
        <v>1493</v>
      </c>
      <c r="N41" s="87">
        <v>3</v>
      </c>
      <c r="O41" s="87" t="s">
        <v>1504</v>
      </c>
      <c r="P41" s="87">
        <v>4</v>
      </c>
      <c r="Q41" s="87" t="s">
        <v>1510</v>
      </c>
      <c r="R41" s="87">
        <v>2</v>
      </c>
      <c r="S41" s="87" t="s">
        <v>1490</v>
      </c>
      <c r="T41" s="87">
        <v>3</v>
      </c>
      <c r="U41" s="87" t="s">
        <v>1456</v>
      </c>
      <c r="V41" s="87">
        <v>3</v>
      </c>
    </row>
    <row r="42" spans="1:22" ht="15">
      <c r="A42" s="88" t="s">
        <v>1459</v>
      </c>
      <c r="B42" s="87">
        <v>61</v>
      </c>
      <c r="C42" s="87" t="s">
        <v>1460</v>
      </c>
      <c r="D42" s="87">
        <v>38</v>
      </c>
      <c r="E42" s="87" t="s">
        <v>1465</v>
      </c>
      <c r="F42" s="87">
        <v>5</v>
      </c>
      <c r="G42" s="87" t="s">
        <v>1455</v>
      </c>
      <c r="H42" s="87">
        <v>7</v>
      </c>
      <c r="I42" s="87" t="s">
        <v>1475</v>
      </c>
      <c r="J42" s="87">
        <v>7</v>
      </c>
      <c r="K42" s="87" t="s">
        <v>1485</v>
      </c>
      <c r="L42" s="87">
        <v>3</v>
      </c>
      <c r="M42" s="87" t="s">
        <v>1494</v>
      </c>
      <c r="N42" s="87">
        <v>3</v>
      </c>
      <c r="O42" s="87" t="s">
        <v>1484</v>
      </c>
      <c r="P42" s="87">
        <v>4</v>
      </c>
      <c r="Q42" s="87" t="s">
        <v>1511</v>
      </c>
      <c r="R42" s="87">
        <v>2</v>
      </c>
      <c r="S42" s="87" t="s">
        <v>1517</v>
      </c>
      <c r="T42" s="87">
        <v>3</v>
      </c>
      <c r="U42" s="87" t="s">
        <v>1460</v>
      </c>
      <c r="V42" s="87">
        <v>3</v>
      </c>
    </row>
    <row r="43" spans="1:22" ht="15">
      <c r="A43" s="88" t="s">
        <v>1460</v>
      </c>
      <c r="B43" s="87">
        <v>59</v>
      </c>
      <c r="C43" s="87" t="s">
        <v>1462</v>
      </c>
      <c r="D43" s="87">
        <v>37</v>
      </c>
      <c r="E43" s="87" t="s">
        <v>1466</v>
      </c>
      <c r="F43" s="87">
        <v>5</v>
      </c>
      <c r="G43" s="87" t="s">
        <v>1457</v>
      </c>
      <c r="H43" s="87">
        <v>7</v>
      </c>
      <c r="I43" s="87" t="s">
        <v>1476</v>
      </c>
      <c r="J43" s="87">
        <v>7</v>
      </c>
      <c r="K43" s="87" t="s">
        <v>1486</v>
      </c>
      <c r="L43" s="87">
        <v>3</v>
      </c>
      <c r="M43" s="87" t="s">
        <v>1495</v>
      </c>
      <c r="N43" s="87">
        <v>3</v>
      </c>
      <c r="O43" s="87" t="s">
        <v>1505</v>
      </c>
      <c r="P43" s="87">
        <v>4</v>
      </c>
      <c r="Q43" s="87" t="s">
        <v>1512</v>
      </c>
      <c r="R43" s="87">
        <v>2</v>
      </c>
      <c r="S43" s="87" t="s">
        <v>1518</v>
      </c>
      <c r="T43" s="87">
        <v>3</v>
      </c>
      <c r="U43" s="87" t="s">
        <v>1490</v>
      </c>
      <c r="V43" s="87">
        <v>3</v>
      </c>
    </row>
    <row r="44" spans="1:22" ht="15">
      <c r="A44" s="88" t="s">
        <v>1446</v>
      </c>
      <c r="B44" s="87">
        <v>59</v>
      </c>
      <c r="C44" s="87" t="s">
        <v>1459</v>
      </c>
      <c r="D44" s="87">
        <v>37</v>
      </c>
      <c r="E44" s="87" t="s">
        <v>1467</v>
      </c>
      <c r="F44" s="87">
        <v>5</v>
      </c>
      <c r="G44" s="87" t="s">
        <v>1469</v>
      </c>
      <c r="H44" s="87">
        <v>6</v>
      </c>
      <c r="I44" s="87" t="s">
        <v>1477</v>
      </c>
      <c r="J44" s="87">
        <v>7</v>
      </c>
      <c r="K44" s="87" t="s">
        <v>1487</v>
      </c>
      <c r="L44" s="87">
        <v>3</v>
      </c>
      <c r="M44" s="87" t="s">
        <v>1496</v>
      </c>
      <c r="N44" s="87">
        <v>3</v>
      </c>
      <c r="O44" s="87" t="s">
        <v>1506</v>
      </c>
      <c r="P44" s="87">
        <v>4</v>
      </c>
      <c r="Q44" s="87" t="s">
        <v>1513</v>
      </c>
      <c r="R44" s="87">
        <v>2</v>
      </c>
      <c r="S44" s="87" t="s">
        <v>1519</v>
      </c>
      <c r="T44" s="87">
        <v>3</v>
      </c>
      <c r="U44" s="87" t="s">
        <v>1524</v>
      </c>
      <c r="V44" s="87">
        <v>3</v>
      </c>
    </row>
    <row r="47" spans="1:22" ht="14.4" customHeight="1">
      <c r="A47" s="13" t="s">
        <v>1539</v>
      </c>
      <c r="B47" s="13" t="s">
        <v>1369</v>
      </c>
      <c r="C47" s="13" t="s">
        <v>1550</v>
      </c>
      <c r="D47" s="13" t="s">
        <v>1379</v>
      </c>
      <c r="E47" s="13" t="s">
        <v>1553</v>
      </c>
      <c r="F47" s="13" t="s">
        <v>1383</v>
      </c>
      <c r="G47" s="13" t="s">
        <v>1561</v>
      </c>
      <c r="H47" s="13" t="s">
        <v>1387</v>
      </c>
      <c r="I47" s="13" t="s">
        <v>1567</v>
      </c>
      <c r="J47" s="13" t="s">
        <v>1389</v>
      </c>
      <c r="K47" s="13" t="s">
        <v>1577</v>
      </c>
      <c r="L47" s="13" t="s">
        <v>1393</v>
      </c>
      <c r="M47" s="13" t="s">
        <v>1588</v>
      </c>
      <c r="N47" s="13" t="s">
        <v>1395</v>
      </c>
      <c r="O47" s="13" t="s">
        <v>1598</v>
      </c>
      <c r="P47" s="13" t="s">
        <v>1397</v>
      </c>
      <c r="Q47" s="13" t="s">
        <v>1609</v>
      </c>
      <c r="R47" s="13" t="s">
        <v>1402</v>
      </c>
      <c r="S47" s="13" t="s">
        <v>1618</v>
      </c>
      <c r="T47" s="13" t="s">
        <v>1404</v>
      </c>
      <c r="U47" s="13" t="s">
        <v>1628</v>
      </c>
      <c r="V47" s="13" t="s">
        <v>1405</v>
      </c>
    </row>
    <row r="48" spans="1:22" ht="15">
      <c r="A48" s="87" t="s">
        <v>1540</v>
      </c>
      <c r="B48" s="87">
        <v>113</v>
      </c>
      <c r="C48" s="87" t="s">
        <v>1540</v>
      </c>
      <c r="D48" s="87">
        <v>83</v>
      </c>
      <c r="E48" s="87" t="s">
        <v>1540</v>
      </c>
      <c r="F48" s="87">
        <v>6</v>
      </c>
      <c r="G48" s="87" t="s">
        <v>1542</v>
      </c>
      <c r="H48" s="87">
        <v>12</v>
      </c>
      <c r="I48" s="87" t="s">
        <v>1543</v>
      </c>
      <c r="J48" s="87">
        <v>7</v>
      </c>
      <c r="K48" s="87" t="s">
        <v>1578</v>
      </c>
      <c r="L48" s="87">
        <v>3</v>
      </c>
      <c r="M48" s="87" t="s">
        <v>1543</v>
      </c>
      <c r="N48" s="87">
        <v>3</v>
      </c>
      <c r="O48" s="87" t="s">
        <v>1599</v>
      </c>
      <c r="P48" s="87">
        <v>4</v>
      </c>
      <c r="Q48" s="87" t="s">
        <v>1544</v>
      </c>
      <c r="R48" s="87">
        <v>4</v>
      </c>
      <c r="S48" s="87" t="s">
        <v>1619</v>
      </c>
      <c r="T48" s="87">
        <v>3</v>
      </c>
      <c r="U48" s="87" t="s">
        <v>1542</v>
      </c>
      <c r="V48" s="87">
        <v>6</v>
      </c>
    </row>
    <row r="49" spans="1:22" ht="15">
      <c r="A49" s="88" t="s">
        <v>1541</v>
      </c>
      <c r="B49" s="87">
        <v>93</v>
      </c>
      <c r="C49" s="87" t="s">
        <v>1541</v>
      </c>
      <c r="D49" s="87">
        <v>67</v>
      </c>
      <c r="E49" s="87" t="s">
        <v>1541</v>
      </c>
      <c r="F49" s="87">
        <v>6</v>
      </c>
      <c r="G49" s="87" t="s">
        <v>1544</v>
      </c>
      <c r="H49" s="87">
        <v>8</v>
      </c>
      <c r="I49" s="87" t="s">
        <v>1568</v>
      </c>
      <c r="J49" s="87">
        <v>7</v>
      </c>
      <c r="K49" s="87" t="s">
        <v>1579</v>
      </c>
      <c r="L49" s="87">
        <v>3</v>
      </c>
      <c r="M49" s="87" t="s">
        <v>1589</v>
      </c>
      <c r="N49" s="87">
        <v>3</v>
      </c>
      <c r="O49" s="87" t="s">
        <v>1600</v>
      </c>
      <c r="P49" s="87">
        <v>4</v>
      </c>
      <c r="Q49" s="87" t="s">
        <v>1610</v>
      </c>
      <c r="R49" s="87">
        <v>3</v>
      </c>
      <c r="S49" s="87" t="s">
        <v>1620</v>
      </c>
      <c r="T49" s="87">
        <v>3</v>
      </c>
      <c r="U49" s="87" t="s">
        <v>1629</v>
      </c>
      <c r="V49" s="87">
        <v>3</v>
      </c>
    </row>
    <row r="50" spans="1:22" ht="15">
      <c r="A50" s="88" t="s">
        <v>1542</v>
      </c>
      <c r="B50" s="87">
        <v>92</v>
      </c>
      <c r="C50" s="87" t="s">
        <v>1542</v>
      </c>
      <c r="D50" s="87">
        <v>62</v>
      </c>
      <c r="E50" s="87" t="s">
        <v>1542</v>
      </c>
      <c r="F50" s="87">
        <v>5</v>
      </c>
      <c r="G50" s="87" t="s">
        <v>1540</v>
      </c>
      <c r="H50" s="87">
        <v>7</v>
      </c>
      <c r="I50" s="87" t="s">
        <v>1569</v>
      </c>
      <c r="J50" s="87">
        <v>7</v>
      </c>
      <c r="K50" s="87" t="s">
        <v>1580</v>
      </c>
      <c r="L50" s="87">
        <v>3</v>
      </c>
      <c r="M50" s="87" t="s">
        <v>1590</v>
      </c>
      <c r="N50" s="87">
        <v>3</v>
      </c>
      <c r="O50" s="87" t="s">
        <v>1601</v>
      </c>
      <c r="P50" s="87">
        <v>4</v>
      </c>
      <c r="Q50" s="87" t="s">
        <v>1611</v>
      </c>
      <c r="R50" s="87">
        <v>2</v>
      </c>
      <c r="S50" s="87" t="s">
        <v>1621</v>
      </c>
      <c r="T50" s="87">
        <v>3</v>
      </c>
      <c r="U50" s="87" t="s">
        <v>1630</v>
      </c>
      <c r="V50" s="87">
        <v>3</v>
      </c>
    </row>
    <row r="51" spans="1:22" ht="15">
      <c r="A51" s="88" t="s">
        <v>1543</v>
      </c>
      <c r="B51" s="87">
        <v>54</v>
      </c>
      <c r="C51" s="87" t="s">
        <v>1543</v>
      </c>
      <c r="D51" s="87">
        <v>36</v>
      </c>
      <c r="E51" s="87" t="s">
        <v>1554</v>
      </c>
      <c r="F51" s="87">
        <v>4</v>
      </c>
      <c r="G51" s="87" t="s">
        <v>1541</v>
      </c>
      <c r="H51" s="87">
        <v>7</v>
      </c>
      <c r="I51" s="87" t="s">
        <v>1570</v>
      </c>
      <c r="J51" s="87">
        <v>7</v>
      </c>
      <c r="K51" s="87" t="s">
        <v>1581</v>
      </c>
      <c r="L51" s="87">
        <v>3</v>
      </c>
      <c r="M51" s="87" t="s">
        <v>1591</v>
      </c>
      <c r="N51" s="87">
        <v>3</v>
      </c>
      <c r="O51" s="87" t="s">
        <v>1602</v>
      </c>
      <c r="P51" s="87">
        <v>4</v>
      </c>
      <c r="Q51" s="87" t="s">
        <v>1612</v>
      </c>
      <c r="R51" s="87">
        <v>2</v>
      </c>
      <c r="S51" s="87" t="s">
        <v>1543</v>
      </c>
      <c r="T51" s="87">
        <v>3</v>
      </c>
      <c r="U51" s="87" t="s">
        <v>1631</v>
      </c>
      <c r="V51" s="87">
        <v>3</v>
      </c>
    </row>
    <row r="52" spans="1:22" ht="15">
      <c r="A52" s="88" t="s">
        <v>1544</v>
      </c>
      <c r="B52" s="87">
        <v>52</v>
      </c>
      <c r="C52" s="87" t="s">
        <v>1546</v>
      </c>
      <c r="D52" s="87">
        <v>25</v>
      </c>
      <c r="E52" s="87" t="s">
        <v>1555</v>
      </c>
      <c r="F52" s="87">
        <v>3</v>
      </c>
      <c r="G52" s="87" t="s">
        <v>1545</v>
      </c>
      <c r="H52" s="87">
        <v>5</v>
      </c>
      <c r="I52" s="87" t="s">
        <v>1571</v>
      </c>
      <c r="J52" s="87">
        <v>7</v>
      </c>
      <c r="K52" s="87" t="s">
        <v>1582</v>
      </c>
      <c r="L52" s="87">
        <v>3</v>
      </c>
      <c r="M52" s="87" t="s">
        <v>1592</v>
      </c>
      <c r="N52" s="87">
        <v>3</v>
      </c>
      <c r="O52" s="87" t="s">
        <v>1603</v>
      </c>
      <c r="P52" s="87">
        <v>4</v>
      </c>
      <c r="Q52" s="87" t="s">
        <v>1613</v>
      </c>
      <c r="R52" s="87">
        <v>2</v>
      </c>
      <c r="S52" s="87" t="s">
        <v>1622</v>
      </c>
      <c r="T52" s="87">
        <v>3</v>
      </c>
      <c r="U52" s="87" t="s">
        <v>1552</v>
      </c>
      <c r="V52" s="87">
        <v>3</v>
      </c>
    </row>
    <row r="53" spans="1:22" ht="15">
      <c r="A53" s="88" t="s">
        <v>1545</v>
      </c>
      <c r="B53" s="87">
        <v>45</v>
      </c>
      <c r="C53" s="87" t="s">
        <v>1549</v>
      </c>
      <c r="D53" s="87">
        <v>24</v>
      </c>
      <c r="E53" s="87" t="s">
        <v>1556</v>
      </c>
      <c r="F53" s="87">
        <v>3</v>
      </c>
      <c r="G53" s="87" t="s">
        <v>1562</v>
      </c>
      <c r="H53" s="87">
        <v>3</v>
      </c>
      <c r="I53" s="87" t="s">
        <v>1572</v>
      </c>
      <c r="J53" s="87">
        <v>7</v>
      </c>
      <c r="K53" s="87" t="s">
        <v>1583</v>
      </c>
      <c r="L53" s="87">
        <v>3</v>
      </c>
      <c r="M53" s="87" t="s">
        <v>1593</v>
      </c>
      <c r="N53" s="87">
        <v>3</v>
      </c>
      <c r="O53" s="87" t="s">
        <v>1604</v>
      </c>
      <c r="P53" s="87">
        <v>4</v>
      </c>
      <c r="Q53" s="87" t="s">
        <v>1614</v>
      </c>
      <c r="R53" s="87">
        <v>2</v>
      </c>
      <c r="S53" s="87" t="s">
        <v>1623</v>
      </c>
      <c r="T53" s="87">
        <v>3</v>
      </c>
      <c r="U53" s="87" t="s">
        <v>1543</v>
      </c>
      <c r="V53" s="87">
        <v>3</v>
      </c>
    </row>
    <row r="54" spans="1:22" ht="15">
      <c r="A54" s="88" t="s">
        <v>1546</v>
      </c>
      <c r="B54" s="87">
        <v>43</v>
      </c>
      <c r="C54" s="87" t="s">
        <v>1544</v>
      </c>
      <c r="D54" s="87">
        <v>23</v>
      </c>
      <c r="E54" s="87" t="s">
        <v>1557</v>
      </c>
      <c r="F54" s="87">
        <v>3</v>
      </c>
      <c r="G54" s="87" t="s">
        <v>1563</v>
      </c>
      <c r="H54" s="87">
        <v>3</v>
      </c>
      <c r="I54" s="87" t="s">
        <v>1573</v>
      </c>
      <c r="J54" s="87">
        <v>7</v>
      </c>
      <c r="K54" s="87" t="s">
        <v>1584</v>
      </c>
      <c r="L54" s="87">
        <v>3</v>
      </c>
      <c r="M54" s="87" t="s">
        <v>1594</v>
      </c>
      <c r="N54" s="87">
        <v>3</v>
      </c>
      <c r="O54" s="87" t="s">
        <v>1605</v>
      </c>
      <c r="P54" s="87">
        <v>4</v>
      </c>
      <c r="Q54" s="87" t="s">
        <v>1547</v>
      </c>
      <c r="R54" s="87">
        <v>2</v>
      </c>
      <c r="S54" s="87" t="s">
        <v>1624</v>
      </c>
      <c r="T54" s="87">
        <v>3</v>
      </c>
      <c r="U54" s="87" t="s">
        <v>1589</v>
      </c>
      <c r="V54" s="87">
        <v>3</v>
      </c>
    </row>
    <row r="55" spans="1:22" ht="15">
      <c r="A55" s="88" t="s">
        <v>1547</v>
      </c>
      <c r="B55" s="87">
        <v>38</v>
      </c>
      <c r="C55" s="87" t="s">
        <v>1545</v>
      </c>
      <c r="D55" s="87">
        <v>21</v>
      </c>
      <c r="E55" s="87" t="s">
        <v>1558</v>
      </c>
      <c r="F55" s="87">
        <v>3</v>
      </c>
      <c r="G55" s="87" t="s">
        <v>1564</v>
      </c>
      <c r="H55" s="87">
        <v>3</v>
      </c>
      <c r="I55" s="87" t="s">
        <v>1574</v>
      </c>
      <c r="J55" s="87">
        <v>7</v>
      </c>
      <c r="K55" s="87" t="s">
        <v>1585</v>
      </c>
      <c r="L55" s="87">
        <v>3</v>
      </c>
      <c r="M55" s="87" t="s">
        <v>1595</v>
      </c>
      <c r="N55" s="87">
        <v>3</v>
      </c>
      <c r="O55" s="87" t="s">
        <v>1606</v>
      </c>
      <c r="P55" s="87">
        <v>4</v>
      </c>
      <c r="Q55" s="87" t="s">
        <v>1615</v>
      </c>
      <c r="R55" s="87">
        <v>2</v>
      </c>
      <c r="S55" s="87" t="s">
        <v>1625</v>
      </c>
      <c r="T55" s="87">
        <v>3</v>
      </c>
      <c r="U55" s="87" t="s">
        <v>1632</v>
      </c>
      <c r="V55" s="87">
        <v>3</v>
      </c>
    </row>
    <row r="56" spans="1:22" ht="15">
      <c r="A56" s="88" t="s">
        <v>1548</v>
      </c>
      <c r="B56" s="87">
        <v>34</v>
      </c>
      <c r="C56" s="87" t="s">
        <v>1551</v>
      </c>
      <c r="D56" s="87">
        <v>21</v>
      </c>
      <c r="E56" s="87" t="s">
        <v>1559</v>
      </c>
      <c r="F56" s="87">
        <v>3</v>
      </c>
      <c r="G56" s="87" t="s">
        <v>1565</v>
      </c>
      <c r="H56" s="87">
        <v>3</v>
      </c>
      <c r="I56" s="87" t="s">
        <v>1575</v>
      </c>
      <c r="J56" s="87">
        <v>7</v>
      </c>
      <c r="K56" s="87" t="s">
        <v>1586</v>
      </c>
      <c r="L56" s="87">
        <v>3</v>
      </c>
      <c r="M56" s="87" t="s">
        <v>1596</v>
      </c>
      <c r="N56" s="87">
        <v>3</v>
      </c>
      <c r="O56" s="87" t="s">
        <v>1607</v>
      </c>
      <c r="P56" s="87">
        <v>4</v>
      </c>
      <c r="Q56" s="87" t="s">
        <v>1616</v>
      </c>
      <c r="R56" s="87">
        <v>2</v>
      </c>
      <c r="S56" s="87" t="s">
        <v>1626</v>
      </c>
      <c r="T56" s="87">
        <v>3</v>
      </c>
      <c r="U56" s="87" t="s">
        <v>1633</v>
      </c>
      <c r="V56" s="87">
        <v>3</v>
      </c>
    </row>
    <row r="57" spans="1:22" ht="15">
      <c r="A57" s="88" t="s">
        <v>1549</v>
      </c>
      <c r="B57" s="87">
        <v>31</v>
      </c>
      <c r="C57" s="87" t="s">
        <v>1552</v>
      </c>
      <c r="D57" s="87">
        <v>20</v>
      </c>
      <c r="E57" s="87" t="s">
        <v>1560</v>
      </c>
      <c r="F57" s="87">
        <v>3</v>
      </c>
      <c r="G57" s="87" t="s">
        <v>1566</v>
      </c>
      <c r="H57" s="87">
        <v>3</v>
      </c>
      <c r="I57" s="87" t="s">
        <v>1576</v>
      </c>
      <c r="J57" s="87">
        <v>7</v>
      </c>
      <c r="K57" s="87" t="s">
        <v>1587</v>
      </c>
      <c r="L57" s="87">
        <v>3</v>
      </c>
      <c r="M57" s="87" t="s">
        <v>1597</v>
      </c>
      <c r="N57" s="87">
        <v>3</v>
      </c>
      <c r="O57" s="87" t="s">
        <v>1608</v>
      </c>
      <c r="P57" s="87">
        <v>4</v>
      </c>
      <c r="Q57" s="87" t="s">
        <v>1617</v>
      </c>
      <c r="R57" s="87">
        <v>2</v>
      </c>
      <c r="S57" s="87" t="s">
        <v>1627</v>
      </c>
      <c r="T57" s="87">
        <v>3</v>
      </c>
      <c r="U57" s="87" t="s">
        <v>1634</v>
      </c>
      <c r="V57" s="87">
        <v>3</v>
      </c>
    </row>
    <row r="60" spans="1:22" ht="14.4" customHeight="1">
      <c r="A60" s="79" t="s">
        <v>1649</v>
      </c>
      <c r="B60" s="79" t="s">
        <v>1369</v>
      </c>
      <c r="C60" s="79" t="s">
        <v>1651</v>
      </c>
      <c r="D60" s="79" t="s">
        <v>1379</v>
      </c>
      <c r="E60" s="79" t="s">
        <v>1652</v>
      </c>
      <c r="F60" s="79" t="s">
        <v>1383</v>
      </c>
      <c r="G60" s="79" t="s">
        <v>1655</v>
      </c>
      <c r="H60" s="79" t="s">
        <v>1387</v>
      </c>
      <c r="I60" s="79" t="s">
        <v>1657</v>
      </c>
      <c r="J60" s="79" t="s">
        <v>1389</v>
      </c>
      <c r="K60" s="79" t="s">
        <v>1659</v>
      </c>
      <c r="L60" s="79" t="s">
        <v>1393</v>
      </c>
      <c r="M60" s="79" t="s">
        <v>1661</v>
      </c>
      <c r="N60" s="79" t="s">
        <v>1395</v>
      </c>
      <c r="O60" s="79" t="s">
        <v>1663</v>
      </c>
      <c r="P60" s="79" t="s">
        <v>1397</v>
      </c>
      <c r="Q60" s="79" t="s">
        <v>1665</v>
      </c>
      <c r="R60" s="79" t="s">
        <v>1402</v>
      </c>
      <c r="S60" s="79" t="s">
        <v>1667</v>
      </c>
      <c r="T60" s="79" t="s">
        <v>1404</v>
      </c>
      <c r="U60" s="79" t="s">
        <v>1669</v>
      </c>
      <c r="V60" s="79" t="s">
        <v>1405</v>
      </c>
    </row>
    <row r="61" spans="1:22" ht="15">
      <c r="A61" s="79"/>
      <c r="B61" s="79"/>
      <c r="C61" s="79"/>
      <c r="D61" s="79"/>
      <c r="E61" s="79"/>
      <c r="F61" s="79"/>
      <c r="G61" s="79"/>
      <c r="H61" s="79"/>
      <c r="I61" s="79"/>
      <c r="J61" s="79"/>
      <c r="K61" s="79"/>
      <c r="L61" s="79"/>
      <c r="M61" s="79"/>
      <c r="N61" s="79"/>
      <c r="O61" s="79"/>
      <c r="P61" s="79"/>
      <c r="Q61" s="79"/>
      <c r="R61" s="79"/>
      <c r="S61" s="79"/>
      <c r="T61" s="79"/>
      <c r="U61" s="79"/>
      <c r="V61" s="79"/>
    </row>
    <row r="63" spans="1:22" ht="14.4" customHeight="1">
      <c r="A63" s="13" t="s">
        <v>1650</v>
      </c>
      <c r="B63" s="13" t="s">
        <v>1369</v>
      </c>
      <c r="C63" s="13" t="s">
        <v>1653</v>
      </c>
      <c r="D63" s="13" t="s">
        <v>1379</v>
      </c>
      <c r="E63" s="13" t="s">
        <v>1654</v>
      </c>
      <c r="F63" s="13" t="s">
        <v>1383</v>
      </c>
      <c r="G63" s="13" t="s">
        <v>1656</v>
      </c>
      <c r="H63" s="13" t="s">
        <v>1387</v>
      </c>
      <c r="I63" s="13" t="s">
        <v>1658</v>
      </c>
      <c r="J63" s="13" t="s">
        <v>1389</v>
      </c>
      <c r="K63" s="13" t="s">
        <v>1660</v>
      </c>
      <c r="L63" s="13" t="s">
        <v>1393</v>
      </c>
      <c r="M63" s="13" t="s">
        <v>1662</v>
      </c>
      <c r="N63" s="13" t="s">
        <v>1395</v>
      </c>
      <c r="O63" s="79" t="s">
        <v>1664</v>
      </c>
      <c r="P63" s="79" t="s">
        <v>1397</v>
      </c>
      <c r="Q63" s="13" t="s">
        <v>1666</v>
      </c>
      <c r="R63" s="13" t="s">
        <v>1402</v>
      </c>
      <c r="S63" s="13" t="s">
        <v>1668</v>
      </c>
      <c r="T63" s="13" t="s">
        <v>1404</v>
      </c>
      <c r="U63" s="13" t="s">
        <v>1670</v>
      </c>
      <c r="V63" s="13" t="s">
        <v>1405</v>
      </c>
    </row>
    <row r="64" spans="1:22" ht="15">
      <c r="A64" s="79" t="s">
        <v>307</v>
      </c>
      <c r="B64" s="79">
        <v>8</v>
      </c>
      <c r="C64" s="79" t="s">
        <v>279</v>
      </c>
      <c r="D64" s="79">
        <v>6</v>
      </c>
      <c r="E64" s="79" t="s">
        <v>292</v>
      </c>
      <c r="F64" s="79">
        <v>5</v>
      </c>
      <c r="G64" s="79" t="s">
        <v>283</v>
      </c>
      <c r="H64" s="79">
        <v>3</v>
      </c>
      <c r="I64" s="79" t="s">
        <v>307</v>
      </c>
      <c r="J64" s="79">
        <v>7</v>
      </c>
      <c r="K64" s="79" t="s">
        <v>305</v>
      </c>
      <c r="L64" s="79">
        <v>3</v>
      </c>
      <c r="M64" s="79" t="s">
        <v>309</v>
      </c>
      <c r="N64" s="79">
        <v>3</v>
      </c>
      <c r="O64" s="79"/>
      <c r="P64" s="79"/>
      <c r="Q64" s="79" t="s">
        <v>312</v>
      </c>
      <c r="R64" s="79">
        <v>1</v>
      </c>
      <c r="S64" s="79" t="s">
        <v>275</v>
      </c>
      <c r="T64" s="79">
        <v>3</v>
      </c>
      <c r="U64" s="79" t="s">
        <v>289</v>
      </c>
      <c r="V64" s="79">
        <v>3</v>
      </c>
    </row>
    <row r="65" spans="1:22" ht="15">
      <c r="A65" s="80" t="s">
        <v>292</v>
      </c>
      <c r="B65" s="79">
        <v>6</v>
      </c>
      <c r="C65" s="79" t="s">
        <v>284</v>
      </c>
      <c r="D65" s="79">
        <v>5</v>
      </c>
      <c r="E65" s="79" t="s">
        <v>294</v>
      </c>
      <c r="F65" s="79">
        <v>2</v>
      </c>
      <c r="G65" s="79" t="s">
        <v>306</v>
      </c>
      <c r="H65" s="79">
        <v>3</v>
      </c>
      <c r="I65" s="79"/>
      <c r="J65" s="79"/>
      <c r="K65" s="79" t="s">
        <v>244</v>
      </c>
      <c r="L65" s="79">
        <v>1</v>
      </c>
      <c r="M65" s="79" t="s">
        <v>308</v>
      </c>
      <c r="N65" s="79">
        <v>3</v>
      </c>
      <c r="O65" s="79"/>
      <c r="P65" s="79"/>
      <c r="Q65" s="79" t="s">
        <v>311</v>
      </c>
      <c r="R65" s="79">
        <v>1</v>
      </c>
      <c r="S65" s="79" t="s">
        <v>310</v>
      </c>
      <c r="T65" s="79">
        <v>3</v>
      </c>
      <c r="U65" s="79" t="s">
        <v>290</v>
      </c>
      <c r="V65" s="79">
        <v>3</v>
      </c>
    </row>
    <row r="66" spans="1:22" ht="15">
      <c r="A66" s="80" t="s">
        <v>304</v>
      </c>
      <c r="B66" s="79">
        <v>6</v>
      </c>
      <c r="C66" s="79" t="s">
        <v>304</v>
      </c>
      <c r="D66" s="79">
        <v>3</v>
      </c>
      <c r="E66" s="79" t="s">
        <v>349</v>
      </c>
      <c r="F66" s="79">
        <v>1</v>
      </c>
      <c r="G66" s="79" t="s">
        <v>272</v>
      </c>
      <c r="H66" s="79">
        <v>3</v>
      </c>
      <c r="I66" s="79"/>
      <c r="J66" s="79"/>
      <c r="K66" s="79" t="s">
        <v>278</v>
      </c>
      <c r="L66" s="79">
        <v>1</v>
      </c>
      <c r="M66" s="79"/>
      <c r="N66" s="79"/>
      <c r="O66" s="79"/>
      <c r="P66" s="79"/>
      <c r="Q66" s="79"/>
      <c r="R66" s="79"/>
      <c r="S66" s="79"/>
      <c r="T66" s="79"/>
      <c r="U66" s="79"/>
      <c r="V66" s="79"/>
    </row>
    <row r="67" spans="1:22" ht="15">
      <c r="A67" s="80" t="s">
        <v>279</v>
      </c>
      <c r="B67" s="79">
        <v>6</v>
      </c>
      <c r="C67" s="79" t="s">
        <v>288</v>
      </c>
      <c r="D67" s="79">
        <v>3</v>
      </c>
      <c r="E67" s="79" t="s">
        <v>348</v>
      </c>
      <c r="F67" s="79">
        <v>1</v>
      </c>
      <c r="G67" s="79" t="s">
        <v>273</v>
      </c>
      <c r="H67" s="79">
        <v>3</v>
      </c>
      <c r="I67" s="79"/>
      <c r="J67" s="79"/>
      <c r="K67" s="79"/>
      <c r="L67" s="79"/>
      <c r="M67" s="79"/>
      <c r="N67" s="79"/>
      <c r="O67" s="79"/>
      <c r="P67" s="79"/>
      <c r="Q67" s="79"/>
      <c r="R67" s="79"/>
      <c r="S67" s="79"/>
      <c r="T67" s="79"/>
      <c r="U67" s="79"/>
      <c r="V67" s="79"/>
    </row>
    <row r="68" spans="1:22" ht="15">
      <c r="A68" s="80" t="s">
        <v>284</v>
      </c>
      <c r="B68" s="79">
        <v>5</v>
      </c>
      <c r="C68" s="79" t="s">
        <v>277</v>
      </c>
      <c r="D68" s="79">
        <v>3</v>
      </c>
      <c r="E68" s="79" t="s">
        <v>347</v>
      </c>
      <c r="F68" s="79">
        <v>1</v>
      </c>
      <c r="G68" s="79" t="s">
        <v>271</v>
      </c>
      <c r="H68" s="79">
        <v>2</v>
      </c>
      <c r="I68" s="79"/>
      <c r="J68" s="79"/>
      <c r="K68" s="79"/>
      <c r="L68" s="79"/>
      <c r="M68" s="79"/>
      <c r="N68" s="79"/>
      <c r="O68" s="79"/>
      <c r="P68" s="79"/>
      <c r="Q68" s="79"/>
      <c r="R68" s="79"/>
      <c r="S68" s="79"/>
      <c r="T68" s="79"/>
      <c r="U68" s="79"/>
      <c r="V68" s="79"/>
    </row>
    <row r="69" spans="1:22" ht="15">
      <c r="A69" s="80" t="s">
        <v>346</v>
      </c>
      <c r="B69" s="79">
        <v>4</v>
      </c>
      <c r="C69" s="79" t="s">
        <v>342</v>
      </c>
      <c r="D69" s="79">
        <v>3</v>
      </c>
      <c r="E69" s="79" t="s">
        <v>304</v>
      </c>
      <c r="F69" s="79">
        <v>1</v>
      </c>
      <c r="G69" s="79" t="s">
        <v>282</v>
      </c>
      <c r="H69" s="79">
        <v>1</v>
      </c>
      <c r="I69" s="79"/>
      <c r="J69" s="79"/>
      <c r="K69" s="79"/>
      <c r="L69" s="79"/>
      <c r="M69" s="79"/>
      <c r="N69" s="79"/>
      <c r="O69" s="79"/>
      <c r="P69" s="79"/>
      <c r="Q69" s="79"/>
      <c r="R69" s="79"/>
      <c r="S69" s="79"/>
      <c r="T69" s="79"/>
      <c r="U69" s="79"/>
      <c r="V69" s="79"/>
    </row>
    <row r="70" spans="1:22" ht="15">
      <c r="A70" s="80" t="s">
        <v>342</v>
      </c>
      <c r="B70" s="79">
        <v>4</v>
      </c>
      <c r="C70" s="79" t="s">
        <v>346</v>
      </c>
      <c r="D70" s="79">
        <v>3</v>
      </c>
      <c r="E70" s="79" t="s">
        <v>346</v>
      </c>
      <c r="F70" s="79">
        <v>1</v>
      </c>
      <c r="G70" s="79" t="s">
        <v>324</v>
      </c>
      <c r="H70" s="79">
        <v>1</v>
      </c>
      <c r="I70" s="79"/>
      <c r="J70" s="79"/>
      <c r="K70" s="79"/>
      <c r="L70" s="79"/>
      <c r="M70" s="79"/>
      <c r="N70" s="79"/>
      <c r="O70" s="79"/>
      <c r="P70" s="79"/>
      <c r="Q70" s="79"/>
      <c r="R70" s="79"/>
      <c r="S70" s="79"/>
      <c r="T70" s="79"/>
      <c r="U70" s="79"/>
      <c r="V70" s="79"/>
    </row>
    <row r="71" spans="1:22" ht="15">
      <c r="A71" s="80" t="s">
        <v>289</v>
      </c>
      <c r="B71" s="79">
        <v>4</v>
      </c>
      <c r="C71" s="79" t="s">
        <v>350</v>
      </c>
      <c r="D71" s="79">
        <v>2</v>
      </c>
      <c r="E71" s="79" t="s">
        <v>264</v>
      </c>
      <c r="F71" s="79">
        <v>1</v>
      </c>
      <c r="G71" s="79"/>
      <c r="H71" s="79"/>
      <c r="I71" s="79"/>
      <c r="J71" s="79"/>
      <c r="K71" s="79"/>
      <c r="L71" s="79"/>
      <c r="M71" s="79"/>
      <c r="N71" s="79"/>
      <c r="O71" s="79"/>
      <c r="P71" s="79"/>
      <c r="Q71" s="79"/>
      <c r="R71" s="79"/>
      <c r="S71" s="79"/>
      <c r="T71" s="79"/>
      <c r="U71" s="79"/>
      <c r="V71" s="79"/>
    </row>
    <row r="72" spans="1:22" ht="15">
      <c r="A72" s="80" t="s">
        <v>290</v>
      </c>
      <c r="B72" s="79">
        <v>4</v>
      </c>
      <c r="C72" s="79" t="s">
        <v>264</v>
      </c>
      <c r="D72" s="79">
        <v>2</v>
      </c>
      <c r="E72" s="79" t="s">
        <v>345</v>
      </c>
      <c r="F72" s="79">
        <v>1</v>
      </c>
      <c r="G72" s="79"/>
      <c r="H72" s="79"/>
      <c r="I72" s="79"/>
      <c r="J72" s="79"/>
      <c r="K72" s="79"/>
      <c r="L72" s="79"/>
      <c r="M72" s="79"/>
      <c r="N72" s="79"/>
      <c r="O72" s="79"/>
      <c r="P72" s="79"/>
      <c r="Q72" s="79"/>
      <c r="R72" s="79"/>
      <c r="S72" s="79"/>
      <c r="T72" s="79"/>
      <c r="U72" s="79"/>
      <c r="V72" s="79"/>
    </row>
    <row r="73" spans="1:22" ht="15">
      <c r="A73" s="80" t="s">
        <v>283</v>
      </c>
      <c r="B73" s="79">
        <v>4</v>
      </c>
      <c r="C73" s="79" t="s">
        <v>276</v>
      </c>
      <c r="D73" s="79">
        <v>2</v>
      </c>
      <c r="E73" s="79" t="s">
        <v>344</v>
      </c>
      <c r="F73" s="79">
        <v>1</v>
      </c>
      <c r="G73" s="79"/>
      <c r="H73" s="79"/>
      <c r="I73" s="79"/>
      <c r="J73" s="79"/>
      <c r="K73" s="79"/>
      <c r="L73" s="79"/>
      <c r="M73" s="79"/>
      <c r="N73" s="79"/>
      <c r="O73" s="79"/>
      <c r="P73" s="79"/>
      <c r="Q73" s="79"/>
      <c r="R73" s="79"/>
      <c r="S73" s="79"/>
      <c r="T73" s="79"/>
      <c r="U73" s="79"/>
      <c r="V73" s="79"/>
    </row>
    <row r="76" spans="1:22" ht="14.4" customHeight="1">
      <c r="A76" s="13" t="s">
        <v>1681</v>
      </c>
      <c r="B76" s="13" t="s">
        <v>1369</v>
      </c>
      <c r="C76" s="13" t="s">
        <v>1682</v>
      </c>
      <c r="D76" s="13" t="s">
        <v>1379</v>
      </c>
      <c r="E76" s="13" t="s">
        <v>1683</v>
      </c>
      <c r="F76" s="13" t="s">
        <v>1383</v>
      </c>
      <c r="G76" s="13" t="s">
        <v>1684</v>
      </c>
      <c r="H76" s="13" t="s">
        <v>1387</v>
      </c>
      <c r="I76" s="13" t="s">
        <v>1685</v>
      </c>
      <c r="J76" s="13" t="s">
        <v>1389</v>
      </c>
      <c r="K76" s="13" t="s">
        <v>1686</v>
      </c>
      <c r="L76" s="13" t="s">
        <v>1393</v>
      </c>
      <c r="M76" s="13" t="s">
        <v>1687</v>
      </c>
      <c r="N76" s="13" t="s">
        <v>1395</v>
      </c>
      <c r="O76" s="13" t="s">
        <v>1688</v>
      </c>
      <c r="P76" s="13" t="s">
        <v>1397</v>
      </c>
      <c r="Q76" s="13" t="s">
        <v>1689</v>
      </c>
      <c r="R76" s="13" t="s">
        <v>1402</v>
      </c>
      <c r="S76" s="13" t="s">
        <v>1690</v>
      </c>
      <c r="T76" s="13" t="s">
        <v>1404</v>
      </c>
      <c r="U76" s="13" t="s">
        <v>1691</v>
      </c>
      <c r="V76" s="13" t="s">
        <v>1405</v>
      </c>
    </row>
    <row r="77" spans="1:22" ht="15">
      <c r="A77" s="105" t="s">
        <v>240</v>
      </c>
      <c r="B77" s="79">
        <v>301918</v>
      </c>
      <c r="C77" s="105" t="s">
        <v>240</v>
      </c>
      <c r="D77" s="79">
        <v>301918</v>
      </c>
      <c r="E77" s="105" t="s">
        <v>344</v>
      </c>
      <c r="F77" s="79">
        <v>28582</v>
      </c>
      <c r="G77" s="105" t="s">
        <v>324</v>
      </c>
      <c r="H77" s="79">
        <v>29507</v>
      </c>
      <c r="I77" s="105" t="s">
        <v>257</v>
      </c>
      <c r="J77" s="79">
        <v>6710</v>
      </c>
      <c r="K77" s="105" t="s">
        <v>243</v>
      </c>
      <c r="L77" s="79">
        <v>33543</v>
      </c>
      <c r="M77" s="105" t="s">
        <v>254</v>
      </c>
      <c r="N77" s="79">
        <v>29762</v>
      </c>
      <c r="O77" s="105" t="s">
        <v>298</v>
      </c>
      <c r="P77" s="79">
        <v>9763</v>
      </c>
      <c r="Q77" s="105" t="s">
        <v>311</v>
      </c>
      <c r="R77" s="79">
        <v>17884</v>
      </c>
      <c r="S77" s="105" t="s">
        <v>267</v>
      </c>
      <c r="T77" s="79">
        <v>27348</v>
      </c>
      <c r="U77" s="105" t="s">
        <v>291</v>
      </c>
      <c r="V77" s="79">
        <v>7279</v>
      </c>
    </row>
    <row r="78" spans="1:22" ht="15">
      <c r="A78" s="106" t="s">
        <v>241</v>
      </c>
      <c r="B78" s="79">
        <v>81581</v>
      </c>
      <c r="C78" s="105" t="s">
        <v>241</v>
      </c>
      <c r="D78" s="79">
        <v>81581</v>
      </c>
      <c r="E78" s="105" t="s">
        <v>294</v>
      </c>
      <c r="F78" s="79">
        <v>17415</v>
      </c>
      <c r="G78" s="105" t="s">
        <v>306</v>
      </c>
      <c r="H78" s="79">
        <v>17034</v>
      </c>
      <c r="I78" s="105" t="s">
        <v>252</v>
      </c>
      <c r="J78" s="79">
        <v>4637</v>
      </c>
      <c r="K78" s="105" t="s">
        <v>244</v>
      </c>
      <c r="L78" s="79">
        <v>4045</v>
      </c>
      <c r="M78" s="105" t="s">
        <v>309</v>
      </c>
      <c r="N78" s="79">
        <v>18643</v>
      </c>
      <c r="O78" s="105" t="s">
        <v>296</v>
      </c>
      <c r="P78" s="79">
        <v>9518</v>
      </c>
      <c r="Q78" s="105" t="s">
        <v>265</v>
      </c>
      <c r="R78" s="79">
        <v>9758</v>
      </c>
      <c r="S78" s="105" t="s">
        <v>275</v>
      </c>
      <c r="T78" s="79">
        <v>11457</v>
      </c>
      <c r="U78" s="105" t="s">
        <v>289</v>
      </c>
      <c r="V78" s="79">
        <v>5492</v>
      </c>
    </row>
    <row r="79" spans="1:22" ht="15">
      <c r="A79" s="106" t="s">
        <v>325</v>
      </c>
      <c r="B79" s="79">
        <v>63081</v>
      </c>
      <c r="C79" s="105" t="s">
        <v>325</v>
      </c>
      <c r="D79" s="79">
        <v>63081</v>
      </c>
      <c r="E79" s="105" t="s">
        <v>342</v>
      </c>
      <c r="F79" s="79">
        <v>15144</v>
      </c>
      <c r="G79" s="105" t="s">
        <v>273</v>
      </c>
      <c r="H79" s="79">
        <v>16597</v>
      </c>
      <c r="I79" s="105" t="s">
        <v>255</v>
      </c>
      <c r="J79" s="79">
        <v>4549</v>
      </c>
      <c r="K79" s="105" t="s">
        <v>278</v>
      </c>
      <c r="L79" s="79">
        <v>2018</v>
      </c>
      <c r="M79" s="105" t="s">
        <v>253</v>
      </c>
      <c r="N79" s="79">
        <v>7012</v>
      </c>
      <c r="O79" s="105" t="s">
        <v>297</v>
      </c>
      <c r="P79" s="79">
        <v>1888</v>
      </c>
      <c r="Q79" s="105" t="s">
        <v>264</v>
      </c>
      <c r="R79" s="79">
        <v>1928</v>
      </c>
      <c r="S79" s="105" t="s">
        <v>310</v>
      </c>
      <c r="T79" s="79">
        <v>469</v>
      </c>
      <c r="U79" s="105" t="s">
        <v>290</v>
      </c>
      <c r="V79" s="79">
        <v>55</v>
      </c>
    </row>
    <row r="80" spans="1:22" ht="15">
      <c r="A80" s="106" t="s">
        <v>249</v>
      </c>
      <c r="B80" s="79">
        <v>46458</v>
      </c>
      <c r="C80" s="105" t="s">
        <v>249</v>
      </c>
      <c r="D80" s="79">
        <v>46458</v>
      </c>
      <c r="E80" s="105" t="s">
        <v>345</v>
      </c>
      <c r="F80" s="79">
        <v>11119</v>
      </c>
      <c r="G80" s="105" t="s">
        <v>282</v>
      </c>
      <c r="H80" s="79">
        <v>14056</v>
      </c>
      <c r="I80" s="105" t="s">
        <v>248</v>
      </c>
      <c r="J80" s="79">
        <v>1378</v>
      </c>
      <c r="K80" s="105" t="s">
        <v>245</v>
      </c>
      <c r="L80" s="79">
        <v>744</v>
      </c>
      <c r="M80" s="105" t="s">
        <v>308</v>
      </c>
      <c r="N80" s="79">
        <v>1418</v>
      </c>
      <c r="O80" s="105" t="s">
        <v>299</v>
      </c>
      <c r="P80" s="79">
        <v>28</v>
      </c>
      <c r="Q80" s="105" t="s">
        <v>312</v>
      </c>
      <c r="R80" s="79">
        <v>78</v>
      </c>
      <c r="S80" s="105" t="s">
        <v>262</v>
      </c>
      <c r="T80" s="79">
        <v>273</v>
      </c>
      <c r="U80" s="105"/>
      <c r="V80" s="79"/>
    </row>
    <row r="81" spans="1:22" ht="15">
      <c r="A81" s="106" t="s">
        <v>321</v>
      </c>
      <c r="B81" s="79">
        <v>36045</v>
      </c>
      <c r="C81" s="105" t="s">
        <v>321</v>
      </c>
      <c r="D81" s="79">
        <v>36045</v>
      </c>
      <c r="E81" s="105" t="s">
        <v>348</v>
      </c>
      <c r="F81" s="79">
        <v>8108</v>
      </c>
      <c r="G81" s="105" t="s">
        <v>237</v>
      </c>
      <c r="H81" s="79">
        <v>11384</v>
      </c>
      <c r="I81" s="105" t="s">
        <v>250</v>
      </c>
      <c r="J81" s="79">
        <v>1090</v>
      </c>
      <c r="K81" s="105" t="s">
        <v>305</v>
      </c>
      <c r="L81" s="79">
        <v>681</v>
      </c>
      <c r="M81" s="105" t="s">
        <v>261</v>
      </c>
      <c r="N81" s="79">
        <v>229</v>
      </c>
      <c r="O81" s="105"/>
      <c r="P81" s="79"/>
      <c r="Q81" s="105"/>
      <c r="R81" s="79"/>
      <c r="S81" s="105"/>
      <c r="T81" s="79"/>
      <c r="U81" s="105"/>
      <c r="V81" s="79"/>
    </row>
    <row r="82" spans="1:22" ht="15">
      <c r="A82" s="106" t="s">
        <v>304</v>
      </c>
      <c r="B82" s="79">
        <v>34876</v>
      </c>
      <c r="C82" s="105" t="s">
        <v>335</v>
      </c>
      <c r="D82" s="79">
        <v>30401</v>
      </c>
      <c r="E82" s="105" t="s">
        <v>346</v>
      </c>
      <c r="F82" s="79">
        <v>6366</v>
      </c>
      <c r="G82" s="105" t="s">
        <v>236</v>
      </c>
      <c r="H82" s="79">
        <v>6958</v>
      </c>
      <c r="I82" s="105" t="s">
        <v>307</v>
      </c>
      <c r="J82" s="79">
        <v>239</v>
      </c>
      <c r="K82" s="105"/>
      <c r="L82" s="79"/>
      <c r="M82" s="105"/>
      <c r="N82" s="79"/>
      <c r="O82" s="105"/>
      <c r="P82" s="79"/>
      <c r="Q82" s="105"/>
      <c r="R82" s="79"/>
      <c r="S82" s="105"/>
      <c r="T82" s="79"/>
      <c r="U82" s="105"/>
      <c r="V82" s="79"/>
    </row>
    <row r="83" spans="1:22" ht="15">
      <c r="A83" s="106" t="s">
        <v>243</v>
      </c>
      <c r="B83" s="79">
        <v>33543</v>
      </c>
      <c r="C83" s="105" t="s">
        <v>322</v>
      </c>
      <c r="D83" s="79">
        <v>22285</v>
      </c>
      <c r="E83" s="105" t="s">
        <v>295</v>
      </c>
      <c r="F83" s="79">
        <v>4978</v>
      </c>
      <c r="G83" s="105" t="s">
        <v>272</v>
      </c>
      <c r="H83" s="79">
        <v>4072</v>
      </c>
      <c r="I83" s="105" t="s">
        <v>258</v>
      </c>
      <c r="J83" s="79">
        <v>145</v>
      </c>
      <c r="K83" s="105"/>
      <c r="L83" s="79"/>
      <c r="M83" s="105"/>
      <c r="N83" s="79"/>
      <c r="O83" s="105"/>
      <c r="P83" s="79"/>
      <c r="Q83" s="105"/>
      <c r="R83" s="79"/>
      <c r="S83" s="105"/>
      <c r="T83" s="79"/>
      <c r="U83" s="105"/>
      <c r="V83" s="79"/>
    </row>
    <row r="84" spans="1:22" ht="15">
      <c r="A84" s="106" t="s">
        <v>335</v>
      </c>
      <c r="B84" s="79">
        <v>30401</v>
      </c>
      <c r="C84" s="105" t="s">
        <v>340</v>
      </c>
      <c r="D84" s="79">
        <v>18207</v>
      </c>
      <c r="E84" s="105" t="s">
        <v>347</v>
      </c>
      <c r="F84" s="79">
        <v>4747</v>
      </c>
      <c r="G84" s="105" t="s">
        <v>274</v>
      </c>
      <c r="H84" s="79">
        <v>3704</v>
      </c>
      <c r="I84" s="105" t="s">
        <v>251</v>
      </c>
      <c r="J84" s="79">
        <v>120</v>
      </c>
      <c r="K84" s="105"/>
      <c r="L84" s="79"/>
      <c r="M84" s="105"/>
      <c r="N84" s="79"/>
      <c r="O84" s="105"/>
      <c r="P84" s="79"/>
      <c r="Q84" s="105"/>
      <c r="R84" s="79"/>
      <c r="S84" s="105"/>
      <c r="T84" s="79"/>
      <c r="U84" s="105"/>
      <c r="V84" s="79"/>
    </row>
    <row r="85" spans="1:22" ht="15">
      <c r="A85" s="106" t="s">
        <v>254</v>
      </c>
      <c r="B85" s="79">
        <v>29762</v>
      </c>
      <c r="C85" s="105" t="s">
        <v>260</v>
      </c>
      <c r="D85" s="79">
        <v>12447</v>
      </c>
      <c r="E85" s="105" t="s">
        <v>292</v>
      </c>
      <c r="F85" s="79">
        <v>4212</v>
      </c>
      <c r="G85" s="105" t="s">
        <v>283</v>
      </c>
      <c r="H85" s="79">
        <v>453</v>
      </c>
      <c r="I85" s="105"/>
      <c r="J85" s="79"/>
      <c r="K85" s="105"/>
      <c r="L85" s="79"/>
      <c r="M85" s="105"/>
      <c r="N85" s="79"/>
      <c r="O85" s="105"/>
      <c r="P85" s="79"/>
      <c r="Q85" s="105"/>
      <c r="R85" s="79"/>
      <c r="S85" s="105"/>
      <c r="T85" s="79"/>
      <c r="U85" s="105"/>
      <c r="V85" s="79"/>
    </row>
    <row r="86" spans="1:22" ht="15">
      <c r="A86" s="106" t="s">
        <v>324</v>
      </c>
      <c r="B86" s="79">
        <v>29507</v>
      </c>
      <c r="C86" s="105" t="s">
        <v>279</v>
      </c>
      <c r="D86" s="79">
        <v>11402</v>
      </c>
      <c r="E86" s="105" t="s">
        <v>293</v>
      </c>
      <c r="F86" s="79">
        <v>3782</v>
      </c>
      <c r="G86" s="105" t="s">
        <v>247</v>
      </c>
      <c r="H86" s="79">
        <v>284</v>
      </c>
      <c r="I86" s="105"/>
      <c r="J86" s="79"/>
      <c r="K86" s="105"/>
      <c r="L86" s="79"/>
      <c r="M86" s="105"/>
      <c r="N86" s="79"/>
      <c r="O86" s="105"/>
      <c r="P86" s="79"/>
      <c r="Q86" s="105"/>
      <c r="R86" s="79"/>
      <c r="S86" s="105"/>
      <c r="T86" s="79"/>
      <c r="U86" s="105"/>
      <c r="V86" s="79"/>
    </row>
  </sheetData>
  <hyperlinks>
    <hyperlink ref="A2" r:id="rId1" display="https://www.tiess.online/registration?utm_source=TIESS&amp;utm_medium=Amity&amp;utm_campaign=TIESS&amp;utm_term=010"/>
    <hyperlink ref="A3" r:id="rId2" display="https://www.tiess.online/registration?utm_source=SM&amp;utm_medium=Swaroop&amp;utm_campaign=TIESS&amp;utm_term=015"/>
    <hyperlink ref="A4" r:id="rId3" display="https://www.tiess.online/registration?utm_source=SM&amp;utm_medium=Rashef&amp;utm_campaign=TIESS&amp;utm_term=020"/>
    <hyperlink ref="A5" r:id="rId4" display="https://www.tiess.online/registration?utm_source=Twitter&amp;utm_medium=IDA&amp;utm_campaign=TIESS&amp;utm_term=006"/>
    <hyperlink ref="A6" r:id="rId5" display="https://www.tiess.online/registration?utm_source=SM&amp;utm_medium=Timmers&amp;utm_campaign=TIESS&amp;utm_term=022"/>
    <hyperlink ref="A7" r:id="rId6" display="https://www.tiess.online/registration?utm_source=SM&amp;utm_medium=Raghavan&amp;utm_campaign=TIESS&amp;utm_term=023"/>
    <hyperlink ref="A8" r:id="rId7" display="https://www.tiess.online/registration?utm_source=SM&amp;utm_medium=Yao&amp;utm_campaign=TIESS&amp;utm_term=009"/>
    <hyperlink ref="A9" r:id="rId8" display="https://www.tiess.online/registration?utm_source=SM&amp;utm_medium=Vincent&amp;utm_campaign=TIESS&amp;utm_term=018"/>
    <hyperlink ref="A10" r:id="rId9" display="https://www.tiess.online/registration?utm_source=SM&amp;utm_medium=Ramanan&amp;utm_campaign=TIESS&amp;utm_term=011"/>
    <hyperlink ref="A11" r:id="rId10" display="https://www.tiess.online/registration?utm_source=SM&amp;utm_medium=Andreas&amp;utm_campaign=TIESS&amp;utm_term=008"/>
    <hyperlink ref="C2" r:id="rId11" display="https://www.tiess.online/registration?utm_source=SM&amp;utm_medium=Swaroop&amp;utm_campaign=TIESS&amp;utm_term=015"/>
    <hyperlink ref="C3" r:id="rId12" display="https://www.tiess.online/registration?utm_source=SM&amp;utm_medium=Raghavan&amp;utm_campaign=TIESS&amp;utm_term=023"/>
    <hyperlink ref="C4" r:id="rId13" display="https://www.tiess.online/registration?utm_source=Manjula&amp;utm_medium=SM&amp;utm_campaign=TIESS&amp;utm_term=035"/>
    <hyperlink ref="C5" r:id="rId14" display="https://www.tiess.online/registration?utm_source=SM&amp;utm_medium=Akyeampong&amp;utm_campaign=TIESS&amp;utm_term=031"/>
    <hyperlink ref="C6" r:id="rId15" display="https://www.tiess.online/registration?utm_source=Mart&amp;utm_medium=Email&amp;utm_campaign=TIESS&amp;utm_term=018"/>
    <hyperlink ref="C7" r:id="rId16" display="https://www.tiess.online/registration?utm_source=SM&amp;utm_medium=Timmers&amp;utm_campaign=TIESS&amp;utm_term=022"/>
    <hyperlink ref="C8" r:id="rId17" display="https://www.tiess.online/registration?utm_source=SM&amp;utm_medium=Kelly&amp;utm_campaign=TIESS&amp;utm_term=024"/>
    <hyperlink ref="C9" r:id="rId18" display="https://www.tiess.online/registration?utm_source=SM&amp;utm_medium=Joysy&amp;utm_campaign=TIESS&amp;utm_term=036"/>
    <hyperlink ref="C10" r:id="rId19" display="https://www.tiess.online/registration?utm_source=SM&amp;utm_medium=Schmedlen&amp;utm_campaign=TIESS&amp;utm_term=032"/>
    <hyperlink ref="C11" r:id="rId20" display="https://www.tiess.online/registration?utm_source=SM&amp;utm_medium=Graus&amp;utm_campaign=TIESS&amp;utm_term=017"/>
    <hyperlink ref="E2" r:id="rId21" display="https://www.tiess.online/registration?utm_source=SM&amp;utm_medium=Rashef&amp;utm_campaign=TIESS&amp;utm_term=020"/>
    <hyperlink ref="E3" r:id="rId22" display="https://bit.ly/3oTtvE6"/>
    <hyperlink ref="E4" r:id="rId23" display="https://www.tiess.online/registration?utm_source=Partners&amp;utm_medium=All&amp;utm_campaign=TIESS&amp;utm_term=039"/>
    <hyperlink ref="E5" r:id="rId24" display="https://www.tiess.online/registration?utm_source=Twitter&amp;utm_medium=IDA&amp;utm_campaign=TIESS&amp;utm_term=006"/>
    <hyperlink ref="G2" r:id="rId25" display="https://www.tiess.online/registration?utm_source=SM&amp;utm_medium=Vincent&amp;utm_campaign=TIESS&amp;utm_term=018"/>
    <hyperlink ref="G3" r:id="rId26" display="https://www.tiess.online/registration?utm_source=SM&amp;utm_medium=Andreas&amp;utm_campaign=TIESS&amp;utm_term=008"/>
    <hyperlink ref="G4" r:id="rId27" display="https://virtual.tiess.online/"/>
    <hyperlink ref="G5" r:id="rId28" display="https://www.tiess.online/registration?utm_source=SM&amp;utm_medium=Tim&amp;utm_campaign=TIESS&amp;utm_term=010"/>
    <hyperlink ref="I2" r:id="rId29" display="https://www.tiess.online/registration?utm_source=TIESS&amp;utm_medium=Amity&amp;utm_campaign=TIESS&amp;utm_term=010"/>
    <hyperlink ref="K2" r:id="rId30" display="https://twitter.com/indiadidac/status/1352130841325944834"/>
    <hyperlink ref="K3" r:id="rId31" display="https://www.tiess.online/registration?utm_source=SM&amp;utm_medium=Ferrit&amp;utm_campaign=TIESS&amp;utm_term=034"/>
    <hyperlink ref="M2" r:id="rId32" display="https://www.tiess.online/registration?utm_source=SM&amp;utm_medium=Ramanan&amp;utm_campaign=TIESS&amp;utm_term=011"/>
    <hyperlink ref="Q2" r:id="rId33" display="https://twitter.com/Indiadidac/status/1353586348117028867"/>
    <hyperlink ref="Q3" r:id="rId34" display="https://www.tiess.online/registration?utm_source=SM&amp;utm_medium=Krishnan&amp;utm_campaign=TIESS&amp;utm_term=040"/>
    <hyperlink ref="Q4" r:id="rId35" display="https://twitter.com/Indiadidac/status/1352560149135671299"/>
    <hyperlink ref="S2" r:id="rId36" display="https://www.tiess.online/registration?utm_source=SM&amp;utm_medium=Timmers&amp;utm_campaign=TIESS&amp;utm_term=022"/>
    <hyperlink ref="U2" r:id="rId37" display="https://www.tiess.online/registration?utm_source=SM&amp;utm_medium=Yao&amp;utm_campaign=TIESS&amp;utm_term=009"/>
  </hyperlinks>
  <printOptions/>
  <pageMargins left="0.7" right="0.7" top="0.75" bottom="0.75" header="0.3" footer="0.3"/>
  <pageSetup orientation="portrait" paperSize="9"/>
  <tableParts>
    <tablePart r:id="rId41"/>
    <tablePart r:id="rId40"/>
    <tablePart r:id="rId45"/>
    <tablePart r:id="rId44"/>
    <tablePart r:id="rId42"/>
    <tablePart r:id="rId38"/>
    <tablePart r:id="rId43"/>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E5F68-C185-42CA-B5C5-436D409E83BB}">
  <dimension ref="A1:G86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1810</v>
      </c>
      <c r="B1" s="13" t="s">
        <v>2055</v>
      </c>
      <c r="C1" s="13" t="s">
        <v>2059</v>
      </c>
      <c r="D1" s="13" t="s">
        <v>144</v>
      </c>
      <c r="E1" s="13" t="s">
        <v>2061</v>
      </c>
      <c r="F1" s="13" t="s">
        <v>2062</v>
      </c>
      <c r="G1" s="13" t="s">
        <v>2063</v>
      </c>
    </row>
    <row r="2" spans="1:7" ht="15">
      <c r="A2" s="79" t="s">
        <v>1811</v>
      </c>
      <c r="B2" s="79" t="s">
        <v>2056</v>
      </c>
      <c r="C2" s="109"/>
      <c r="D2" s="79"/>
      <c r="E2" s="79"/>
      <c r="F2" s="79"/>
      <c r="G2" s="79"/>
    </row>
    <row r="3" spans="1:7" ht="15">
      <c r="A3" s="80" t="s">
        <v>1812</v>
      </c>
      <c r="B3" s="79" t="s">
        <v>2057</v>
      </c>
      <c r="C3" s="109"/>
      <c r="D3" s="79"/>
      <c r="E3" s="79"/>
      <c r="F3" s="79"/>
      <c r="G3" s="79"/>
    </row>
    <row r="4" spans="1:7" ht="15">
      <c r="A4" s="80" t="s">
        <v>1813</v>
      </c>
      <c r="B4" s="79" t="s">
        <v>2058</v>
      </c>
      <c r="C4" s="109"/>
      <c r="D4" s="79"/>
      <c r="E4" s="79"/>
      <c r="F4" s="79"/>
      <c r="G4" s="79"/>
    </row>
    <row r="5" spans="1:7" ht="15">
      <c r="A5" s="80" t="s">
        <v>1814</v>
      </c>
      <c r="B5" s="79">
        <v>168</v>
      </c>
      <c r="C5" s="109">
        <v>0.0362381363244176</v>
      </c>
      <c r="D5" s="79"/>
      <c r="E5" s="79"/>
      <c r="F5" s="79"/>
      <c r="G5" s="79"/>
    </row>
    <row r="6" spans="1:7" ht="15">
      <c r="A6" s="80" t="s">
        <v>1815</v>
      </c>
      <c r="B6" s="79">
        <v>8</v>
      </c>
      <c r="C6" s="109">
        <v>0.001725625539257981</v>
      </c>
      <c r="D6" s="79"/>
      <c r="E6" s="79"/>
      <c r="F6" s="79"/>
      <c r="G6" s="79"/>
    </row>
    <row r="7" spans="1:7" ht="15">
      <c r="A7" s="80" t="s">
        <v>1816</v>
      </c>
      <c r="B7" s="79">
        <v>0</v>
      </c>
      <c r="C7" s="109">
        <v>0</v>
      </c>
      <c r="D7" s="79"/>
      <c r="E7" s="79"/>
      <c r="F7" s="79"/>
      <c r="G7" s="79"/>
    </row>
    <row r="8" spans="1:7" ht="15">
      <c r="A8" s="80" t="s">
        <v>1817</v>
      </c>
      <c r="B8" s="79">
        <v>4460</v>
      </c>
      <c r="C8" s="109">
        <v>0.9620362381363244</v>
      </c>
      <c r="D8" s="79"/>
      <c r="E8" s="79"/>
      <c r="F8" s="79"/>
      <c r="G8" s="79"/>
    </row>
    <row r="9" spans="1:7" ht="15">
      <c r="A9" s="80" t="s">
        <v>1818</v>
      </c>
      <c r="B9" s="79">
        <v>4636</v>
      </c>
      <c r="C9" s="109">
        <v>1</v>
      </c>
      <c r="D9" s="79"/>
      <c r="E9" s="79"/>
      <c r="F9" s="79"/>
      <c r="G9" s="79"/>
    </row>
    <row r="10" spans="1:7" ht="15">
      <c r="A10" s="88" t="s">
        <v>1437</v>
      </c>
      <c r="B10" s="87">
        <v>208</v>
      </c>
      <c r="C10" s="110">
        <v>0.003784952975694568</v>
      </c>
      <c r="D10" s="87" t="s">
        <v>2060</v>
      </c>
      <c r="E10" s="87" t="b">
        <v>0</v>
      </c>
      <c r="F10" s="87" t="b">
        <v>0</v>
      </c>
      <c r="G10" s="87" t="b">
        <v>0</v>
      </c>
    </row>
    <row r="11" spans="1:7" ht="15">
      <c r="A11" s="88" t="s">
        <v>1453</v>
      </c>
      <c r="B11" s="87">
        <v>152</v>
      </c>
      <c r="C11" s="110">
        <v>0</v>
      </c>
      <c r="D11" s="87" t="s">
        <v>2060</v>
      </c>
      <c r="E11" s="87" t="b">
        <v>0</v>
      </c>
      <c r="F11" s="87" t="b">
        <v>0</v>
      </c>
      <c r="G11" s="87" t="b">
        <v>0</v>
      </c>
    </row>
    <row r="12" spans="1:7" ht="15">
      <c r="A12" s="88" t="s">
        <v>1454</v>
      </c>
      <c r="B12" s="87">
        <v>128</v>
      </c>
      <c r="C12" s="110">
        <v>0.0032294525369388383</v>
      </c>
      <c r="D12" s="87" t="s">
        <v>2060</v>
      </c>
      <c r="E12" s="87" t="b">
        <v>0</v>
      </c>
      <c r="F12" s="87" t="b">
        <v>0</v>
      </c>
      <c r="G12" s="87" t="b">
        <v>0</v>
      </c>
    </row>
    <row r="13" spans="1:7" ht="15">
      <c r="A13" s="88" t="s">
        <v>1455</v>
      </c>
      <c r="B13" s="87">
        <v>127</v>
      </c>
      <c r="C13" s="110">
        <v>0.0028153936139268657</v>
      </c>
      <c r="D13" s="87" t="s">
        <v>2060</v>
      </c>
      <c r="E13" s="87" t="b">
        <v>0</v>
      </c>
      <c r="F13" s="87" t="b">
        <v>0</v>
      </c>
      <c r="G13" s="87" t="b">
        <v>0</v>
      </c>
    </row>
    <row r="14" spans="1:7" ht="15">
      <c r="A14" s="88" t="s">
        <v>1456</v>
      </c>
      <c r="B14" s="87">
        <v>113</v>
      </c>
      <c r="C14" s="110">
        <v>0.0041953792186675675</v>
      </c>
      <c r="D14" s="87" t="s">
        <v>2060</v>
      </c>
      <c r="E14" s="87" t="b">
        <v>0</v>
      </c>
      <c r="F14" s="87" t="b">
        <v>0</v>
      </c>
      <c r="G14" s="87" t="b">
        <v>0</v>
      </c>
    </row>
    <row r="15" spans="1:7" ht="15">
      <c r="A15" s="88" t="s">
        <v>1457</v>
      </c>
      <c r="B15" s="87">
        <v>113</v>
      </c>
      <c r="C15" s="110">
        <v>0.0041953792186675675</v>
      </c>
      <c r="D15" s="87" t="s">
        <v>2060</v>
      </c>
      <c r="E15" s="87" t="b">
        <v>0</v>
      </c>
      <c r="F15" s="87" t="b">
        <v>0</v>
      </c>
      <c r="G15" s="87" t="b">
        <v>0</v>
      </c>
    </row>
    <row r="16" spans="1:7" ht="15">
      <c r="A16" s="88" t="s">
        <v>1458</v>
      </c>
      <c r="B16" s="87">
        <v>92</v>
      </c>
      <c r="C16" s="110">
        <v>0.006361979744369234</v>
      </c>
      <c r="D16" s="87" t="s">
        <v>2060</v>
      </c>
      <c r="E16" s="87" t="b">
        <v>0</v>
      </c>
      <c r="F16" s="87" t="b">
        <v>0</v>
      </c>
      <c r="G16" s="87" t="b">
        <v>0</v>
      </c>
    </row>
    <row r="17" spans="1:7" ht="15">
      <c r="A17" s="88" t="s">
        <v>1459</v>
      </c>
      <c r="B17" s="87">
        <v>61</v>
      </c>
      <c r="C17" s="110">
        <v>0.007081236758840031</v>
      </c>
      <c r="D17" s="87" t="s">
        <v>2060</v>
      </c>
      <c r="E17" s="87" t="b">
        <v>0</v>
      </c>
      <c r="F17" s="87" t="b">
        <v>0</v>
      </c>
      <c r="G17" s="87" t="b">
        <v>0</v>
      </c>
    </row>
    <row r="18" spans="1:7" ht="15">
      <c r="A18" s="88" t="s">
        <v>1460</v>
      </c>
      <c r="B18" s="87">
        <v>59</v>
      </c>
      <c r="C18" s="110">
        <v>0.007100964672194187</v>
      </c>
      <c r="D18" s="87" t="s">
        <v>2060</v>
      </c>
      <c r="E18" s="87" t="b">
        <v>0</v>
      </c>
      <c r="F18" s="87" t="b">
        <v>0</v>
      </c>
      <c r="G18" s="87" t="b">
        <v>0</v>
      </c>
    </row>
    <row r="19" spans="1:7" ht="15">
      <c r="A19" s="88" t="s">
        <v>1446</v>
      </c>
      <c r="B19" s="87">
        <v>59</v>
      </c>
      <c r="C19" s="110">
        <v>0.008202005160872532</v>
      </c>
      <c r="D19" s="87" t="s">
        <v>2060</v>
      </c>
      <c r="E19" s="87" t="b">
        <v>0</v>
      </c>
      <c r="F19" s="87" t="b">
        <v>0</v>
      </c>
      <c r="G19" s="87" t="b">
        <v>0</v>
      </c>
    </row>
    <row r="20" spans="1:7" ht="15">
      <c r="A20" s="88" t="s">
        <v>1462</v>
      </c>
      <c r="B20" s="87">
        <v>55</v>
      </c>
      <c r="C20" s="110">
        <v>0.007374980617245922</v>
      </c>
      <c r="D20" s="87" t="s">
        <v>2060</v>
      </c>
      <c r="E20" s="87" t="b">
        <v>0</v>
      </c>
      <c r="F20" s="87" t="b">
        <v>0</v>
      </c>
      <c r="G20" s="87" t="b">
        <v>0</v>
      </c>
    </row>
    <row r="21" spans="1:7" ht="15">
      <c r="A21" s="88" t="s">
        <v>1490</v>
      </c>
      <c r="B21" s="87">
        <v>48</v>
      </c>
      <c r="C21" s="110">
        <v>0.0070455069525343405</v>
      </c>
      <c r="D21" s="87" t="s">
        <v>2060</v>
      </c>
      <c r="E21" s="87" t="b">
        <v>0</v>
      </c>
      <c r="F21" s="87" t="b">
        <v>0</v>
      </c>
      <c r="G21" s="87" t="b">
        <v>0</v>
      </c>
    </row>
    <row r="22" spans="1:7" ht="15">
      <c r="A22" s="88" t="s">
        <v>1819</v>
      </c>
      <c r="B22" s="87">
        <v>47</v>
      </c>
      <c r="C22" s="110">
        <v>0.0070254547920378186</v>
      </c>
      <c r="D22" s="87" t="s">
        <v>2060</v>
      </c>
      <c r="E22" s="87" t="b">
        <v>0</v>
      </c>
      <c r="F22" s="87" t="b">
        <v>0</v>
      </c>
      <c r="G22" s="87" t="b">
        <v>0</v>
      </c>
    </row>
    <row r="23" spans="1:7" ht="15">
      <c r="A23" s="88" t="s">
        <v>1820</v>
      </c>
      <c r="B23" s="87">
        <v>46</v>
      </c>
      <c r="C23" s="110">
        <v>0.007002677475120433</v>
      </c>
      <c r="D23" s="87" t="s">
        <v>2060</v>
      </c>
      <c r="E23" s="87" t="b">
        <v>0</v>
      </c>
      <c r="F23" s="87" t="b">
        <v>0</v>
      </c>
      <c r="G23" s="87" t="b">
        <v>0</v>
      </c>
    </row>
    <row r="24" spans="1:7" ht="15">
      <c r="A24" s="88" t="s">
        <v>1821</v>
      </c>
      <c r="B24" s="87">
        <v>44</v>
      </c>
      <c r="C24" s="110">
        <v>0.0073466517207994965</v>
      </c>
      <c r="D24" s="87" t="s">
        <v>2060</v>
      </c>
      <c r="E24" s="87" t="b">
        <v>0</v>
      </c>
      <c r="F24" s="87" t="b">
        <v>0</v>
      </c>
      <c r="G24" s="87" t="b">
        <v>0</v>
      </c>
    </row>
    <row r="25" spans="1:7" ht="15">
      <c r="A25" s="88" t="s">
        <v>1822</v>
      </c>
      <c r="B25" s="87">
        <v>41</v>
      </c>
      <c r="C25" s="110">
        <v>0.006845743648926803</v>
      </c>
      <c r="D25" s="87" t="s">
        <v>2060</v>
      </c>
      <c r="E25" s="87" t="b">
        <v>0</v>
      </c>
      <c r="F25" s="87" t="b">
        <v>0</v>
      </c>
      <c r="G25" s="87" t="b">
        <v>0</v>
      </c>
    </row>
    <row r="26" spans="1:7" ht="15">
      <c r="A26" s="88" t="s">
        <v>1513</v>
      </c>
      <c r="B26" s="87">
        <v>41</v>
      </c>
      <c r="C26" s="110">
        <v>0.006845743648926803</v>
      </c>
      <c r="D26" s="87" t="s">
        <v>2060</v>
      </c>
      <c r="E26" s="87" t="b">
        <v>0</v>
      </c>
      <c r="F26" s="87" t="b">
        <v>0</v>
      </c>
      <c r="G26" s="87" t="b">
        <v>0</v>
      </c>
    </row>
    <row r="27" spans="1:7" ht="15">
      <c r="A27" s="88" t="s">
        <v>1469</v>
      </c>
      <c r="B27" s="87">
        <v>41</v>
      </c>
      <c r="C27" s="110">
        <v>0.006845743648926803</v>
      </c>
      <c r="D27" s="87" t="s">
        <v>2060</v>
      </c>
      <c r="E27" s="87" t="b">
        <v>0</v>
      </c>
      <c r="F27" s="87" t="b">
        <v>0</v>
      </c>
      <c r="G27" s="87" t="b">
        <v>0</v>
      </c>
    </row>
    <row r="28" spans="1:7" ht="15">
      <c r="A28" s="88" t="s">
        <v>341</v>
      </c>
      <c r="B28" s="87">
        <v>36</v>
      </c>
      <c r="C28" s="110">
        <v>0.007011698102904792</v>
      </c>
      <c r="D28" s="87" t="s">
        <v>2060</v>
      </c>
      <c r="E28" s="87" t="b">
        <v>0</v>
      </c>
      <c r="F28" s="87" t="b">
        <v>0</v>
      </c>
      <c r="G28" s="87" t="b">
        <v>0</v>
      </c>
    </row>
    <row r="29" spans="1:7" ht="15">
      <c r="A29" s="88" t="s">
        <v>1493</v>
      </c>
      <c r="B29" s="87">
        <v>35</v>
      </c>
      <c r="C29" s="110">
        <v>0.006553173578000969</v>
      </c>
      <c r="D29" s="87" t="s">
        <v>2060</v>
      </c>
      <c r="E29" s="87" t="b">
        <v>0</v>
      </c>
      <c r="F29" s="87" t="b">
        <v>0</v>
      </c>
      <c r="G29" s="87" t="b">
        <v>0</v>
      </c>
    </row>
    <row r="30" spans="1:7" ht="15">
      <c r="A30" s="88" t="s">
        <v>1823</v>
      </c>
      <c r="B30" s="87">
        <v>29</v>
      </c>
      <c r="C30" s="110">
        <v>0.006128218676624059</v>
      </c>
      <c r="D30" s="87" t="s">
        <v>2060</v>
      </c>
      <c r="E30" s="87" t="b">
        <v>0</v>
      </c>
      <c r="F30" s="87" t="b">
        <v>0</v>
      </c>
      <c r="G30" s="87" t="b">
        <v>0</v>
      </c>
    </row>
    <row r="31" spans="1:7" ht="15">
      <c r="A31" s="88" t="s">
        <v>1516</v>
      </c>
      <c r="B31" s="87">
        <v>29</v>
      </c>
      <c r="C31" s="110">
        <v>0.006128218676624059</v>
      </c>
      <c r="D31" s="87" t="s">
        <v>2060</v>
      </c>
      <c r="E31" s="87" t="b">
        <v>0</v>
      </c>
      <c r="F31" s="87" t="b">
        <v>0</v>
      </c>
      <c r="G31" s="87" t="b">
        <v>0</v>
      </c>
    </row>
    <row r="32" spans="1:7" ht="15">
      <c r="A32" s="88" t="s">
        <v>1464</v>
      </c>
      <c r="B32" s="87">
        <v>28</v>
      </c>
      <c r="C32" s="110">
        <v>0.006042739500627133</v>
      </c>
      <c r="D32" s="87" t="s">
        <v>2060</v>
      </c>
      <c r="E32" s="87" t="b">
        <v>0</v>
      </c>
      <c r="F32" s="87" t="b">
        <v>0</v>
      </c>
      <c r="G32" s="87" t="b">
        <v>0</v>
      </c>
    </row>
    <row r="33" spans="1:7" ht="15">
      <c r="A33" s="88" t="s">
        <v>1824</v>
      </c>
      <c r="B33" s="87">
        <v>27</v>
      </c>
      <c r="C33" s="110">
        <v>0.005952685327225868</v>
      </c>
      <c r="D33" s="87" t="s">
        <v>2060</v>
      </c>
      <c r="E33" s="87" t="b">
        <v>0</v>
      </c>
      <c r="F33" s="87" t="b">
        <v>0</v>
      </c>
      <c r="G33" s="87" t="b">
        <v>0</v>
      </c>
    </row>
    <row r="34" spans="1:7" ht="15">
      <c r="A34" s="88" t="s">
        <v>1825</v>
      </c>
      <c r="B34" s="87">
        <v>26</v>
      </c>
      <c r="C34" s="110">
        <v>0.005857886635913046</v>
      </c>
      <c r="D34" s="87" t="s">
        <v>2060</v>
      </c>
      <c r="E34" s="87" t="b">
        <v>0</v>
      </c>
      <c r="F34" s="87" t="b">
        <v>0</v>
      </c>
      <c r="G34" s="87" t="b">
        <v>0</v>
      </c>
    </row>
    <row r="35" spans="1:7" ht="15">
      <c r="A35" s="88" t="s">
        <v>1472</v>
      </c>
      <c r="B35" s="87">
        <v>26</v>
      </c>
      <c r="C35" s="110">
        <v>0.005857886635913046</v>
      </c>
      <c r="D35" s="87" t="s">
        <v>2060</v>
      </c>
      <c r="E35" s="87" t="b">
        <v>0</v>
      </c>
      <c r="F35" s="87" t="b">
        <v>0</v>
      </c>
      <c r="G35" s="87" t="b">
        <v>0</v>
      </c>
    </row>
    <row r="36" spans="1:7" ht="15">
      <c r="A36" s="88" t="s">
        <v>1826</v>
      </c>
      <c r="B36" s="87">
        <v>22</v>
      </c>
      <c r="C36" s="110">
        <v>0.005427364748558299</v>
      </c>
      <c r="D36" s="87" t="s">
        <v>2060</v>
      </c>
      <c r="E36" s="87" t="b">
        <v>0</v>
      </c>
      <c r="F36" s="87" t="b">
        <v>0</v>
      </c>
      <c r="G36" s="87" t="b">
        <v>0</v>
      </c>
    </row>
    <row r="37" spans="1:7" ht="15">
      <c r="A37" s="88" t="s">
        <v>1827</v>
      </c>
      <c r="B37" s="87">
        <v>21</v>
      </c>
      <c r="C37" s="110">
        <v>0.0053057831624135215</v>
      </c>
      <c r="D37" s="87" t="s">
        <v>2060</v>
      </c>
      <c r="E37" s="87" t="b">
        <v>0</v>
      </c>
      <c r="F37" s="87" t="b">
        <v>0</v>
      </c>
      <c r="G37" s="87" t="b">
        <v>0</v>
      </c>
    </row>
    <row r="38" spans="1:7" ht="15">
      <c r="A38" s="88" t="s">
        <v>1828</v>
      </c>
      <c r="B38" s="87">
        <v>20</v>
      </c>
      <c r="C38" s="110">
        <v>0.005178100569915589</v>
      </c>
      <c r="D38" s="87" t="s">
        <v>2060</v>
      </c>
      <c r="E38" s="87" t="b">
        <v>0</v>
      </c>
      <c r="F38" s="87" t="b">
        <v>0</v>
      </c>
      <c r="G38" s="87" t="b">
        <v>0</v>
      </c>
    </row>
    <row r="39" spans="1:7" ht="15">
      <c r="A39" s="88" t="s">
        <v>1467</v>
      </c>
      <c r="B39" s="87">
        <v>20</v>
      </c>
      <c r="C39" s="110">
        <v>0.005178100569915589</v>
      </c>
      <c r="D39" s="87" t="s">
        <v>2060</v>
      </c>
      <c r="E39" s="87" t="b">
        <v>0</v>
      </c>
      <c r="F39" s="87" t="b">
        <v>0</v>
      </c>
      <c r="G39" s="87" t="b">
        <v>0</v>
      </c>
    </row>
    <row r="40" spans="1:7" ht="15">
      <c r="A40" s="88" t="s">
        <v>1829</v>
      </c>
      <c r="B40" s="87">
        <v>18</v>
      </c>
      <c r="C40" s="110">
        <v>0.004903178991276184</v>
      </c>
      <c r="D40" s="87" t="s">
        <v>2060</v>
      </c>
      <c r="E40" s="87" t="b">
        <v>1</v>
      </c>
      <c r="F40" s="87" t="b">
        <v>0</v>
      </c>
      <c r="G40" s="87" t="b">
        <v>0</v>
      </c>
    </row>
    <row r="41" spans="1:7" ht="15">
      <c r="A41" s="88" t="s">
        <v>1475</v>
      </c>
      <c r="B41" s="87">
        <v>18</v>
      </c>
      <c r="C41" s="110">
        <v>0.004903178991276184</v>
      </c>
      <c r="D41" s="87" t="s">
        <v>2060</v>
      </c>
      <c r="E41" s="87" t="b">
        <v>0</v>
      </c>
      <c r="F41" s="87" t="b">
        <v>0</v>
      </c>
      <c r="G41" s="87" t="b">
        <v>0</v>
      </c>
    </row>
    <row r="42" spans="1:7" ht="15">
      <c r="A42" s="88" t="s">
        <v>1471</v>
      </c>
      <c r="B42" s="87">
        <v>16</v>
      </c>
      <c r="C42" s="110">
        <v>0.006020109514839167</v>
      </c>
      <c r="D42" s="87" t="s">
        <v>2060</v>
      </c>
      <c r="E42" s="87" t="b">
        <v>1</v>
      </c>
      <c r="F42" s="87" t="b">
        <v>0</v>
      </c>
      <c r="G42" s="87" t="b">
        <v>0</v>
      </c>
    </row>
    <row r="43" spans="1:7" ht="15">
      <c r="A43" s="88" t="s">
        <v>1830</v>
      </c>
      <c r="B43" s="87">
        <v>14</v>
      </c>
      <c r="C43" s="110">
        <v>0.004264194857743746</v>
      </c>
      <c r="D43" s="87" t="s">
        <v>2060</v>
      </c>
      <c r="E43" s="87" t="b">
        <v>0</v>
      </c>
      <c r="F43" s="87" t="b">
        <v>0</v>
      </c>
      <c r="G43" s="87" t="b">
        <v>0</v>
      </c>
    </row>
    <row r="44" spans="1:7" ht="15">
      <c r="A44" s="88" t="s">
        <v>1831</v>
      </c>
      <c r="B44" s="87">
        <v>13</v>
      </c>
      <c r="C44" s="110">
        <v>0.004082995203427403</v>
      </c>
      <c r="D44" s="87" t="s">
        <v>2060</v>
      </c>
      <c r="E44" s="87" t="b">
        <v>0</v>
      </c>
      <c r="F44" s="87" t="b">
        <v>0</v>
      </c>
      <c r="G44" s="87" t="b">
        <v>0</v>
      </c>
    </row>
    <row r="45" spans="1:7" ht="15">
      <c r="A45" s="88" t="s">
        <v>1832</v>
      </c>
      <c r="B45" s="87">
        <v>13</v>
      </c>
      <c r="C45" s="110">
        <v>0.004082995203427403</v>
      </c>
      <c r="D45" s="87" t="s">
        <v>2060</v>
      </c>
      <c r="E45" s="87" t="b">
        <v>1</v>
      </c>
      <c r="F45" s="87" t="b">
        <v>0</v>
      </c>
      <c r="G45" s="87" t="b">
        <v>0</v>
      </c>
    </row>
    <row r="46" spans="1:7" ht="15">
      <c r="A46" s="88" t="s">
        <v>1833</v>
      </c>
      <c r="B46" s="87">
        <v>12</v>
      </c>
      <c r="C46" s="110">
        <v>0.0038919340651567486</v>
      </c>
      <c r="D46" s="87" t="s">
        <v>2060</v>
      </c>
      <c r="E46" s="87" t="b">
        <v>1</v>
      </c>
      <c r="F46" s="87" t="b">
        <v>0</v>
      </c>
      <c r="G46" s="87" t="b">
        <v>0</v>
      </c>
    </row>
    <row r="47" spans="1:7" ht="15">
      <c r="A47" s="88" t="s">
        <v>1834</v>
      </c>
      <c r="B47" s="87">
        <v>12</v>
      </c>
      <c r="C47" s="110">
        <v>0.0038919340651567486</v>
      </c>
      <c r="D47" s="87" t="s">
        <v>2060</v>
      </c>
      <c r="E47" s="87" t="b">
        <v>0</v>
      </c>
      <c r="F47" s="87" t="b">
        <v>0</v>
      </c>
      <c r="G47" s="87" t="b">
        <v>0</v>
      </c>
    </row>
    <row r="48" spans="1:7" ht="15">
      <c r="A48" s="88" t="s">
        <v>1835</v>
      </c>
      <c r="B48" s="87">
        <v>12</v>
      </c>
      <c r="C48" s="110">
        <v>0.0038919340651567486</v>
      </c>
      <c r="D48" s="87" t="s">
        <v>2060</v>
      </c>
      <c r="E48" s="87" t="b">
        <v>0</v>
      </c>
      <c r="F48" s="87" t="b">
        <v>0</v>
      </c>
      <c r="G48" s="87" t="b">
        <v>0</v>
      </c>
    </row>
    <row r="49" spans="1:7" ht="15">
      <c r="A49" s="88" t="s">
        <v>1523</v>
      </c>
      <c r="B49" s="87">
        <v>12</v>
      </c>
      <c r="C49" s="110">
        <v>0.0038919340651567486</v>
      </c>
      <c r="D49" s="87" t="s">
        <v>2060</v>
      </c>
      <c r="E49" s="87" t="b">
        <v>0</v>
      </c>
      <c r="F49" s="87" t="b">
        <v>0</v>
      </c>
      <c r="G49" s="87" t="b">
        <v>0</v>
      </c>
    </row>
    <row r="50" spans="1:7" ht="15">
      <c r="A50" s="88" t="s">
        <v>1836</v>
      </c>
      <c r="B50" s="87">
        <v>12</v>
      </c>
      <c r="C50" s="110">
        <v>0.0038919340651567486</v>
      </c>
      <c r="D50" s="87" t="s">
        <v>2060</v>
      </c>
      <c r="E50" s="87" t="b">
        <v>0</v>
      </c>
      <c r="F50" s="87" t="b">
        <v>0</v>
      </c>
      <c r="G50" s="87" t="b">
        <v>0</v>
      </c>
    </row>
    <row r="51" spans="1:7" ht="15">
      <c r="A51" s="88" t="s">
        <v>1837</v>
      </c>
      <c r="B51" s="87">
        <v>11</v>
      </c>
      <c r="C51" s="110">
        <v>0.0036901878158314325</v>
      </c>
      <c r="D51" s="87" t="s">
        <v>2060</v>
      </c>
      <c r="E51" s="87" t="b">
        <v>1</v>
      </c>
      <c r="F51" s="87" t="b">
        <v>0</v>
      </c>
      <c r="G51" s="87" t="b">
        <v>0</v>
      </c>
    </row>
    <row r="52" spans="1:7" ht="15">
      <c r="A52" s="88" t="s">
        <v>1522</v>
      </c>
      <c r="B52" s="87">
        <v>11</v>
      </c>
      <c r="C52" s="110">
        <v>0.0036901878158314325</v>
      </c>
      <c r="D52" s="87" t="s">
        <v>2060</v>
      </c>
      <c r="E52" s="87" t="b">
        <v>1</v>
      </c>
      <c r="F52" s="87" t="b">
        <v>0</v>
      </c>
      <c r="G52" s="87" t="b">
        <v>0</v>
      </c>
    </row>
    <row r="53" spans="1:7" ht="15">
      <c r="A53" s="88" t="s">
        <v>1838</v>
      </c>
      <c r="B53" s="87">
        <v>11</v>
      </c>
      <c r="C53" s="110">
        <v>0.0036901878158314325</v>
      </c>
      <c r="D53" s="87" t="s">
        <v>2060</v>
      </c>
      <c r="E53" s="87" t="b">
        <v>0</v>
      </c>
      <c r="F53" s="87" t="b">
        <v>0</v>
      </c>
      <c r="G53" s="87" t="b">
        <v>0</v>
      </c>
    </row>
    <row r="54" spans="1:7" ht="15">
      <c r="A54" s="88" t="s">
        <v>1519</v>
      </c>
      <c r="B54" s="87">
        <v>10</v>
      </c>
      <c r="C54" s="110">
        <v>0.00347678250455078</v>
      </c>
      <c r="D54" s="87" t="s">
        <v>2060</v>
      </c>
      <c r="E54" s="87" t="b">
        <v>0</v>
      </c>
      <c r="F54" s="87" t="b">
        <v>0</v>
      </c>
      <c r="G54" s="87" t="b">
        <v>0</v>
      </c>
    </row>
    <row r="55" spans="1:7" ht="15">
      <c r="A55" s="88" t="s">
        <v>1484</v>
      </c>
      <c r="B55" s="87">
        <v>10</v>
      </c>
      <c r="C55" s="110">
        <v>0.00347678250455078</v>
      </c>
      <c r="D55" s="87" t="s">
        <v>2060</v>
      </c>
      <c r="E55" s="87" t="b">
        <v>0</v>
      </c>
      <c r="F55" s="87" t="b">
        <v>0</v>
      </c>
      <c r="G55" s="87" t="b">
        <v>0</v>
      </c>
    </row>
    <row r="56" spans="1:7" ht="15">
      <c r="A56" s="88" t="s">
        <v>1482</v>
      </c>
      <c r="B56" s="87">
        <v>9</v>
      </c>
      <c r="C56" s="110">
        <v>0.0032505484932717783</v>
      </c>
      <c r="D56" s="87" t="s">
        <v>2060</v>
      </c>
      <c r="E56" s="87" t="b">
        <v>0</v>
      </c>
      <c r="F56" s="87" t="b">
        <v>0</v>
      </c>
      <c r="G56" s="87" t="b">
        <v>0</v>
      </c>
    </row>
    <row r="57" spans="1:7" ht="15">
      <c r="A57" s="88" t="s">
        <v>1839</v>
      </c>
      <c r="B57" s="87">
        <v>9</v>
      </c>
      <c r="C57" s="110">
        <v>0.0032505484932717783</v>
      </c>
      <c r="D57" s="87" t="s">
        <v>2060</v>
      </c>
      <c r="E57" s="87" t="b">
        <v>0</v>
      </c>
      <c r="F57" s="87" t="b">
        <v>0</v>
      </c>
      <c r="G57" s="87" t="b">
        <v>0</v>
      </c>
    </row>
    <row r="58" spans="1:7" ht="15">
      <c r="A58" s="88" t="s">
        <v>1495</v>
      </c>
      <c r="B58" s="87">
        <v>9</v>
      </c>
      <c r="C58" s="110">
        <v>0.0032505484932717783</v>
      </c>
      <c r="D58" s="87" t="s">
        <v>2060</v>
      </c>
      <c r="E58" s="87" t="b">
        <v>1</v>
      </c>
      <c r="F58" s="87" t="b">
        <v>0</v>
      </c>
      <c r="G58" s="87" t="b">
        <v>0</v>
      </c>
    </row>
    <row r="59" spans="1:7" ht="15">
      <c r="A59" s="88" t="s">
        <v>1840</v>
      </c>
      <c r="B59" s="87">
        <v>9</v>
      </c>
      <c r="C59" s="110">
        <v>0.0032505484932717783</v>
      </c>
      <c r="D59" s="87" t="s">
        <v>2060</v>
      </c>
      <c r="E59" s="87" t="b">
        <v>0</v>
      </c>
      <c r="F59" s="87" t="b">
        <v>0</v>
      </c>
      <c r="G59" s="87" t="b">
        <v>0</v>
      </c>
    </row>
    <row r="60" spans="1:7" ht="15">
      <c r="A60" s="88" t="s">
        <v>1521</v>
      </c>
      <c r="B60" s="87">
        <v>9</v>
      </c>
      <c r="C60" s="110">
        <v>0.0032505484932717783</v>
      </c>
      <c r="D60" s="87" t="s">
        <v>2060</v>
      </c>
      <c r="E60" s="87" t="b">
        <v>0</v>
      </c>
      <c r="F60" s="87" t="b">
        <v>0</v>
      </c>
      <c r="G60" s="87" t="b">
        <v>0</v>
      </c>
    </row>
    <row r="61" spans="1:7" ht="15">
      <c r="A61" s="88" t="s">
        <v>1841</v>
      </c>
      <c r="B61" s="87">
        <v>9</v>
      </c>
      <c r="C61" s="110">
        <v>0.003386311602097031</v>
      </c>
      <c r="D61" s="87" t="s">
        <v>2060</v>
      </c>
      <c r="E61" s="87" t="b">
        <v>0</v>
      </c>
      <c r="F61" s="87" t="b">
        <v>0</v>
      </c>
      <c r="G61" s="87" t="b">
        <v>0</v>
      </c>
    </row>
    <row r="62" spans="1:7" ht="15">
      <c r="A62" s="88" t="s">
        <v>1842</v>
      </c>
      <c r="B62" s="87">
        <v>9</v>
      </c>
      <c r="C62" s="110">
        <v>0.0032505484932717783</v>
      </c>
      <c r="D62" s="87" t="s">
        <v>2060</v>
      </c>
      <c r="E62" s="87" t="b">
        <v>1</v>
      </c>
      <c r="F62" s="87" t="b">
        <v>0</v>
      </c>
      <c r="G62" s="87" t="b">
        <v>0</v>
      </c>
    </row>
    <row r="63" spans="1:7" ht="15">
      <c r="A63" s="88" t="s">
        <v>1843</v>
      </c>
      <c r="B63" s="87">
        <v>9</v>
      </c>
      <c r="C63" s="110">
        <v>0.0032505484932717783</v>
      </c>
      <c r="D63" s="87" t="s">
        <v>2060</v>
      </c>
      <c r="E63" s="87" t="b">
        <v>0</v>
      </c>
      <c r="F63" s="87" t="b">
        <v>0</v>
      </c>
      <c r="G63" s="87" t="b">
        <v>0</v>
      </c>
    </row>
    <row r="64" spans="1:7" ht="15">
      <c r="A64" s="88" t="s">
        <v>1474</v>
      </c>
      <c r="B64" s="87">
        <v>9</v>
      </c>
      <c r="C64" s="110">
        <v>0.0032505484932717783</v>
      </c>
      <c r="D64" s="87" t="s">
        <v>2060</v>
      </c>
      <c r="E64" s="87" t="b">
        <v>0</v>
      </c>
      <c r="F64" s="87" t="b">
        <v>0</v>
      </c>
      <c r="G64" s="87" t="b">
        <v>0</v>
      </c>
    </row>
    <row r="65" spans="1:7" ht="15">
      <c r="A65" s="88" t="s">
        <v>1844</v>
      </c>
      <c r="B65" s="87">
        <v>9</v>
      </c>
      <c r="C65" s="110">
        <v>0.0032505484932717783</v>
      </c>
      <c r="D65" s="87" t="s">
        <v>2060</v>
      </c>
      <c r="E65" s="87" t="b">
        <v>1</v>
      </c>
      <c r="F65" s="87" t="b">
        <v>0</v>
      </c>
      <c r="G65" s="87" t="b">
        <v>0</v>
      </c>
    </row>
    <row r="66" spans="1:7" ht="15">
      <c r="A66" s="88" t="s">
        <v>1845</v>
      </c>
      <c r="B66" s="87">
        <v>9</v>
      </c>
      <c r="C66" s="110">
        <v>0.0032505484932717783</v>
      </c>
      <c r="D66" s="87" t="s">
        <v>2060</v>
      </c>
      <c r="E66" s="87" t="b">
        <v>1</v>
      </c>
      <c r="F66" s="87" t="b">
        <v>0</v>
      </c>
      <c r="G66" s="87" t="b">
        <v>0</v>
      </c>
    </row>
    <row r="67" spans="1:7" ht="15">
      <c r="A67" s="88" t="s">
        <v>1846</v>
      </c>
      <c r="B67" s="87">
        <v>9</v>
      </c>
      <c r="C67" s="110">
        <v>0.0032505484932717783</v>
      </c>
      <c r="D67" s="87" t="s">
        <v>2060</v>
      </c>
      <c r="E67" s="87" t="b">
        <v>0</v>
      </c>
      <c r="F67" s="87" t="b">
        <v>0</v>
      </c>
      <c r="G67" s="87" t="b">
        <v>0</v>
      </c>
    </row>
    <row r="68" spans="1:7" ht="15">
      <c r="A68" s="88" t="s">
        <v>1847</v>
      </c>
      <c r="B68" s="87">
        <v>9</v>
      </c>
      <c r="C68" s="110">
        <v>0.0032505484932717783</v>
      </c>
      <c r="D68" s="87" t="s">
        <v>2060</v>
      </c>
      <c r="E68" s="87" t="b">
        <v>0</v>
      </c>
      <c r="F68" s="87" t="b">
        <v>0</v>
      </c>
      <c r="G68" s="87" t="b">
        <v>0</v>
      </c>
    </row>
    <row r="69" spans="1:7" ht="15">
      <c r="A69" s="88" t="s">
        <v>1848</v>
      </c>
      <c r="B69" s="87">
        <v>9</v>
      </c>
      <c r="C69" s="110">
        <v>0.0032505484932717783</v>
      </c>
      <c r="D69" s="87" t="s">
        <v>2060</v>
      </c>
      <c r="E69" s="87" t="b">
        <v>0</v>
      </c>
      <c r="F69" s="87" t="b">
        <v>0</v>
      </c>
      <c r="G69" s="87" t="b">
        <v>0</v>
      </c>
    </row>
    <row r="70" spans="1:7" ht="15">
      <c r="A70" s="88" t="s">
        <v>1849</v>
      </c>
      <c r="B70" s="87">
        <v>9</v>
      </c>
      <c r="C70" s="110">
        <v>0.0032505484932717783</v>
      </c>
      <c r="D70" s="87" t="s">
        <v>2060</v>
      </c>
      <c r="E70" s="87" t="b">
        <v>0</v>
      </c>
      <c r="F70" s="87" t="b">
        <v>0</v>
      </c>
      <c r="G70" s="87" t="b">
        <v>0</v>
      </c>
    </row>
    <row r="71" spans="1:7" ht="15">
      <c r="A71" s="88" t="s">
        <v>1850</v>
      </c>
      <c r="B71" s="87">
        <v>9</v>
      </c>
      <c r="C71" s="110">
        <v>0.0032505484932717783</v>
      </c>
      <c r="D71" s="87" t="s">
        <v>2060</v>
      </c>
      <c r="E71" s="87" t="b">
        <v>0</v>
      </c>
      <c r="F71" s="87" t="b">
        <v>0</v>
      </c>
      <c r="G71" s="87" t="b">
        <v>0</v>
      </c>
    </row>
    <row r="72" spans="1:7" ht="15">
      <c r="A72" s="88" t="s">
        <v>1851</v>
      </c>
      <c r="B72" s="87">
        <v>9</v>
      </c>
      <c r="C72" s="110">
        <v>0.0032505484932717783</v>
      </c>
      <c r="D72" s="87" t="s">
        <v>2060</v>
      </c>
      <c r="E72" s="87" t="b">
        <v>0</v>
      </c>
      <c r="F72" s="87" t="b">
        <v>0</v>
      </c>
      <c r="G72" s="87" t="b">
        <v>0</v>
      </c>
    </row>
    <row r="73" spans="1:7" ht="15">
      <c r="A73" s="88" t="s">
        <v>1852</v>
      </c>
      <c r="B73" s="87">
        <v>9</v>
      </c>
      <c r="C73" s="110">
        <v>0.0032505484932717783</v>
      </c>
      <c r="D73" s="87" t="s">
        <v>2060</v>
      </c>
      <c r="E73" s="87" t="b">
        <v>0</v>
      </c>
      <c r="F73" s="87" t="b">
        <v>0</v>
      </c>
      <c r="G73" s="87" t="b">
        <v>0</v>
      </c>
    </row>
    <row r="74" spans="1:7" ht="15">
      <c r="A74" s="88" t="s">
        <v>1479</v>
      </c>
      <c r="B74" s="87">
        <v>9</v>
      </c>
      <c r="C74" s="110">
        <v>0.0032505484932717783</v>
      </c>
      <c r="D74" s="87" t="s">
        <v>2060</v>
      </c>
      <c r="E74" s="87" t="b">
        <v>0</v>
      </c>
      <c r="F74" s="87" t="b">
        <v>0</v>
      </c>
      <c r="G74" s="87" t="b">
        <v>0</v>
      </c>
    </row>
    <row r="75" spans="1:7" ht="15">
      <c r="A75" s="88" t="s">
        <v>451</v>
      </c>
      <c r="B75" s="87">
        <v>9</v>
      </c>
      <c r="C75" s="110">
        <v>0.0032505484932717783</v>
      </c>
      <c r="D75" s="87" t="s">
        <v>2060</v>
      </c>
      <c r="E75" s="87" t="b">
        <v>0</v>
      </c>
      <c r="F75" s="87" t="b">
        <v>0</v>
      </c>
      <c r="G75" s="87" t="b">
        <v>0</v>
      </c>
    </row>
    <row r="76" spans="1:7" ht="15">
      <c r="A76" s="88" t="s">
        <v>324</v>
      </c>
      <c r="B76" s="87">
        <v>8</v>
      </c>
      <c r="C76" s="110">
        <v>0.0033048084857788874</v>
      </c>
      <c r="D76" s="87" t="s">
        <v>2060</v>
      </c>
      <c r="E76" s="87" t="b">
        <v>0</v>
      </c>
      <c r="F76" s="87" t="b">
        <v>0</v>
      </c>
      <c r="G76" s="87" t="b">
        <v>0</v>
      </c>
    </row>
    <row r="77" spans="1:7" ht="15">
      <c r="A77" s="88" t="s">
        <v>1853</v>
      </c>
      <c r="B77" s="87">
        <v>8</v>
      </c>
      <c r="C77" s="110">
        <v>0.0030100547574195835</v>
      </c>
      <c r="D77" s="87" t="s">
        <v>2060</v>
      </c>
      <c r="E77" s="87" t="b">
        <v>0</v>
      </c>
      <c r="F77" s="87" t="b">
        <v>0</v>
      </c>
      <c r="G77" s="87" t="b">
        <v>0</v>
      </c>
    </row>
    <row r="78" spans="1:7" ht="15">
      <c r="A78" s="88" t="s">
        <v>1489</v>
      </c>
      <c r="B78" s="87">
        <v>8</v>
      </c>
      <c r="C78" s="110">
        <v>0.003720240533093971</v>
      </c>
      <c r="D78" s="87" t="s">
        <v>2060</v>
      </c>
      <c r="E78" s="87" t="b">
        <v>0</v>
      </c>
      <c r="F78" s="87" t="b">
        <v>0</v>
      </c>
      <c r="G78" s="87" t="b">
        <v>0</v>
      </c>
    </row>
    <row r="79" spans="1:7" ht="15">
      <c r="A79" s="88" t="s">
        <v>1473</v>
      </c>
      <c r="B79" s="87">
        <v>8</v>
      </c>
      <c r="C79" s="110">
        <v>0.0030100547574195835</v>
      </c>
      <c r="D79" s="87" t="s">
        <v>2060</v>
      </c>
      <c r="E79" s="87" t="b">
        <v>0</v>
      </c>
      <c r="F79" s="87" t="b">
        <v>0</v>
      </c>
      <c r="G79" s="87" t="b">
        <v>0</v>
      </c>
    </row>
    <row r="80" spans="1:7" ht="15">
      <c r="A80" s="88" t="s">
        <v>1476</v>
      </c>
      <c r="B80" s="87">
        <v>8</v>
      </c>
      <c r="C80" s="110">
        <v>0.0030100547574195835</v>
      </c>
      <c r="D80" s="87" t="s">
        <v>2060</v>
      </c>
      <c r="E80" s="87" t="b">
        <v>0</v>
      </c>
      <c r="F80" s="87" t="b">
        <v>0</v>
      </c>
      <c r="G80" s="87" t="b">
        <v>0</v>
      </c>
    </row>
    <row r="81" spans="1:7" ht="15">
      <c r="A81" s="88" t="s">
        <v>1477</v>
      </c>
      <c r="B81" s="87">
        <v>8</v>
      </c>
      <c r="C81" s="110">
        <v>0.0030100547574195835</v>
      </c>
      <c r="D81" s="87" t="s">
        <v>2060</v>
      </c>
      <c r="E81" s="87" t="b">
        <v>0</v>
      </c>
      <c r="F81" s="87" t="b">
        <v>0</v>
      </c>
      <c r="G81" s="87" t="b">
        <v>0</v>
      </c>
    </row>
    <row r="82" spans="1:7" ht="15">
      <c r="A82" s="88" t="s">
        <v>1854</v>
      </c>
      <c r="B82" s="87">
        <v>8</v>
      </c>
      <c r="C82" s="110">
        <v>0.0030100547574195835</v>
      </c>
      <c r="D82" s="87" t="s">
        <v>2060</v>
      </c>
      <c r="E82" s="87" t="b">
        <v>0</v>
      </c>
      <c r="F82" s="87" t="b">
        <v>0</v>
      </c>
      <c r="G82" s="87" t="b">
        <v>0</v>
      </c>
    </row>
    <row r="83" spans="1:7" ht="15">
      <c r="A83" s="88" t="s">
        <v>307</v>
      </c>
      <c r="B83" s="87">
        <v>8</v>
      </c>
      <c r="C83" s="110">
        <v>0.0030100547574195835</v>
      </c>
      <c r="D83" s="87" t="s">
        <v>2060</v>
      </c>
      <c r="E83" s="87" t="b">
        <v>0</v>
      </c>
      <c r="F83" s="87" t="b">
        <v>0</v>
      </c>
      <c r="G83" s="87" t="b">
        <v>0</v>
      </c>
    </row>
    <row r="84" spans="1:7" ht="15">
      <c r="A84" s="88" t="s">
        <v>1855</v>
      </c>
      <c r="B84" s="87">
        <v>7</v>
      </c>
      <c r="C84" s="110">
        <v>0.002753509982586962</v>
      </c>
      <c r="D84" s="87" t="s">
        <v>2060</v>
      </c>
      <c r="E84" s="87" t="b">
        <v>0</v>
      </c>
      <c r="F84" s="87" t="b">
        <v>0</v>
      </c>
      <c r="G84" s="87" t="b">
        <v>0</v>
      </c>
    </row>
    <row r="85" spans="1:7" ht="15">
      <c r="A85" s="88" t="s">
        <v>1856</v>
      </c>
      <c r="B85" s="87">
        <v>7</v>
      </c>
      <c r="C85" s="110">
        <v>0.002753509982586962</v>
      </c>
      <c r="D85" s="87" t="s">
        <v>2060</v>
      </c>
      <c r="E85" s="87" t="b">
        <v>0</v>
      </c>
      <c r="F85" s="87" t="b">
        <v>0</v>
      </c>
      <c r="G85" s="87" t="b">
        <v>0</v>
      </c>
    </row>
    <row r="86" spans="1:7" ht="15">
      <c r="A86" s="88" t="s">
        <v>1857</v>
      </c>
      <c r="B86" s="87">
        <v>7</v>
      </c>
      <c r="C86" s="110">
        <v>0.002753509982586962</v>
      </c>
      <c r="D86" s="87" t="s">
        <v>2060</v>
      </c>
      <c r="E86" s="87" t="b">
        <v>0</v>
      </c>
      <c r="F86" s="87" t="b">
        <v>0</v>
      </c>
      <c r="G86" s="87" t="b">
        <v>0</v>
      </c>
    </row>
    <row r="87" spans="1:7" ht="15">
      <c r="A87" s="88" t="s">
        <v>1858</v>
      </c>
      <c r="B87" s="87">
        <v>7</v>
      </c>
      <c r="C87" s="110">
        <v>0.002753509982586962</v>
      </c>
      <c r="D87" s="87" t="s">
        <v>2060</v>
      </c>
      <c r="E87" s="87" t="b">
        <v>0</v>
      </c>
      <c r="F87" s="87" t="b">
        <v>0</v>
      </c>
      <c r="G87" s="87" t="b">
        <v>0</v>
      </c>
    </row>
    <row r="88" spans="1:7" ht="15">
      <c r="A88" s="88" t="s">
        <v>1859</v>
      </c>
      <c r="B88" s="87">
        <v>7</v>
      </c>
      <c r="C88" s="110">
        <v>0.002753509982586962</v>
      </c>
      <c r="D88" s="87" t="s">
        <v>2060</v>
      </c>
      <c r="E88" s="87" t="b">
        <v>0</v>
      </c>
      <c r="F88" s="87" t="b">
        <v>0</v>
      </c>
      <c r="G88" s="87" t="b">
        <v>0</v>
      </c>
    </row>
    <row r="89" spans="1:7" ht="15">
      <c r="A89" s="88" t="s">
        <v>1860</v>
      </c>
      <c r="B89" s="87">
        <v>7</v>
      </c>
      <c r="C89" s="110">
        <v>0.002753509982586962</v>
      </c>
      <c r="D89" s="87" t="s">
        <v>2060</v>
      </c>
      <c r="E89" s="87" t="b">
        <v>0</v>
      </c>
      <c r="F89" s="87" t="b">
        <v>0</v>
      </c>
      <c r="G89" s="87" t="b">
        <v>0</v>
      </c>
    </row>
    <row r="90" spans="1:7" ht="15">
      <c r="A90" s="88" t="s">
        <v>292</v>
      </c>
      <c r="B90" s="87">
        <v>6</v>
      </c>
      <c r="C90" s="110">
        <v>0.0024786063643341652</v>
      </c>
      <c r="D90" s="87" t="s">
        <v>2060</v>
      </c>
      <c r="E90" s="87" t="b">
        <v>0</v>
      </c>
      <c r="F90" s="87" t="b">
        <v>0</v>
      </c>
      <c r="G90" s="87" t="b">
        <v>0</v>
      </c>
    </row>
    <row r="91" spans="1:7" ht="15">
      <c r="A91" s="88" t="s">
        <v>304</v>
      </c>
      <c r="B91" s="87">
        <v>6</v>
      </c>
      <c r="C91" s="110">
        <v>0.0024786063643341652</v>
      </c>
      <c r="D91" s="87" t="s">
        <v>2060</v>
      </c>
      <c r="E91" s="87" t="b">
        <v>0</v>
      </c>
      <c r="F91" s="87" t="b">
        <v>0</v>
      </c>
      <c r="G91" s="87" t="b">
        <v>0</v>
      </c>
    </row>
    <row r="92" spans="1:7" ht="15">
      <c r="A92" s="88" t="s">
        <v>1861</v>
      </c>
      <c r="B92" s="87">
        <v>6</v>
      </c>
      <c r="C92" s="110">
        <v>0.0024786063643341652</v>
      </c>
      <c r="D92" s="87" t="s">
        <v>2060</v>
      </c>
      <c r="E92" s="87" t="b">
        <v>0</v>
      </c>
      <c r="F92" s="87" t="b">
        <v>0</v>
      </c>
      <c r="G92" s="87" t="b">
        <v>0</v>
      </c>
    </row>
    <row r="93" spans="1:7" ht="15">
      <c r="A93" s="88" t="s">
        <v>1862</v>
      </c>
      <c r="B93" s="87">
        <v>6</v>
      </c>
      <c r="C93" s="110">
        <v>0.0024786063643341652</v>
      </c>
      <c r="D93" s="87" t="s">
        <v>2060</v>
      </c>
      <c r="E93" s="87" t="b">
        <v>0</v>
      </c>
      <c r="F93" s="87" t="b">
        <v>0</v>
      </c>
      <c r="G93" s="87" t="b">
        <v>0</v>
      </c>
    </row>
    <row r="94" spans="1:7" ht="15">
      <c r="A94" s="88" t="s">
        <v>1483</v>
      </c>
      <c r="B94" s="87">
        <v>6</v>
      </c>
      <c r="C94" s="110">
        <v>0.0024786063643341652</v>
      </c>
      <c r="D94" s="87" t="s">
        <v>2060</v>
      </c>
      <c r="E94" s="87" t="b">
        <v>0</v>
      </c>
      <c r="F94" s="87" t="b">
        <v>0</v>
      </c>
      <c r="G94" s="87" t="b">
        <v>0</v>
      </c>
    </row>
    <row r="95" spans="1:7" ht="15">
      <c r="A95" s="88" t="s">
        <v>1863</v>
      </c>
      <c r="B95" s="87">
        <v>6</v>
      </c>
      <c r="C95" s="110">
        <v>0.0024786063643341652</v>
      </c>
      <c r="D95" s="87" t="s">
        <v>2060</v>
      </c>
      <c r="E95" s="87" t="b">
        <v>0</v>
      </c>
      <c r="F95" s="87" t="b">
        <v>0</v>
      </c>
      <c r="G95" s="87" t="b">
        <v>0</v>
      </c>
    </row>
    <row r="96" spans="1:7" ht="15">
      <c r="A96" s="88" t="s">
        <v>1864</v>
      </c>
      <c r="B96" s="87">
        <v>6</v>
      </c>
      <c r="C96" s="110">
        <v>0.0024786063643341652</v>
      </c>
      <c r="D96" s="87" t="s">
        <v>2060</v>
      </c>
      <c r="E96" s="87" t="b">
        <v>0</v>
      </c>
      <c r="F96" s="87" t="b">
        <v>0</v>
      </c>
      <c r="G96" s="87" t="b">
        <v>0</v>
      </c>
    </row>
    <row r="97" spans="1:7" ht="15">
      <c r="A97" s="88" t="s">
        <v>1865</v>
      </c>
      <c r="B97" s="87">
        <v>6</v>
      </c>
      <c r="C97" s="110">
        <v>0.0024786063643341652</v>
      </c>
      <c r="D97" s="87" t="s">
        <v>2060</v>
      </c>
      <c r="E97" s="87" t="b">
        <v>0</v>
      </c>
      <c r="F97" s="87" t="b">
        <v>0</v>
      </c>
      <c r="G97" s="87" t="b">
        <v>0</v>
      </c>
    </row>
    <row r="98" spans="1:7" ht="15">
      <c r="A98" s="88" t="s">
        <v>1866</v>
      </c>
      <c r="B98" s="87">
        <v>6</v>
      </c>
      <c r="C98" s="110">
        <v>0.0030112456960899566</v>
      </c>
      <c r="D98" s="87" t="s">
        <v>2060</v>
      </c>
      <c r="E98" s="87" t="b">
        <v>0</v>
      </c>
      <c r="F98" s="87" t="b">
        <v>0</v>
      </c>
      <c r="G98" s="87" t="b">
        <v>0</v>
      </c>
    </row>
    <row r="99" spans="1:7" ht="15">
      <c r="A99" s="88" t="s">
        <v>279</v>
      </c>
      <c r="B99" s="87">
        <v>6</v>
      </c>
      <c r="C99" s="110">
        <v>0.0024786063643341652</v>
      </c>
      <c r="D99" s="87" t="s">
        <v>2060</v>
      </c>
      <c r="E99" s="87" t="b">
        <v>0</v>
      </c>
      <c r="F99" s="87" t="b">
        <v>0</v>
      </c>
      <c r="G99" s="87" t="b">
        <v>0</v>
      </c>
    </row>
    <row r="100" spans="1:7" ht="15">
      <c r="A100" s="88" t="s">
        <v>1867</v>
      </c>
      <c r="B100" s="87">
        <v>6</v>
      </c>
      <c r="C100" s="110">
        <v>0.0024786063643341652</v>
      </c>
      <c r="D100" s="87" t="s">
        <v>2060</v>
      </c>
      <c r="E100" s="87" t="b">
        <v>0</v>
      </c>
      <c r="F100" s="87" t="b">
        <v>0</v>
      </c>
      <c r="G100" s="87" t="b">
        <v>0</v>
      </c>
    </row>
    <row r="101" spans="1:7" ht="15">
      <c r="A101" s="88" t="s">
        <v>1868</v>
      </c>
      <c r="B101" s="87">
        <v>6</v>
      </c>
      <c r="C101" s="110">
        <v>0.0024786063643341652</v>
      </c>
      <c r="D101" s="87" t="s">
        <v>2060</v>
      </c>
      <c r="E101" s="87" t="b">
        <v>0</v>
      </c>
      <c r="F101" s="87" t="b">
        <v>0</v>
      </c>
      <c r="G101" s="87" t="b">
        <v>0</v>
      </c>
    </row>
    <row r="102" spans="1:7" ht="15">
      <c r="A102" s="88" t="s">
        <v>1465</v>
      </c>
      <c r="B102" s="87">
        <v>5</v>
      </c>
      <c r="C102" s="110">
        <v>0.0021822573620718824</v>
      </c>
      <c r="D102" s="87" t="s">
        <v>2060</v>
      </c>
      <c r="E102" s="87" t="b">
        <v>0</v>
      </c>
      <c r="F102" s="87" t="b">
        <v>0</v>
      </c>
      <c r="G102" s="87" t="b">
        <v>0</v>
      </c>
    </row>
    <row r="103" spans="1:7" ht="15">
      <c r="A103" s="88" t="s">
        <v>1466</v>
      </c>
      <c r="B103" s="87">
        <v>5</v>
      </c>
      <c r="C103" s="110">
        <v>0.0021822573620718824</v>
      </c>
      <c r="D103" s="87" t="s">
        <v>2060</v>
      </c>
      <c r="E103" s="87" t="b">
        <v>0</v>
      </c>
      <c r="F103" s="87" t="b">
        <v>0</v>
      </c>
      <c r="G103" s="87" t="b">
        <v>0</v>
      </c>
    </row>
    <row r="104" spans="1:7" ht="15">
      <c r="A104" s="88" t="s">
        <v>1869</v>
      </c>
      <c r="B104" s="87">
        <v>5</v>
      </c>
      <c r="C104" s="110">
        <v>0.0021822573620718824</v>
      </c>
      <c r="D104" s="87" t="s">
        <v>2060</v>
      </c>
      <c r="E104" s="87" t="b">
        <v>0</v>
      </c>
      <c r="F104" s="87" t="b">
        <v>0</v>
      </c>
      <c r="G104" s="87" t="b">
        <v>0</v>
      </c>
    </row>
    <row r="105" spans="1:7" ht="15">
      <c r="A105" s="88" t="s">
        <v>1870</v>
      </c>
      <c r="B105" s="87">
        <v>5</v>
      </c>
      <c r="C105" s="110">
        <v>0.0021822573620718824</v>
      </c>
      <c r="D105" s="87" t="s">
        <v>2060</v>
      </c>
      <c r="E105" s="87" t="b">
        <v>0</v>
      </c>
      <c r="F105" s="87" t="b">
        <v>0</v>
      </c>
      <c r="G105" s="87" t="b">
        <v>0</v>
      </c>
    </row>
    <row r="106" spans="1:7" ht="15">
      <c r="A106" s="88" t="s">
        <v>1871</v>
      </c>
      <c r="B106" s="87">
        <v>5</v>
      </c>
      <c r="C106" s="110">
        <v>0.0021822573620718824</v>
      </c>
      <c r="D106" s="87" t="s">
        <v>2060</v>
      </c>
      <c r="E106" s="87" t="b">
        <v>0</v>
      </c>
      <c r="F106" s="87" t="b">
        <v>0</v>
      </c>
      <c r="G106" s="87" t="b">
        <v>0</v>
      </c>
    </row>
    <row r="107" spans="1:7" ht="15">
      <c r="A107" s="88" t="s">
        <v>1872</v>
      </c>
      <c r="B107" s="87">
        <v>5</v>
      </c>
      <c r="C107" s="110">
        <v>0.0021822573620718824</v>
      </c>
      <c r="D107" s="87" t="s">
        <v>2060</v>
      </c>
      <c r="E107" s="87" t="b">
        <v>0</v>
      </c>
      <c r="F107" s="87" t="b">
        <v>0</v>
      </c>
      <c r="G107" s="87" t="b">
        <v>0</v>
      </c>
    </row>
    <row r="108" spans="1:7" ht="15">
      <c r="A108" s="88" t="s">
        <v>1500</v>
      </c>
      <c r="B108" s="87">
        <v>5</v>
      </c>
      <c r="C108" s="110">
        <v>0.0021822573620718824</v>
      </c>
      <c r="D108" s="87" t="s">
        <v>2060</v>
      </c>
      <c r="E108" s="87" t="b">
        <v>0</v>
      </c>
      <c r="F108" s="87" t="b">
        <v>0</v>
      </c>
      <c r="G108" s="87" t="b">
        <v>0</v>
      </c>
    </row>
    <row r="109" spans="1:7" ht="15">
      <c r="A109" s="88" t="s">
        <v>1873</v>
      </c>
      <c r="B109" s="87">
        <v>5</v>
      </c>
      <c r="C109" s="110">
        <v>0.0021822573620718824</v>
      </c>
      <c r="D109" s="87" t="s">
        <v>2060</v>
      </c>
      <c r="E109" s="87" t="b">
        <v>0</v>
      </c>
      <c r="F109" s="87" t="b">
        <v>0</v>
      </c>
      <c r="G109" s="87" t="b">
        <v>0</v>
      </c>
    </row>
    <row r="110" spans="1:7" ht="15">
      <c r="A110" s="88" t="s">
        <v>1874</v>
      </c>
      <c r="B110" s="87">
        <v>5</v>
      </c>
      <c r="C110" s="110">
        <v>0.0021822573620718824</v>
      </c>
      <c r="D110" s="87" t="s">
        <v>2060</v>
      </c>
      <c r="E110" s="87" t="b">
        <v>0</v>
      </c>
      <c r="F110" s="87" t="b">
        <v>0</v>
      </c>
      <c r="G110" s="87" t="b">
        <v>0</v>
      </c>
    </row>
    <row r="111" spans="1:7" ht="15">
      <c r="A111" s="88" t="s">
        <v>1875</v>
      </c>
      <c r="B111" s="87">
        <v>5</v>
      </c>
      <c r="C111" s="110">
        <v>0.0021822573620718824</v>
      </c>
      <c r="D111" s="87" t="s">
        <v>2060</v>
      </c>
      <c r="E111" s="87" t="b">
        <v>0</v>
      </c>
      <c r="F111" s="87" t="b">
        <v>0</v>
      </c>
      <c r="G111" s="87" t="b">
        <v>0</v>
      </c>
    </row>
    <row r="112" spans="1:7" ht="15">
      <c r="A112" s="88" t="s">
        <v>1876</v>
      </c>
      <c r="B112" s="87">
        <v>5</v>
      </c>
      <c r="C112" s="110">
        <v>0.0021822573620718824</v>
      </c>
      <c r="D112" s="87" t="s">
        <v>2060</v>
      </c>
      <c r="E112" s="87" t="b">
        <v>0</v>
      </c>
      <c r="F112" s="87" t="b">
        <v>0</v>
      </c>
      <c r="G112" s="87" t="b">
        <v>0</v>
      </c>
    </row>
    <row r="113" spans="1:7" ht="15">
      <c r="A113" s="88" t="s">
        <v>1877</v>
      </c>
      <c r="B113" s="87">
        <v>5</v>
      </c>
      <c r="C113" s="110">
        <v>0.0021822573620718824</v>
      </c>
      <c r="D113" s="87" t="s">
        <v>2060</v>
      </c>
      <c r="E113" s="87" t="b">
        <v>0</v>
      </c>
      <c r="F113" s="87" t="b">
        <v>0</v>
      </c>
      <c r="G113" s="87" t="b">
        <v>0</v>
      </c>
    </row>
    <row r="114" spans="1:7" ht="15">
      <c r="A114" s="88" t="s">
        <v>1878</v>
      </c>
      <c r="B114" s="87">
        <v>5</v>
      </c>
      <c r="C114" s="110">
        <v>0.0021822573620718824</v>
      </c>
      <c r="D114" s="87" t="s">
        <v>2060</v>
      </c>
      <c r="E114" s="87" t="b">
        <v>0</v>
      </c>
      <c r="F114" s="87" t="b">
        <v>0</v>
      </c>
      <c r="G114" s="87" t="b">
        <v>0</v>
      </c>
    </row>
    <row r="115" spans="1:7" ht="15">
      <c r="A115" s="88" t="s">
        <v>1879</v>
      </c>
      <c r="B115" s="87">
        <v>5</v>
      </c>
      <c r="C115" s="110">
        <v>0.0021822573620718824</v>
      </c>
      <c r="D115" s="87" t="s">
        <v>2060</v>
      </c>
      <c r="E115" s="87" t="b">
        <v>0</v>
      </c>
      <c r="F115" s="87" t="b">
        <v>0</v>
      </c>
      <c r="G115" s="87" t="b">
        <v>0</v>
      </c>
    </row>
    <row r="116" spans="1:7" ht="15">
      <c r="A116" s="88" t="s">
        <v>1880</v>
      </c>
      <c r="B116" s="87">
        <v>5</v>
      </c>
      <c r="C116" s="110">
        <v>0.0021822573620718824</v>
      </c>
      <c r="D116" s="87" t="s">
        <v>2060</v>
      </c>
      <c r="E116" s="87" t="b">
        <v>0</v>
      </c>
      <c r="F116" s="87" t="b">
        <v>0</v>
      </c>
      <c r="G116" s="87" t="b">
        <v>0</v>
      </c>
    </row>
    <row r="117" spans="1:7" ht="15">
      <c r="A117" s="88" t="s">
        <v>1881</v>
      </c>
      <c r="B117" s="87">
        <v>5</v>
      </c>
      <c r="C117" s="110">
        <v>0.0021822573620718824</v>
      </c>
      <c r="D117" s="87" t="s">
        <v>2060</v>
      </c>
      <c r="E117" s="87" t="b">
        <v>0</v>
      </c>
      <c r="F117" s="87" t="b">
        <v>0</v>
      </c>
      <c r="G117" s="87" t="b">
        <v>0</v>
      </c>
    </row>
    <row r="118" spans="1:7" ht="15">
      <c r="A118" s="88" t="s">
        <v>1882</v>
      </c>
      <c r="B118" s="87">
        <v>5</v>
      </c>
      <c r="C118" s="110">
        <v>0.0021822573620718824</v>
      </c>
      <c r="D118" s="87" t="s">
        <v>2060</v>
      </c>
      <c r="E118" s="87" t="b">
        <v>0</v>
      </c>
      <c r="F118" s="87" t="b">
        <v>0</v>
      </c>
      <c r="G118" s="87" t="b">
        <v>0</v>
      </c>
    </row>
    <row r="119" spans="1:7" ht="15">
      <c r="A119" s="88" t="s">
        <v>1496</v>
      </c>
      <c r="B119" s="87">
        <v>5</v>
      </c>
      <c r="C119" s="110">
        <v>0.0021822573620718824</v>
      </c>
      <c r="D119" s="87" t="s">
        <v>2060</v>
      </c>
      <c r="E119" s="87" t="b">
        <v>0</v>
      </c>
      <c r="F119" s="87" t="b">
        <v>0</v>
      </c>
      <c r="G119" s="87" t="b">
        <v>0</v>
      </c>
    </row>
    <row r="120" spans="1:7" ht="15">
      <c r="A120" s="88" t="s">
        <v>1883</v>
      </c>
      <c r="B120" s="87">
        <v>5</v>
      </c>
      <c r="C120" s="110">
        <v>0.0021822573620718824</v>
      </c>
      <c r="D120" s="87" t="s">
        <v>2060</v>
      </c>
      <c r="E120" s="87" t="b">
        <v>0</v>
      </c>
      <c r="F120" s="87" t="b">
        <v>0</v>
      </c>
      <c r="G120" s="87" t="b">
        <v>0</v>
      </c>
    </row>
    <row r="121" spans="1:7" ht="15">
      <c r="A121" s="88" t="s">
        <v>1884</v>
      </c>
      <c r="B121" s="87">
        <v>5</v>
      </c>
      <c r="C121" s="110">
        <v>0.0021822573620718824</v>
      </c>
      <c r="D121" s="87" t="s">
        <v>2060</v>
      </c>
      <c r="E121" s="87" t="b">
        <v>0</v>
      </c>
      <c r="F121" s="87" t="b">
        <v>0</v>
      </c>
      <c r="G121" s="87" t="b">
        <v>0</v>
      </c>
    </row>
    <row r="122" spans="1:7" ht="15">
      <c r="A122" s="88" t="s">
        <v>306</v>
      </c>
      <c r="B122" s="87">
        <v>5</v>
      </c>
      <c r="C122" s="110">
        <v>0.0021822573620718824</v>
      </c>
      <c r="D122" s="87" t="s">
        <v>2060</v>
      </c>
      <c r="E122" s="87" t="b">
        <v>0</v>
      </c>
      <c r="F122" s="87" t="b">
        <v>0</v>
      </c>
      <c r="G122" s="87" t="b">
        <v>0</v>
      </c>
    </row>
    <row r="123" spans="1:7" ht="15">
      <c r="A123" s="88" t="s">
        <v>1885</v>
      </c>
      <c r="B123" s="87">
        <v>5</v>
      </c>
      <c r="C123" s="110">
        <v>0.002509371413408297</v>
      </c>
      <c r="D123" s="87" t="s">
        <v>2060</v>
      </c>
      <c r="E123" s="87" t="b">
        <v>0</v>
      </c>
      <c r="F123" s="87" t="b">
        <v>0</v>
      </c>
      <c r="G123" s="87" t="b">
        <v>0</v>
      </c>
    </row>
    <row r="124" spans="1:7" ht="15">
      <c r="A124" s="88" t="s">
        <v>1886</v>
      </c>
      <c r="B124" s="87">
        <v>5</v>
      </c>
      <c r="C124" s="110">
        <v>0.0021822573620718824</v>
      </c>
      <c r="D124" s="87" t="s">
        <v>2060</v>
      </c>
      <c r="E124" s="87" t="b">
        <v>0</v>
      </c>
      <c r="F124" s="87" t="b">
        <v>0</v>
      </c>
      <c r="G124" s="87" t="b">
        <v>0</v>
      </c>
    </row>
    <row r="125" spans="1:7" ht="15">
      <c r="A125" s="88" t="s">
        <v>1887</v>
      </c>
      <c r="B125" s="87">
        <v>5</v>
      </c>
      <c r="C125" s="110">
        <v>0.0021822573620718824</v>
      </c>
      <c r="D125" s="87" t="s">
        <v>2060</v>
      </c>
      <c r="E125" s="87" t="b">
        <v>0</v>
      </c>
      <c r="F125" s="87" t="b">
        <v>0</v>
      </c>
      <c r="G125" s="87" t="b">
        <v>0</v>
      </c>
    </row>
    <row r="126" spans="1:7" ht="15">
      <c r="A126" s="88" t="s">
        <v>1888</v>
      </c>
      <c r="B126" s="87">
        <v>5</v>
      </c>
      <c r="C126" s="110">
        <v>0.0021822573620718824</v>
      </c>
      <c r="D126" s="87" t="s">
        <v>2060</v>
      </c>
      <c r="E126" s="87" t="b">
        <v>0</v>
      </c>
      <c r="F126" s="87" t="b">
        <v>0</v>
      </c>
      <c r="G126" s="87" t="b">
        <v>0</v>
      </c>
    </row>
    <row r="127" spans="1:7" ht="15">
      <c r="A127" s="88" t="s">
        <v>1889</v>
      </c>
      <c r="B127" s="87">
        <v>5</v>
      </c>
      <c r="C127" s="110">
        <v>0.0021822573620718824</v>
      </c>
      <c r="D127" s="87" t="s">
        <v>2060</v>
      </c>
      <c r="E127" s="87" t="b">
        <v>0</v>
      </c>
      <c r="F127" s="87" t="b">
        <v>0</v>
      </c>
      <c r="G127" s="87" t="b">
        <v>0</v>
      </c>
    </row>
    <row r="128" spans="1:7" ht="15">
      <c r="A128" s="88" t="s">
        <v>284</v>
      </c>
      <c r="B128" s="87">
        <v>5</v>
      </c>
      <c r="C128" s="110">
        <v>0.0021822573620718824</v>
      </c>
      <c r="D128" s="87" t="s">
        <v>2060</v>
      </c>
      <c r="E128" s="87" t="b">
        <v>0</v>
      </c>
      <c r="F128" s="87" t="b">
        <v>0</v>
      </c>
      <c r="G128" s="87" t="b">
        <v>0</v>
      </c>
    </row>
    <row r="129" spans="1:7" ht="15">
      <c r="A129" s="88" t="s">
        <v>1890</v>
      </c>
      <c r="B129" s="87">
        <v>4</v>
      </c>
      <c r="C129" s="110">
        <v>0.0018601202665469855</v>
      </c>
      <c r="D129" s="87" t="s">
        <v>2060</v>
      </c>
      <c r="E129" s="87" t="b">
        <v>0</v>
      </c>
      <c r="F129" s="87" t="b">
        <v>0</v>
      </c>
      <c r="G129" s="87" t="b">
        <v>0</v>
      </c>
    </row>
    <row r="130" spans="1:7" ht="15">
      <c r="A130" s="88" t="s">
        <v>1891</v>
      </c>
      <c r="B130" s="87">
        <v>4</v>
      </c>
      <c r="C130" s="110">
        <v>0.0018601202665469855</v>
      </c>
      <c r="D130" s="87" t="s">
        <v>2060</v>
      </c>
      <c r="E130" s="87" t="b">
        <v>0</v>
      </c>
      <c r="F130" s="87" t="b">
        <v>0</v>
      </c>
      <c r="G130" s="87" t="b">
        <v>0</v>
      </c>
    </row>
    <row r="131" spans="1:7" ht="15">
      <c r="A131" s="88" t="s">
        <v>1892</v>
      </c>
      <c r="B131" s="87">
        <v>4</v>
      </c>
      <c r="C131" s="110">
        <v>0.0018601202665469855</v>
      </c>
      <c r="D131" s="87" t="s">
        <v>2060</v>
      </c>
      <c r="E131" s="87" t="b">
        <v>0</v>
      </c>
      <c r="F131" s="87" t="b">
        <v>0</v>
      </c>
      <c r="G131" s="87" t="b">
        <v>0</v>
      </c>
    </row>
    <row r="132" spans="1:7" ht="15">
      <c r="A132" s="88" t="s">
        <v>1498</v>
      </c>
      <c r="B132" s="87">
        <v>4</v>
      </c>
      <c r="C132" s="110">
        <v>0.0018601202665469855</v>
      </c>
      <c r="D132" s="87" t="s">
        <v>2060</v>
      </c>
      <c r="E132" s="87" t="b">
        <v>0</v>
      </c>
      <c r="F132" s="87" t="b">
        <v>0</v>
      </c>
      <c r="G132" s="87" t="b">
        <v>0</v>
      </c>
    </row>
    <row r="133" spans="1:7" ht="15">
      <c r="A133" s="88" t="s">
        <v>1499</v>
      </c>
      <c r="B133" s="87">
        <v>4</v>
      </c>
      <c r="C133" s="110">
        <v>0.0018601202665469855</v>
      </c>
      <c r="D133" s="87" t="s">
        <v>2060</v>
      </c>
      <c r="E133" s="87" t="b">
        <v>0</v>
      </c>
      <c r="F133" s="87" t="b">
        <v>0</v>
      </c>
      <c r="G133" s="87" t="b">
        <v>0</v>
      </c>
    </row>
    <row r="134" spans="1:7" ht="15">
      <c r="A134" s="88" t="s">
        <v>1501</v>
      </c>
      <c r="B134" s="87">
        <v>4</v>
      </c>
      <c r="C134" s="110">
        <v>0.0018601202665469855</v>
      </c>
      <c r="D134" s="87" t="s">
        <v>2060</v>
      </c>
      <c r="E134" s="87" t="b">
        <v>1</v>
      </c>
      <c r="F134" s="87" t="b">
        <v>0</v>
      </c>
      <c r="G134" s="87" t="b">
        <v>0</v>
      </c>
    </row>
    <row r="135" spans="1:7" ht="15">
      <c r="A135" s="88" t="s">
        <v>1502</v>
      </c>
      <c r="B135" s="87">
        <v>4</v>
      </c>
      <c r="C135" s="110">
        <v>0.0018601202665469855</v>
      </c>
      <c r="D135" s="87" t="s">
        <v>2060</v>
      </c>
      <c r="E135" s="87" t="b">
        <v>0</v>
      </c>
      <c r="F135" s="87" t="b">
        <v>0</v>
      </c>
      <c r="G135" s="87" t="b">
        <v>0</v>
      </c>
    </row>
    <row r="136" spans="1:7" ht="15">
      <c r="A136" s="88" t="s">
        <v>1503</v>
      </c>
      <c r="B136" s="87">
        <v>4</v>
      </c>
      <c r="C136" s="110">
        <v>0.0018601202665469855</v>
      </c>
      <c r="D136" s="87" t="s">
        <v>2060</v>
      </c>
      <c r="E136" s="87" t="b">
        <v>0</v>
      </c>
      <c r="F136" s="87" t="b">
        <v>0</v>
      </c>
      <c r="G136" s="87" t="b">
        <v>0</v>
      </c>
    </row>
    <row r="137" spans="1:7" ht="15">
      <c r="A137" s="88" t="s">
        <v>1504</v>
      </c>
      <c r="B137" s="87">
        <v>4</v>
      </c>
      <c r="C137" s="110">
        <v>0.0018601202665469855</v>
      </c>
      <c r="D137" s="87" t="s">
        <v>2060</v>
      </c>
      <c r="E137" s="87" t="b">
        <v>0</v>
      </c>
      <c r="F137" s="87" t="b">
        <v>0</v>
      </c>
      <c r="G137" s="87" t="b">
        <v>0</v>
      </c>
    </row>
    <row r="138" spans="1:7" ht="15">
      <c r="A138" s="88" t="s">
        <v>1505</v>
      </c>
      <c r="B138" s="87">
        <v>4</v>
      </c>
      <c r="C138" s="110">
        <v>0.0018601202665469855</v>
      </c>
      <c r="D138" s="87" t="s">
        <v>2060</v>
      </c>
      <c r="E138" s="87" t="b">
        <v>0</v>
      </c>
      <c r="F138" s="87" t="b">
        <v>0</v>
      </c>
      <c r="G138" s="87" t="b">
        <v>0</v>
      </c>
    </row>
    <row r="139" spans="1:7" ht="15">
      <c r="A139" s="88" t="s">
        <v>1506</v>
      </c>
      <c r="B139" s="87">
        <v>4</v>
      </c>
      <c r="C139" s="110">
        <v>0.0018601202665469855</v>
      </c>
      <c r="D139" s="87" t="s">
        <v>2060</v>
      </c>
      <c r="E139" s="87" t="b">
        <v>1</v>
      </c>
      <c r="F139" s="87" t="b">
        <v>0</v>
      </c>
      <c r="G139" s="87" t="b">
        <v>0</v>
      </c>
    </row>
    <row r="140" spans="1:7" ht="15">
      <c r="A140" s="88" t="s">
        <v>1893</v>
      </c>
      <c r="B140" s="87">
        <v>4</v>
      </c>
      <c r="C140" s="110">
        <v>0.0018601202665469855</v>
      </c>
      <c r="D140" s="87" t="s">
        <v>2060</v>
      </c>
      <c r="E140" s="87" t="b">
        <v>0</v>
      </c>
      <c r="F140" s="87" t="b">
        <v>0</v>
      </c>
      <c r="G140" s="87" t="b">
        <v>0</v>
      </c>
    </row>
    <row r="141" spans="1:7" ht="15">
      <c r="A141" s="88" t="s">
        <v>1894</v>
      </c>
      <c r="B141" s="87">
        <v>4</v>
      </c>
      <c r="C141" s="110">
        <v>0.0018601202665469855</v>
      </c>
      <c r="D141" s="87" t="s">
        <v>2060</v>
      </c>
      <c r="E141" s="87" t="b">
        <v>0</v>
      </c>
      <c r="F141" s="87" t="b">
        <v>0</v>
      </c>
      <c r="G141" s="87" t="b">
        <v>0</v>
      </c>
    </row>
    <row r="142" spans="1:7" ht="15">
      <c r="A142" s="88" t="s">
        <v>1895</v>
      </c>
      <c r="B142" s="87">
        <v>4</v>
      </c>
      <c r="C142" s="110">
        <v>0.0018601202665469855</v>
      </c>
      <c r="D142" s="87" t="s">
        <v>2060</v>
      </c>
      <c r="E142" s="87" t="b">
        <v>0</v>
      </c>
      <c r="F142" s="87" t="b">
        <v>0</v>
      </c>
      <c r="G142" s="87" t="b">
        <v>0</v>
      </c>
    </row>
    <row r="143" spans="1:7" ht="15">
      <c r="A143" s="88" t="s">
        <v>1896</v>
      </c>
      <c r="B143" s="87">
        <v>4</v>
      </c>
      <c r="C143" s="110">
        <v>0.0018601202665469855</v>
      </c>
      <c r="D143" s="87" t="s">
        <v>2060</v>
      </c>
      <c r="E143" s="87" t="b">
        <v>0</v>
      </c>
      <c r="F143" s="87" t="b">
        <v>0</v>
      </c>
      <c r="G143" s="87" t="b">
        <v>0</v>
      </c>
    </row>
    <row r="144" spans="1:7" ht="15">
      <c r="A144" s="88" t="s">
        <v>1897</v>
      </c>
      <c r="B144" s="87">
        <v>4</v>
      </c>
      <c r="C144" s="110">
        <v>0.0018601202665469855</v>
      </c>
      <c r="D144" s="87" t="s">
        <v>2060</v>
      </c>
      <c r="E144" s="87" t="b">
        <v>0</v>
      </c>
      <c r="F144" s="87" t="b">
        <v>0</v>
      </c>
      <c r="G144" s="87" t="b">
        <v>0</v>
      </c>
    </row>
    <row r="145" spans="1:7" ht="15">
      <c r="A145" s="88" t="s">
        <v>346</v>
      </c>
      <c r="B145" s="87">
        <v>4</v>
      </c>
      <c r="C145" s="110">
        <v>0.0018601202665469855</v>
      </c>
      <c r="D145" s="87" t="s">
        <v>2060</v>
      </c>
      <c r="E145" s="87" t="b">
        <v>0</v>
      </c>
      <c r="F145" s="87" t="b">
        <v>0</v>
      </c>
      <c r="G145" s="87" t="b">
        <v>0</v>
      </c>
    </row>
    <row r="146" spans="1:7" ht="15">
      <c r="A146" s="88" t="s">
        <v>342</v>
      </c>
      <c r="B146" s="87">
        <v>4</v>
      </c>
      <c r="C146" s="110">
        <v>0.0018601202665469855</v>
      </c>
      <c r="D146" s="87" t="s">
        <v>2060</v>
      </c>
      <c r="E146" s="87" t="b">
        <v>0</v>
      </c>
      <c r="F146" s="87" t="b">
        <v>0</v>
      </c>
      <c r="G146" s="87" t="b">
        <v>0</v>
      </c>
    </row>
    <row r="147" spans="1:7" ht="15">
      <c r="A147" s="88" t="s">
        <v>1898</v>
      </c>
      <c r="B147" s="87">
        <v>4</v>
      </c>
      <c r="C147" s="110">
        <v>0.0018601202665469855</v>
      </c>
      <c r="D147" s="87" t="s">
        <v>2060</v>
      </c>
      <c r="E147" s="87" t="b">
        <v>0</v>
      </c>
      <c r="F147" s="87" t="b">
        <v>0</v>
      </c>
      <c r="G147" s="87" t="b">
        <v>0</v>
      </c>
    </row>
    <row r="148" spans="1:7" ht="15">
      <c r="A148" s="88" t="s">
        <v>1899</v>
      </c>
      <c r="B148" s="87">
        <v>4</v>
      </c>
      <c r="C148" s="110">
        <v>0.0018601202665469855</v>
      </c>
      <c r="D148" s="87" t="s">
        <v>2060</v>
      </c>
      <c r="E148" s="87" t="b">
        <v>0</v>
      </c>
      <c r="F148" s="87" t="b">
        <v>0</v>
      </c>
      <c r="G148" s="87" t="b">
        <v>0</v>
      </c>
    </row>
    <row r="149" spans="1:7" ht="15">
      <c r="A149" s="88" t="s">
        <v>1524</v>
      </c>
      <c r="B149" s="87">
        <v>4</v>
      </c>
      <c r="C149" s="110">
        <v>0.0018601202665469855</v>
      </c>
      <c r="D149" s="87" t="s">
        <v>2060</v>
      </c>
      <c r="E149" s="87" t="b">
        <v>0</v>
      </c>
      <c r="F149" s="87" t="b">
        <v>0</v>
      </c>
      <c r="G149" s="87" t="b">
        <v>0</v>
      </c>
    </row>
    <row r="150" spans="1:7" ht="15">
      <c r="A150" s="88" t="s">
        <v>1900</v>
      </c>
      <c r="B150" s="87">
        <v>4</v>
      </c>
      <c r="C150" s="110">
        <v>0.0018601202665469855</v>
      </c>
      <c r="D150" s="87" t="s">
        <v>2060</v>
      </c>
      <c r="E150" s="87" t="b">
        <v>0</v>
      </c>
      <c r="F150" s="87" t="b">
        <v>0</v>
      </c>
      <c r="G150" s="87" t="b">
        <v>0</v>
      </c>
    </row>
    <row r="151" spans="1:7" ht="15">
      <c r="A151" s="88" t="s">
        <v>289</v>
      </c>
      <c r="B151" s="87">
        <v>4</v>
      </c>
      <c r="C151" s="110">
        <v>0.0018601202665469855</v>
      </c>
      <c r="D151" s="87" t="s">
        <v>2060</v>
      </c>
      <c r="E151" s="87" t="b">
        <v>0</v>
      </c>
      <c r="F151" s="87" t="b">
        <v>0</v>
      </c>
      <c r="G151" s="87" t="b">
        <v>0</v>
      </c>
    </row>
    <row r="152" spans="1:7" ht="15">
      <c r="A152" s="88" t="s">
        <v>290</v>
      </c>
      <c r="B152" s="87">
        <v>4</v>
      </c>
      <c r="C152" s="110">
        <v>0.0018601202665469855</v>
      </c>
      <c r="D152" s="87" t="s">
        <v>2060</v>
      </c>
      <c r="E152" s="87" t="b">
        <v>0</v>
      </c>
      <c r="F152" s="87" t="b">
        <v>0</v>
      </c>
      <c r="G152" s="87" t="b">
        <v>0</v>
      </c>
    </row>
    <row r="153" spans="1:7" ht="15">
      <c r="A153" s="88" t="s">
        <v>1901</v>
      </c>
      <c r="B153" s="87">
        <v>4</v>
      </c>
      <c r="C153" s="110">
        <v>0.0018601202665469855</v>
      </c>
      <c r="D153" s="87" t="s">
        <v>2060</v>
      </c>
      <c r="E153" s="87" t="b">
        <v>0</v>
      </c>
      <c r="F153" s="87" t="b">
        <v>0</v>
      </c>
      <c r="G153" s="87" t="b">
        <v>0</v>
      </c>
    </row>
    <row r="154" spans="1:7" ht="15">
      <c r="A154" s="88" t="s">
        <v>1902</v>
      </c>
      <c r="B154" s="87">
        <v>4</v>
      </c>
      <c r="C154" s="110">
        <v>0.0018601202665469855</v>
      </c>
      <c r="D154" s="87" t="s">
        <v>2060</v>
      </c>
      <c r="E154" s="87" t="b">
        <v>1</v>
      </c>
      <c r="F154" s="87" t="b">
        <v>0</v>
      </c>
      <c r="G154" s="87" t="b">
        <v>0</v>
      </c>
    </row>
    <row r="155" spans="1:7" ht="15">
      <c r="A155" s="88" t="s">
        <v>1903</v>
      </c>
      <c r="B155" s="87">
        <v>4</v>
      </c>
      <c r="C155" s="110">
        <v>0.002007497130726638</v>
      </c>
      <c r="D155" s="87" t="s">
        <v>2060</v>
      </c>
      <c r="E155" s="87" t="b">
        <v>0</v>
      </c>
      <c r="F155" s="87" t="b">
        <v>0</v>
      </c>
      <c r="G155" s="87" t="b">
        <v>0</v>
      </c>
    </row>
    <row r="156" spans="1:7" ht="15">
      <c r="A156" s="88" t="s">
        <v>1904</v>
      </c>
      <c r="B156" s="87">
        <v>4</v>
      </c>
      <c r="C156" s="110">
        <v>0.0018601202665469855</v>
      </c>
      <c r="D156" s="87" t="s">
        <v>2060</v>
      </c>
      <c r="E156" s="87" t="b">
        <v>0</v>
      </c>
      <c r="F156" s="87" t="b">
        <v>0</v>
      </c>
      <c r="G156" s="87" t="b">
        <v>0</v>
      </c>
    </row>
    <row r="157" spans="1:7" ht="15">
      <c r="A157" s="88" t="s">
        <v>1905</v>
      </c>
      <c r="B157" s="87">
        <v>4</v>
      </c>
      <c r="C157" s="110">
        <v>0.0018601202665469855</v>
      </c>
      <c r="D157" s="87" t="s">
        <v>2060</v>
      </c>
      <c r="E157" s="87" t="b">
        <v>0</v>
      </c>
      <c r="F157" s="87" t="b">
        <v>0</v>
      </c>
      <c r="G157" s="87" t="b">
        <v>0</v>
      </c>
    </row>
    <row r="158" spans="1:7" ht="15">
      <c r="A158" s="88" t="s">
        <v>283</v>
      </c>
      <c r="B158" s="87">
        <v>4</v>
      </c>
      <c r="C158" s="110">
        <v>0.0018601202665469855</v>
      </c>
      <c r="D158" s="87" t="s">
        <v>2060</v>
      </c>
      <c r="E158" s="87" t="b">
        <v>0</v>
      </c>
      <c r="F158" s="87" t="b">
        <v>0</v>
      </c>
      <c r="G158" s="87" t="b">
        <v>0</v>
      </c>
    </row>
    <row r="159" spans="1:7" ht="15">
      <c r="A159" s="88" t="s">
        <v>1906</v>
      </c>
      <c r="B159" s="87">
        <v>4</v>
      </c>
      <c r="C159" s="110">
        <v>0.0018601202665469855</v>
      </c>
      <c r="D159" s="87" t="s">
        <v>2060</v>
      </c>
      <c r="E159" s="87" t="b">
        <v>0</v>
      </c>
      <c r="F159" s="87" t="b">
        <v>0</v>
      </c>
      <c r="G159" s="87" t="b">
        <v>0</v>
      </c>
    </row>
    <row r="160" spans="1:7" ht="15">
      <c r="A160" s="88" t="s">
        <v>1481</v>
      </c>
      <c r="B160" s="87">
        <v>4</v>
      </c>
      <c r="C160" s="110">
        <v>0.0018601202665469855</v>
      </c>
      <c r="D160" s="87" t="s">
        <v>2060</v>
      </c>
      <c r="E160" s="87" t="b">
        <v>1</v>
      </c>
      <c r="F160" s="87" t="b">
        <v>0</v>
      </c>
      <c r="G160" s="87" t="b">
        <v>0</v>
      </c>
    </row>
    <row r="161" spans="1:7" ht="15">
      <c r="A161" s="88" t="s">
        <v>1907</v>
      </c>
      <c r="B161" s="87">
        <v>4</v>
      </c>
      <c r="C161" s="110">
        <v>0.0018601202665469855</v>
      </c>
      <c r="D161" s="87" t="s">
        <v>2060</v>
      </c>
      <c r="E161" s="87" t="b">
        <v>0</v>
      </c>
      <c r="F161" s="87" t="b">
        <v>0</v>
      </c>
      <c r="G161" s="87" t="b">
        <v>0</v>
      </c>
    </row>
    <row r="162" spans="1:7" ht="15">
      <c r="A162" s="88" t="s">
        <v>1908</v>
      </c>
      <c r="B162" s="87">
        <v>4</v>
      </c>
      <c r="C162" s="110">
        <v>0.0018601202665469855</v>
      </c>
      <c r="D162" s="87" t="s">
        <v>2060</v>
      </c>
      <c r="E162" s="87" t="b">
        <v>0</v>
      </c>
      <c r="F162" s="87" t="b">
        <v>0</v>
      </c>
      <c r="G162" s="87" t="b">
        <v>0</v>
      </c>
    </row>
    <row r="163" spans="1:7" ht="15">
      <c r="A163" s="88" t="s">
        <v>1909</v>
      </c>
      <c r="B163" s="87">
        <v>4</v>
      </c>
      <c r="C163" s="110">
        <v>0.0018601202665469855</v>
      </c>
      <c r="D163" s="87" t="s">
        <v>2060</v>
      </c>
      <c r="E163" s="87" t="b">
        <v>0</v>
      </c>
      <c r="F163" s="87" t="b">
        <v>0</v>
      </c>
      <c r="G163" s="87" t="b">
        <v>0</v>
      </c>
    </row>
    <row r="164" spans="1:7" ht="15">
      <c r="A164" s="88" t="s">
        <v>1910</v>
      </c>
      <c r="B164" s="87">
        <v>4</v>
      </c>
      <c r="C164" s="110">
        <v>0.0018601202665469855</v>
      </c>
      <c r="D164" s="87" t="s">
        <v>2060</v>
      </c>
      <c r="E164" s="87" t="b">
        <v>0</v>
      </c>
      <c r="F164" s="87" t="b">
        <v>0</v>
      </c>
      <c r="G164" s="87" t="b">
        <v>0</v>
      </c>
    </row>
    <row r="165" spans="1:7" ht="15">
      <c r="A165" s="88" t="s">
        <v>1911</v>
      </c>
      <c r="B165" s="87">
        <v>4</v>
      </c>
      <c r="C165" s="110">
        <v>0.0018601202665469855</v>
      </c>
      <c r="D165" s="87" t="s">
        <v>2060</v>
      </c>
      <c r="E165" s="87" t="b">
        <v>0</v>
      </c>
      <c r="F165" s="87" t="b">
        <v>0</v>
      </c>
      <c r="G165" s="87" t="b">
        <v>0</v>
      </c>
    </row>
    <row r="166" spans="1:7" ht="15">
      <c r="A166" s="88" t="s">
        <v>1912</v>
      </c>
      <c r="B166" s="87">
        <v>4</v>
      </c>
      <c r="C166" s="110">
        <v>0.0018601202665469855</v>
      </c>
      <c r="D166" s="87" t="s">
        <v>2060</v>
      </c>
      <c r="E166" s="87" t="b">
        <v>0</v>
      </c>
      <c r="F166" s="87" t="b">
        <v>0</v>
      </c>
      <c r="G166" s="87" t="b">
        <v>0</v>
      </c>
    </row>
    <row r="167" spans="1:7" ht="15">
      <c r="A167" s="88" t="s">
        <v>1913</v>
      </c>
      <c r="B167" s="87">
        <v>4</v>
      </c>
      <c r="C167" s="110">
        <v>0.0018601202665469855</v>
      </c>
      <c r="D167" s="87" t="s">
        <v>2060</v>
      </c>
      <c r="E167" s="87" t="b">
        <v>0</v>
      </c>
      <c r="F167" s="87" t="b">
        <v>0</v>
      </c>
      <c r="G167" s="87" t="b">
        <v>0</v>
      </c>
    </row>
    <row r="168" spans="1:7" ht="15">
      <c r="A168" s="88" t="s">
        <v>1914</v>
      </c>
      <c r="B168" s="87">
        <v>4</v>
      </c>
      <c r="C168" s="110">
        <v>0.0018601202665469855</v>
      </c>
      <c r="D168" s="87" t="s">
        <v>2060</v>
      </c>
      <c r="E168" s="87" t="b">
        <v>0</v>
      </c>
      <c r="F168" s="87" t="b">
        <v>0</v>
      </c>
      <c r="G168" s="87" t="b">
        <v>0</v>
      </c>
    </row>
    <row r="169" spans="1:7" ht="15">
      <c r="A169" s="88" t="s">
        <v>1915</v>
      </c>
      <c r="B169" s="87">
        <v>4</v>
      </c>
      <c r="C169" s="110">
        <v>0.0018601202665469855</v>
      </c>
      <c r="D169" s="87" t="s">
        <v>2060</v>
      </c>
      <c r="E169" s="87" t="b">
        <v>0</v>
      </c>
      <c r="F169" s="87" t="b">
        <v>0</v>
      </c>
      <c r="G169" s="87" t="b">
        <v>0</v>
      </c>
    </row>
    <row r="170" spans="1:7" ht="15">
      <c r="A170" s="88" t="s">
        <v>1916</v>
      </c>
      <c r="B170" s="87">
        <v>4</v>
      </c>
      <c r="C170" s="110">
        <v>0.0018601202665469855</v>
      </c>
      <c r="D170" s="87" t="s">
        <v>2060</v>
      </c>
      <c r="E170" s="87" t="b">
        <v>0</v>
      </c>
      <c r="F170" s="87" t="b">
        <v>0</v>
      </c>
      <c r="G170" s="87" t="b">
        <v>0</v>
      </c>
    </row>
    <row r="171" spans="1:7" ht="15">
      <c r="A171" s="88" t="s">
        <v>1917</v>
      </c>
      <c r="B171" s="87">
        <v>4</v>
      </c>
      <c r="C171" s="110">
        <v>0.0018601202665469855</v>
      </c>
      <c r="D171" s="87" t="s">
        <v>2060</v>
      </c>
      <c r="E171" s="87" t="b">
        <v>0</v>
      </c>
      <c r="F171" s="87" t="b">
        <v>0</v>
      </c>
      <c r="G171" s="87" t="b">
        <v>0</v>
      </c>
    </row>
    <row r="172" spans="1:7" ht="15">
      <c r="A172" s="88" t="s">
        <v>1515</v>
      </c>
      <c r="B172" s="87">
        <v>4</v>
      </c>
      <c r="C172" s="110">
        <v>0.0018601202665469855</v>
      </c>
      <c r="D172" s="87" t="s">
        <v>2060</v>
      </c>
      <c r="E172" s="87" t="b">
        <v>1</v>
      </c>
      <c r="F172" s="87" t="b">
        <v>0</v>
      </c>
      <c r="G172" s="87" t="b">
        <v>0</v>
      </c>
    </row>
    <row r="173" spans="1:7" ht="15">
      <c r="A173" s="88" t="s">
        <v>275</v>
      </c>
      <c r="B173" s="87">
        <v>4</v>
      </c>
      <c r="C173" s="110">
        <v>0.0018601202665469855</v>
      </c>
      <c r="D173" s="87" t="s">
        <v>2060</v>
      </c>
      <c r="E173" s="87" t="b">
        <v>0</v>
      </c>
      <c r="F173" s="87" t="b">
        <v>0</v>
      </c>
      <c r="G173" s="87" t="b">
        <v>0</v>
      </c>
    </row>
    <row r="174" spans="1:7" ht="15">
      <c r="A174" s="88" t="s">
        <v>1517</v>
      </c>
      <c r="B174" s="87">
        <v>4</v>
      </c>
      <c r="C174" s="110">
        <v>0.0018601202665469855</v>
      </c>
      <c r="D174" s="87" t="s">
        <v>2060</v>
      </c>
      <c r="E174" s="87" t="b">
        <v>0</v>
      </c>
      <c r="F174" s="87" t="b">
        <v>0</v>
      </c>
      <c r="G174" s="87" t="b">
        <v>0</v>
      </c>
    </row>
    <row r="175" spans="1:7" ht="15">
      <c r="A175" s="88" t="s">
        <v>1518</v>
      </c>
      <c r="B175" s="87">
        <v>4</v>
      </c>
      <c r="C175" s="110">
        <v>0.0018601202665469855</v>
      </c>
      <c r="D175" s="87" t="s">
        <v>2060</v>
      </c>
      <c r="E175" s="87" t="b">
        <v>0</v>
      </c>
      <c r="F175" s="87" t="b">
        <v>0</v>
      </c>
      <c r="G175" s="87" t="b">
        <v>0</v>
      </c>
    </row>
    <row r="176" spans="1:7" ht="15">
      <c r="A176" s="88" t="s">
        <v>310</v>
      </c>
      <c r="B176" s="87">
        <v>4</v>
      </c>
      <c r="C176" s="110">
        <v>0.0018601202665469855</v>
      </c>
      <c r="D176" s="87" t="s">
        <v>2060</v>
      </c>
      <c r="E176" s="87" t="b">
        <v>0</v>
      </c>
      <c r="F176" s="87" t="b">
        <v>0</v>
      </c>
      <c r="G176" s="87" t="b">
        <v>0</v>
      </c>
    </row>
    <row r="177" spans="1:7" ht="15">
      <c r="A177" s="88" t="s">
        <v>1918</v>
      </c>
      <c r="B177" s="87">
        <v>4</v>
      </c>
      <c r="C177" s="110">
        <v>0.0018601202665469855</v>
      </c>
      <c r="D177" s="87" t="s">
        <v>2060</v>
      </c>
      <c r="E177" s="87" t="b">
        <v>0</v>
      </c>
      <c r="F177" s="87" t="b">
        <v>0</v>
      </c>
      <c r="G177" s="87" t="b">
        <v>0</v>
      </c>
    </row>
    <row r="178" spans="1:7" ht="15">
      <c r="A178" s="88" t="s">
        <v>1919</v>
      </c>
      <c r="B178" s="87">
        <v>4</v>
      </c>
      <c r="C178" s="110">
        <v>0.0018601202665469855</v>
      </c>
      <c r="D178" s="87" t="s">
        <v>2060</v>
      </c>
      <c r="E178" s="87" t="b">
        <v>0</v>
      </c>
      <c r="F178" s="87" t="b">
        <v>0</v>
      </c>
      <c r="G178" s="87" t="b">
        <v>0</v>
      </c>
    </row>
    <row r="179" spans="1:7" ht="15">
      <c r="A179" s="88" t="s">
        <v>1920</v>
      </c>
      <c r="B179" s="87">
        <v>4</v>
      </c>
      <c r="C179" s="110">
        <v>0.0018601202665469855</v>
      </c>
      <c r="D179" s="87" t="s">
        <v>2060</v>
      </c>
      <c r="E179" s="87" t="b">
        <v>0</v>
      </c>
      <c r="F179" s="87" t="b">
        <v>0</v>
      </c>
      <c r="G179" s="87" t="b">
        <v>0</v>
      </c>
    </row>
    <row r="180" spans="1:7" ht="15">
      <c r="A180" s="88" t="s">
        <v>1491</v>
      </c>
      <c r="B180" s="87">
        <v>4</v>
      </c>
      <c r="C180" s="110">
        <v>0.0018601202665469855</v>
      </c>
      <c r="D180" s="87" t="s">
        <v>2060</v>
      </c>
      <c r="E180" s="87" t="b">
        <v>0</v>
      </c>
      <c r="F180" s="87" t="b">
        <v>0</v>
      </c>
      <c r="G180" s="87" t="b">
        <v>0</v>
      </c>
    </row>
    <row r="181" spans="1:7" ht="15">
      <c r="A181" s="88" t="s">
        <v>1492</v>
      </c>
      <c r="B181" s="87">
        <v>4</v>
      </c>
      <c r="C181" s="110">
        <v>0.0018601202665469855</v>
      </c>
      <c r="D181" s="87" t="s">
        <v>2060</v>
      </c>
      <c r="E181" s="87" t="b">
        <v>0</v>
      </c>
      <c r="F181" s="87" t="b">
        <v>0</v>
      </c>
      <c r="G181" s="87" t="b">
        <v>0</v>
      </c>
    </row>
    <row r="182" spans="1:7" ht="15">
      <c r="A182" s="88" t="s">
        <v>1494</v>
      </c>
      <c r="B182" s="87">
        <v>4</v>
      </c>
      <c r="C182" s="110">
        <v>0.0018601202665469855</v>
      </c>
      <c r="D182" s="87" t="s">
        <v>2060</v>
      </c>
      <c r="E182" s="87" t="b">
        <v>0</v>
      </c>
      <c r="F182" s="87" t="b">
        <v>0</v>
      </c>
      <c r="G182" s="87" t="b">
        <v>0</v>
      </c>
    </row>
    <row r="183" spans="1:7" ht="15">
      <c r="A183" s="88" t="s">
        <v>309</v>
      </c>
      <c r="B183" s="87">
        <v>4</v>
      </c>
      <c r="C183" s="110">
        <v>0.0018601202665469855</v>
      </c>
      <c r="D183" s="87" t="s">
        <v>2060</v>
      </c>
      <c r="E183" s="87" t="b">
        <v>0</v>
      </c>
      <c r="F183" s="87" t="b">
        <v>0</v>
      </c>
      <c r="G183" s="87" t="b">
        <v>0</v>
      </c>
    </row>
    <row r="184" spans="1:7" ht="15">
      <c r="A184" s="88" t="s">
        <v>1921</v>
      </c>
      <c r="B184" s="87">
        <v>4</v>
      </c>
      <c r="C184" s="110">
        <v>0.0018601202665469855</v>
      </c>
      <c r="D184" s="87" t="s">
        <v>2060</v>
      </c>
      <c r="E184" s="87" t="b">
        <v>0</v>
      </c>
      <c r="F184" s="87" t="b">
        <v>0</v>
      </c>
      <c r="G184" s="87" t="b">
        <v>0</v>
      </c>
    </row>
    <row r="185" spans="1:7" ht="15">
      <c r="A185" s="88" t="s">
        <v>308</v>
      </c>
      <c r="B185" s="87">
        <v>4</v>
      </c>
      <c r="C185" s="110">
        <v>0.0018601202665469855</v>
      </c>
      <c r="D185" s="87" t="s">
        <v>2060</v>
      </c>
      <c r="E185" s="87" t="b">
        <v>0</v>
      </c>
      <c r="F185" s="87" t="b">
        <v>0</v>
      </c>
      <c r="G185" s="87" t="b">
        <v>0</v>
      </c>
    </row>
    <row r="186" spans="1:7" ht="15">
      <c r="A186" s="88" t="s">
        <v>1922</v>
      </c>
      <c r="B186" s="87">
        <v>4</v>
      </c>
      <c r="C186" s="110">
        <v>0.0022152131543841797</v>
      </c>
      <c r="D186" s="87" t="s">
        <v>2060</v>
      </c>
      <c r="E186" s="87" t="b">
        <v>0</v>
      </c>
      <c r="F186" s="87" t="b">
        <v>0</v>
      </c>
      <c r="G186" s="87" t="b">
        <v>0</v>
      </c>
    </row>
    <row r="187" spans="1:7" ht="15">
      <c r="A187" s="88" t="s">
        <v>1923</v>
      </c>
      <c r="B187" s="87">
        <v>4</v>
      </c>
      <c r="C187" s="110">
        <v>0.0018601202665469855</v>
      </c>
      <c r="D187" s="87" t="s">
        <v>2060</v>
      </c>
      <c r="E187" s="87" t="b">
        <v>0</v>
      </c>
      <c r="F187" s="87" t="b">
        <v>0</v>
      </c>
      <c r="G187" s="87" t="b">
        <v>0</v>
      </c>
    </row>
    <row r="188" spans="1:7" ht="15">
      <c r="A188" s="88" t="s">
        <v>1924</v>
      </c>
      <c r="B188" s="87">
        <v>4</v>
      </c>
      <c r="C188" s="110">
        <v>0.0018601202665469855</v>
      </c>
      <c r="D188" s="87" t="s">
        <v>2060</v>
      </c>
      <c r="E188" s="87" t="b">
        <v>1</v>
      </c>
      <c r="F188" s="87" t="b">
        <v>0</v>
      </c>
      <c r="G188" s="87" t="b">
        <v>0</v>
      </c>
    </row>
    <row r="189" spans="1:7" ht="15">
      <c r="A189" s="88" t="s">
        <v>272</v>
      </c>
      <c r="B189" s="87">
        <v>4</v>
      </c>
      <c r="C189" s="110">
        <v>0.0018601202665469855</v>
      </c>
      <c r="D189" s="87" t="s">
        <v>2060</v>
      </c>
      <c r="E189" s="87" t="b">
        <v>0</v>
      </c>
      <c r="F189" s="87" t="b">
        <v>0</v>
      </c>
      <c r="G189" s="87" t="b">
        <v>0</v>
      </c>
    </row>
    <row r="190" spans="1:7" ht="15">
      <c r="A190" s="88" t="s">
        <v>273</v>
      </c>
      <c r="B190" s="87">
        <v>4</v>
      </c>
      <c r="C190" s="110">
        <v>0.0018601202665469855</v>
      </c>
      <c r="D190" s="87" t="s">
        <v>2060</v>
      </c>
      <c r="E190" s="87" t="b">
        <v>0</v>
      </c>
      <c r="F190" s="87" t="b">
        <v>0</v>
      </c>
      <c r="G190" s="87" t="b">
        <v>0</v>
      </c>
    </row>
    <row r="191" spans="1:7" ht="15">
      <c r="A191" s="88" t="s">
        <v>271</v>
      </c>
      <c r="B191" s="87">
        <v>3</v>
      </c>
      <c r="C191" s="110">
        <v>0.0015056228480449783</v>
      </c>
      <c r="D191" s="87" t="s">
        <v>2060</v>
      </c>
      <c r="E191" s="87" t="b">
        <v>0</v>
      </c>
      <c r="F191" s="87" t="b">
        <v>0</v>
      </c>
      <c r="G191" s="87" t="b">
        <v>0</v>
      </c>
    </row>
    <row r="192" spans="1:7" ht="15">
      <c r="A192" s="88" t="s">
        <v>1925</v>
      </c>
      <c r="B192" s="87">
        <v>3</v>
      </c>
      <c r="C192" s="110">
        <v>0.0015056228480449783</v>
      </c>
      <c r="D192" s="87" t="s">
        <v>2060</v>
      </c>
      <c r="E192" s="87" t="b">
        <v>0</v>
      </c>
      <c r="F192" s="87" t="b">
        <v>0</v>
      </c>
      <c r="G192" s="87" t="b">
        <v>0</v>
      </c>
    </row>
    <row r="193" spans="1:7" ht="15">
      <c r="A193" s="88" t="s">
        <v>1926</v>
      </c>
      <c r="B193" s="87">
        <v>3</v>
      </c>
      <c r="C193" s="110">
        <v>0.0015056228480449783</v>
      </c>
      <c r="D193" s="87" t="s">
        <v>2060</v>
      </c>
      <c r="E193" s="87" t="b">
        <v>0</v>
      </c>
      <c r="F193" s="87" t="b">
        <v>0</v>
      </c>
      <c r="G193" s="87" t="b">
        <v>0</v>
      </c>
    </row>
    <row r="194" spans="1:7" ht="15">
      <c r="A194" s="88" t="s">
        <v>1927</v>
      </c>
      <c r="B194" s="87">
        <v>3</v>
      </c>
      <c r="C194" s="110">
        <v>0.0015056228480449783</v>
      </c>
      <c r="D194" s="87" t="s">
        <v>2060</v>
      </c>
      <c r="E194" s="87" t="b">
        <v>0</v>
      </c>
      <c r="F194" s="87" t="b">
        <v>0</v>
      </c>
      <c r="G194" s="87" t="b">
        <v>0</v>
      </c>
    </row>
    <row r="195" spans="1:7" ht="15">
      <c r="A195" s="88" t="s">
        <v>264</v>
      </c>
      <c r="B195" s="87">
        <v>3</v>
      </c>
      <c r="C195" s="110">
        <v>0.0015056228480449783</v>
      </c>
      <c r="D195" s="87" t="s">
        <v>2060</v>
      </c>
      <c r="E195" s="87" t="b">
        <v>0</v>
      </c>
      <c r="F195" s="87" t="b">
        <v>0</v>
      </c>
      <c r="G195" s="87" t="b">
        <v>0</v>
      </c>
    </row>
    <row r="196" spans="1:7" ht="15">
      <c r="A196" s="88" t="s">
        <v>345</v>
      </c>
      <c r="B196" s="87">
        <v>3</v>
      </c>
      <c r="C196" s="110">
        <v>0.0015056228480449783</v>
      </c>
      <c r="D196" s="87" t="s">
        <v>2060</v>
      </c>
      <c r="E196" s="87" t="b">
        <v>0</v>
      </c>
      <c r="F196" s="87" t="b">
        <v>0</v>
      </c>
      <c r="G196" s="87" t="b">
        <v>0</v>
      </c>
    </row>
    <row r="197" spans="1:7" ht="15">
      <c r="A197" s="88" t="s">
        <v>1928</v>
      </c>
      <c r="B197" s="87">
        <v>3</v>
      </c>
      <c r="C197" s="110">
        <v>0.0015056228480449783</v>
      </c>
      <c r="D197" s="87" t="s">
        <v>2060</v>
      </c>
      <c r="E197" s="87" t="b">
        <v>1</v>
      </c>
      <c r="F197" s="87" t="b">
        <v>0</v>
      </c>
      <c r="G197" s="87" t="b">
        <v>0</v>
      </c>
    </row>
    <row r="198" spans="1:7" ht="15">
      <c r="A198" s="88" t="s">
        <v>1929</v>
      </c>
      <c r="B198" s="87">
        <v>3</v>
      </c>
      <c r="C198" s="110">
        <v>0.0015056228480449783</v>
      </c>
      <c r="D198" s="87" t="s">
        <v>2060</v>
      </c>
      <c r="E198" s="87" t="b">
        <v>0</v>
      </c>
      <c r="F198" s="87" t="b">
        <v>0</v>
      </c>
      <c r="G198" s="87" t="b">
        <v>0</v>
      </c>
    </row>
    <row r="199" spans="1:7" ht="15">
      <c r="A199" s="88" t="s">
        <v>1930</v>
      </c>
      <c r="B199" s="87">
        <v>3</v>
      </c>
      <c r="C199" s="110">
        <v>0.0015056228480449783</v>
      </c>
      <c r="D199" s="87" t="s">
        <v>2060</v>
      </c>
      <c r="E199" s="87" t="b">
        <v>0</v>
      </c>
      <c r="F199" s="87" t="b">
        <v>0</v>
      </c>
      <c r="G199" s="87" t="b">
        <v>0</v>
      </c>
    </row>
    <row r="200" spans="1:7" ht="15">
      <c r="A200" s="88" t="s">
        <v>294</v>
      </c>
      <c r="B200" s="87">
        <v>3</v>
      </c>
      <c r="C200" s="110">
        <v>0.0015056228480449783</v>
      </c>
      <c r="D200" s="87" t="s">
        <v>2060</v>
      </c>
      <c r="E200" s="87" t="b">
        <v>0</v>
      </c>
      <c r="F200" s="87" t="b">
        <v>0</v>
      </c>
      <c r="G200" s="87" t="b">
        <v>0</v>
      </c>
    </row>
    <row r="201" spans="1:7" ht="15">
      <c r="A201" s="88" t="s">
        <v>1931</v>
      </c>
      <c r="B201" s="87">
        <v>3</v>
      </c>
      <c r="C201" s="110">
        <v>0.0015056228480449783</v>
      </c>
      <c r="D201" s="87" t="s">
        <v>2060</v>
      </c>
      <c r="E201" s="87" t="b">
        <v>0</v>
      </c>
      <c r="F201" s="87" t="b">
        <v>0</v>
      </c>
      <c r="G201" s="87" t="b">
        <v>0</v>
      </c>
    </row>
    <row r="202" spans="1:7" ht="15">
      <c r="A202" s="88" t="s">
        <v>1932</v>
      </c>
      <c r="B202" s="87">
        <v>3</v>
      </c>
      <c r="C202" s="110">
        <v>0.0015056228480449783</v>
      </c>
      <c r="D202" s="87" t="s">
        <v>2060</v>
      </c>
      <c r="E202" s="87" t="b">
        <v>0</v>
      </c>
      <c r="F202" s="87" t="b">
        <v>0</v>
      </c>
      <c r="G202" s="87" t="b">
        <v>0</v>
      </c>
    </row>
    <row r="203" spans="1:7" ht="15">
      <c r="A203" s="88" t="s">
        <v>1933</v>
      </c>
      <c r="B203" s="87">
        <v>3</v>
      </c>
      <c r="C203" s="110">
        <v>0.0015056228480449783</v>
      </c>
      <c r="D203" s="87" t="s">
        <v>2060</v>
      </c>
      <c r="E203" s="87" t="b">
        <v>0</v>
      </c>
      <c r="F203" s="87" t="b">
        <v>0</v>
      </c>
      <c r="G203" s="87" t="b">
        <v>0</v>
      </c>
    </row>
    <row r="204" spans="1:7" ht="15">
      <c r="A204" s="88" t="s">
        <v>1934</v>
      </c>
      <c r="B204" s="87">
        <v>3</v>
      </c>
      <c r="C204" s="110">
        <v>0.0015056228480449783</v>
      </c>
      <c r="D204" s="87" t="s">
        <v>2060</v>
      </c>
      <c r="E204" s="87" t="b">
        <v>1</v>
      </c>
      <c r="F204" s="87" t="b">
        <v>0</v>
      </c>
      <c r="G204" s="87" t="b">
        <v>0</v>
      </c>
    </row>
    <row r="205" spans="1:7" ht="15">
      <c r="A205" s="88" t="s">
        <v>1935</v>
      </c>
      <c r="B205" s="87">
        <v>3</v>
      </c>
      <c r="C205" s="110">
        <v>0.0016614098657881345</v>
      </c>
      <c r="D205" s="87" t="s">
        <v>2060</v>
      </c>
      <c r="E205" s="87" t="b">
        <v>0</v>
      </c>
      <c r="F205" s="87" t="b">
        <v>0</v>
      </c>
      <c r="G205" s="87" t="b">
        <v>0</v>
      </c>
    </row>
    <row r="206" spans="1:7" ht="15">
      <c r="A206" s="88" t="s">
        <v>1936</v>
      </c>
      <c r="B206" s="87">
        <v>3</v>
      </c>
      <c r="C206" s="110">
        <v>0.0015056228480449783</v>
      </c>
      <c r="D206" s="87" t="s">
        <v>2060</v>
      </c>
      <c r="E206" s="87" t="b">
        <v>0</v>
      </c>
      <c r="F206" s="87" t="b">
        <v>0</v>
      </c>
      <c r="G206" s="87" t="b">
        <v>0</v>
      </c>
    </row>
    <row r="207" spans="1:7" ht="15">
      <c r="A207" s="88" t="s">
        <v>1937</v>
      </c>
      <c r="B207" s="87">
        <v>3</v>
      </c>
      <c r="C207" s="110">
        <v>0.0015056228480449783</v>
      </c>
      <c r="D207" s="87" t="s">
        <v>2060</v>
      </c>
      <c r="E207" s="87" t="b">
        <v>0</v>
      </c>
      <c r="F207" s="87" t="b">
        <v>0</v>
      </c>
      <c r="G207" s="87" t="b">
        <v>0</v>
      </c>
    </row>
    <row r="208" spans="1:7" ht="15">
      <c r="A208" s="88" t="s">
        <v>1938</v>
      </c>
      <c r="B208" s="87">
        <v>3</v>
      </c>
      <c r="C208" s="110">
        <v>0.0015056228480449783</v>
      </c>
      <c r="D208" s="87" t="s">
        <v>2060</v>
      </c>
      <c r="E208" s="87" t="b">
        <v>0</v>
      </c>
      <c r="F208" s="87" t="b">
        <v>0</v>
      </c>
      <c r="G208" s="87" t="b">
        <v>0</v>
      </c>
    </row>
    <row r="209" spans="1:7" ht="15">
      <c r="A209" s="88" t="s">
        <v>1939</v>
      </c>
      <c r="B209" s="87">
        <v>3</v>
      </c>
      <c r="C209" s="110">
        <v>0.0015056228480449783</v>
      </c>
      <c r="D209" s="87" t="s">
        <v>2060</v>
      </c>
      <c r="E209" s="87" t="b">
        <v>1</v>
      </c>
      <c r="F209" s="87" t="b">
        <v>0</v>
      </c>
      <c r="G209" s="87" t="b">
        <v>0</v>
      </c>
    </row>
    <row r="210" spans="1:7" ht="15">
      <c r="A210" s="88" t="s">
        <v>1940</v>
      </c>
      <c r="B210" s="87">
        <v>3</v>
      </c>
      <c r="C210" s="110">
        <v>0.0015056228480449783</v>
      </c>
      <c r="D210" s="87" t="s">
        <v>2060</v>
      </c>
      <c r="E210" s="87" t="b">
        <v>0</v>
      </c>
      <c r="F210" s="87" t="b">
        <v>1</v>
      </c>
      <c r="G210" s="87" t="b">
        <v>0</v>
      </c>
    </row>
    <row r="211" spans="1:7" ht="15">
      <c r="A211" s="88" t="s">
        <v>1941</v>
      </c>
      <c r="B211" s="87">
        <v>3</v>
      </c>
      <c r="C211" s="110">
        <v>0.0016614098657881345</v>
      </c>
      <c r="D211" s="87" t="s">
        <v>2060</v>
      </c>
      <c r="E211" s="87" t="b">
        <v>0</v>
      </c>
      <c r="F211" s="87" t="b">
        <v>0</v>
      </c>
      <c r="G211" s="87" t="b">
        <v>0</v>
      </c>
    </row>
    <row r="212" spans="1:7" ht="15">
      <c r="A212" s="88" t="s">
        <v>1942</v>
      </c>
      <c r="B212" s="87">
        <v>3</v>
      </c>
      <c r="C212" s="110">
        <v>0.0015056228480449783</v>
      </c>
      <c r="D212" s="87" t="s">
        <v>2060</v>
      </c>
      <c r="E212" s="87" t="b">
        <v>0</v>
      </c>
      <c r="F212" s="87" t="b">
        <v>0</v>
      </c>
      <c r="G212" s="87" t="b">
        <v>0</v>
      </c>
    </row>
    <row r="213" spans="1:7" ht="15">
      <c r="A213" s="88" t="s">
        <v>277</v>
      </c>
      <c r="B213" s="87">
        <v>3</v>
      </c>
      <c r="C213" s="110">
        <v>0.0015056228480449783</v>
      </c>
      <c r="D213" s="87" t="s">
        <v>2060</v>
      </c>
      <c r="E213" s="87" t="b">
        <v>0</v>
      </c>
      <c r="F213" s="87" t="b">
        <v>0</v>
      </c>
      <c r="G213" s="87" t="b">
        <v>0</v>
      </c>
    </row>
    <row r="214" spans="1:7" ht="15">
      <c r="A214" s="88" t="s">
        <v>1943</v>
      </c>
      <c r="B214" s="87">
        <v>3</v>
      </c>
      <c r="C214" s="110">
        <v>0.0015056228480449783</v>
      </c>
      <c r="D214" s="87" t="s">
        <v>2060</v>
      </c>
      <c r="E214" s="87" t="b">
        <v>0</v>
      </c>
      <c r="F214" s="87" t="b">
        <v>0</v>
      </c>
      <c r="G214" s="87" t="b">
        <v>0</v>
      </c>
    </row>
    <row r="215" spans="1:7" ht="15">
      <c r="A215" s="88" t="s">
        <v>1508</v>
      </c>
      <c r="B215" s="87">
        <v>3</v>
      </c>
      <c r="C215" s="110">
        <v>0.0015056228480449783</v>
      </c>
      <c r="D215" s="87" t="s">
        <v>2060</v>
      </c>
      <c r="E215" s="87" t="b">
        <v>0</v>
      </c>
      <c r="F215" s="87" t="b">
        <v>0</v>
      </c>
      <c r="G215" s="87" t="b">
        <v>0</v>
      </c>
    </row>
    <row r="216" spans="1:7" ht="15">
      <c r="A216" s="88" t="s">
        <v>1944</v>
      </c>
      <c r="B216" s="87">
        <v>3</v>
      </c>
      <c r="C216" s="110">
        <v>0.0015056228480449783</v>
      </c>
      <c r="D216" s="87" t="s">
        <v>2060</v>
      </c>
      <c r="E216" s="87" t="b">
        <v>0</v>
      </c>
      <c r="F216" s="87" t="b">
        <v>0</v>
      </c>
      <c r="G216" s="87" t="b">
        <v>0</v>
      </c>
    </row>
    <row r="217" spans="1:7" ht="15">
      <c r="A217" s="88" t="s">
        <v>1945</v>
      </c>
      <c r="B217" s="87">
        <v>3</v>
      </c>
      <c r="C217" s="110">
        <v>0.0015056228480449783</v>
      </c>
      <c r="D217" s="87" t="s">
        <v>2060</v>
      </c>
      <c r="E217" s="87" t="b">
        <v>0</v>
      </c>
      <c r="F217" s="87" t="b">
        <v>0</v>
      </c>
      <c r="G217" s="87" t="b">
        <v>0</v>
      </c>
    </row>
    <row r="218" spans="1:7" ht="15">
      <c r="A218" s="88" t="s">
        <v>1946</v>
      </c>
      <c r="B218" s="87">
        <v>3</v>
      </c>
      <c r="C218" s="110">
        <v>0.0015056228480449783</v>
      </c>
      <c r="D218" s="87" t="s">
        <v>2060</v>
      </c>
      <c r="E218" s="87" t="b">
        <v>0</v>
      </c>
      <c r="F218" s="87" t="b">
        <v>0</v>
      </c>
      <c r="G218" s="87" t="b">
        <v>0</v>
      </c>
    </row>
    <row r="219" spans="1:7" ht="15">
      <c r="A219" s="88" t="s">
        <v>1947</v>
      </c>
      <c r="B219" s="87">
        <v>3</v>
      </c>
      <c r="C219" s="110">
        <v>0.0015056228480449783</v>
      </c>
      <c r="D219" s="87" t="s">
        <v>2060</v>
      </c>
      <c r="E219" s="87" t="b">
        <v>0</v>
      </c>
      <c r="F219" s="87" t="b">
        <v>0</v>
      </c>
      <c r="G219" s="87" t="b">
        <v>0</v>
      </c>
    </row>
    <row r="220" spans="1:7" ht="15">
      <c r="A220" s="88" t="s">
        <v>288</v>
      </c>
      <c r="B220" s="87">
        <v>3</v>
      </c>
      <c r="C220" s="110">
        <v>0.0015056228480449783</v>
      </c>
      <c r="D220" s="87" t="s">
        <v>2060</v>
      </c>
      <c r="E220" s="87" t="b">
        <v>0</v>
      </c>
      <c r="F220" s="87" t="b">
        <v>0</v>
      </c>
      <c r="G220" s="87" t="b">
        <v>0</v>
      </c>
    </row>
    <row r="221" spans="1:7" ht="15">
      <c r="A221" s="88" t="s">
        <v>1480</v>
      </c>
      <c r="B221" s="87">
        <v>3</v>
      </c>
      <c r="C221" s="110">
        <v>0.0015056228480449783</v>
      </c>
      <c r="D221" s="87" t="s">
        <v>2060</v>
      </c>
      <c r="E221" s="87" t="b">
        <v>0</v>
      </c>
      <c r="F221" s="87" t="b">
        <v>0</v>
      </c>
      <c r="G221" s="87" t="b">
        <v>0</v>
      </c>
    </row>
    <row r="222" spans="1:7" ht="15">
      <c r="A222" s="88" t="s">
        <v>1485</v>
      </c>
      <c r="B222" s="87">
        <v>3</v>
      </c>
      <c r="C222" s="110">
        <v>0.0015056228480449783</v>
      </c>
      <c r="D222" s="87" t="s">
        <v>2060</v>
      </c>
      <c r="E222" s="87" t="b">
        <v>0</v>
      </c>
      <c r="F222" s="87" t="b">
        <v>0</v>
      </c>
      <c r="G222" s="87" t="b">
        <v>0</v>
      </c>
    </row>
    <row r="223" spans="1:7" ht="15">
      <c r="A223" s="88" t="s">
        <v>1486</v>
      </c>
      <c r="B223" s="87">
        <v>3</v>
      </c>
      <c r="C223" s="110">
        <v>0.0015056228480449783</v>
      </c>
      <c r="D223" s="87" t="s">
        <v>2060</v>
      </c>
      <c r="E223" s="87" t="b">
        <v>0</v>
      </c>
      <c r="F223" s="87" t="b">
        <v>0</v>
      </c>
      <c r="G223" s="87" t="b">
        <v>0</v>
      </c>
    </row>
    <row r="224" spans="1:7" ht="15">
      <c r="A224" s="88" t="s">
        <v>1487</v>
      </c>
      <c r="B224" s="87">
        <v>3</v>
      </c>
      <c r="C224" s="110">
        <v>0.0015056228480449783</v>
      </c>
      <c r="D224" s="87" t="s">
        <v>2060</v>
      </c>
      <c r="E224" s="87" t="b">
        <v>0</v>
      </c>
      <c r="F224" s="87" t="b">
        <v>0</v>
      </c>
      <c r="G224" s="87" t="b">
        <v>0</v>
      </c>
    </row>
    <row r="225" spans="1:7" ht="15">
      <c r="A225" s="88" t="s">
        <v>1948</v>
      </c>
      <c r="B225" s="87">
        <v>3</v>
      </c>
      <c r="C225" s="110">
        <v>0.0015056228480449783</v>
      </c>
      <c r="D225" s="87" t="s">
        <v>2060</v>
      </c>
      <c r="E225" s="87" t="b">
        <v>0</v>
      </c>
      <c r="F225" s="87" t="b">
        <v>0</v>
      </c>
      <c r="G225" s="87" t="b">
        <v>0</v>
      </c>
    </row>
    <row r="226" spans="1:7" ht="15">
      <c r="A226" s="88" t="s">
        <v>305</v>
      </c>
      <c r="B226" s="87">
        <v>3</v>
      </c>
      <c r="C226" s="110">
        <v>0.0015056228480449783</v>
      </c>
      <c r="D226" s="87" t="s">
        <v>2060</v>
      </c>
      <c r="E226" s="87" t="b">
        <v>0</v>
      </c>
      <c r="F226" s="87" t="b">
        <v>0</v>
      </c>
      <c r="G226" s="87" t="b">
        <v>0</v>
      </c>
    </row>
    <row r="227" spans="1:7" ht="15">
      <c r="A227" s="88" t="s">
        <v>1949</v>
      </c>
      <c r="B227" s="87">
        <v>3</v>
      </c>
      <c r="C227" s="110">
        <v>0.0015056228480449783</v>
      </c>
      <c r="D227" s="87" t="s">
        <v>2060</v>
      </c>
      <c r="E227" s="87" t="b">
        <v>0</v>
      </c>
      <c r="F227" s="87" t="b">
        <v>0</v>
      </c>
      <c r="G227" s="87" t="b">
        <v>0</v>
      </c>
    </row>
    <row r="228" spans="1:7" ht="15">
      <c r="A228" s="88" t="s">
        <v>1950</v>
      </c>
      <c r="B228" s="87">
        <v>3</v>
      </c>
      <c r="C228" s="110">
        <v>0.0015056228480449783</v>
      </c>
      <c r="D228" s="87" t="s">
        <v>2060</v>
      </c>
      <c r="E228" s="87" t="b">
        <v>0</v>
      </c>
      <c r="F228" s="87" t="b">
        <v>0</v>
      </c>
      <c r="G228" s="87" t="b">
        <v>0</v>
      </c>
    </row>
    <row r="229" spans="1:7" ht="15">
      <c r="A229" s="88" t="s">
        <v>1951</v>
      </c>
      <c r="B229" s="87">
        <v>3</v>
      </c>
      <c r="C229" s="110">
        <v>0.0015056228480449783</v>
      </c>
      <c r="D229" s="87" t="s">
        <v>2060</v>
      </c>
      <c r="E229" s="87" t="b">
        <v>0</v>
      </c>
      <c r="F229" s="87" t="b">
        <v>0</v>
      </c>
      <c r="G229" s="87" t="b">
        <v>0</v>
      </c>
    </row>
    <row r="230" spans="1:7" ht="15">
      <c r="A230" s="88" t="s">
        <v>1952</v>
      </c>
      <c r="B230" s="87">
        <v>3</v>
      </c>
      <c r="C230" s="110">
        <v>0.0015056228480449783</v>
      </c>
      <c r="D230" s="87" t="s">
        <v>2060</v>
      </c>
      <c r="E230" s="87" t="b">
        <v>0</v>
      </c>
      <c r="F230" s="87" t="b">
        <v>0</v>
      </c>
      <c r="G230" s="87" t="b">
        <v>0</v>
      </c>
    </row>
    <row r="231" spans="1:7" ht="15">
      <c r="A231" s="88" t="s">
        <v>1953</v>
      </c>
      <c r="B231" s="87">
        <v>3</v>
      </c>
      <c r="C231" s="110">
        <v>0.0015056228480449783</v>
      </c>
      <c r="D231" s="87" t="s">
        <v>2060</v>
      </c>
      <c r="E231" s="87" t="b">
        <v>0</v>
      </c>
      <c r="F231" s="87" t="b">
        <v>0</v>
      </c>
      <c r="G231" s="87" t="b">
        <v>0</v>
      </c>
    </row>
    <row r="232" spans="1:7" ht="15">
      <c r="A232" s="88" t="s">
        <v>1954</v>
      </c>
      <c r="B232" s="87">
        <v>3</v>
      </c>
      <c r="C232" s="110">
        <v>0.0015056228480449783</v>
      </c>
      <c r="D232" s="87" t="s">
        <v>2060</v>
      </c>
      <c r="E232" s="87" t="b">
        <v>1</v>
      </c>
      <c r="F232" s="87" t="b">
        <v>0</v>
      </c>
      <c r="G232" s="87" t="b">
        <v>0</v>
      </c>
    </row>
    <row r="233" spans="1:7" ht="15">
      <c r="A233" s="88" t="s">
        <v>1955</v>
      </c>
      <c r="B233" s="87">
        <v>3</v>
      </c>
      <c r="C233" s="110">
        <v>0.0015056228480449783</v>
      </c>
      <c r="D233" s="87" t="s">
        <v>2060</v>
      </c>
      <c r="E233" s="87" t="b">
        <v>0</v>
      </c>
      <c r="F233" s="87" t="b">
        <v>1</v>
      </c>
      <c r="G233" s="87" t="b">
        <v>0</v>
      </c>
    </row>
    <row r="234" spans="1:7" ht="15">
      <c r="A234" s="88" t="s">
        <v>1956</v>
      </c>
      <c r="B234" s="87">
        <v>3</v>
      </c>
      <c r="C234" s="110">
        <v>0.0015056228480449783</v>
      </c>
      <c r="D234" s="87" t="s">
        <v>2060</v>
      </c>
      <c r="E234" s="87" t="b">
        <v>0</v>
      </c>
      <c r="F234" s="87" t="b">
        <v>0</v>
      </c>
      <c r="G234" s="87" t="b">
        <v>0</v>
      </c>
    </row>
    <row r="235" spans="1:7" ht="15">
      <c r="A235" s="88" t="s">
        <v>1957</v>
      </c>
      <c r="B235" s="87">
        <v>3</v>
      </c>
      <c r="C235" s="110">
        <v>0.0015056228480449783</v>
      </c>
      <c r="D235" s="87" t="s">
        <v>2060</v>
      </c>
      <c r="E235" s="87" t="b">
        <v>0</v>
      </c>
      <c r="F235" s="87" t="b">
        <v>0</v>
      </c>
      <c r="G235" s="87" t="b">
        <v>0</v>
      </c>
    </row>
    <row r="236" spans="1:7" ht="15">
      <c r="A236" s="88" t="s">
        <v>1958</v>
      </c>
      <c r="B236" s="87">
        <v>2</v>
      </c>
      <c r="C236" s="110">
        <v>0.0011076065771920898</v>
      </c>
      <c r="D236" s="87" t="s">
        <v>2060</v>
      </c>
      <c r="E236" s="87" t="b">
        <v>0</v>
      </c>
      <c r="F236" s="87" t="b">
        <v>0</v>
      </c>
      <c r="G236" s="87" t="b">
        <v>0</v>
      </c>
    </row>
    <row r="237" spans="1:7" ht="15">
      <c r="A237" s="88" t="s">
        <v>350</v>
      </c>
      <c r="B237" s="87">
        <v>2</v>
      </c>
      <c r="C237" s="110">
        <v>0.0011076065771920898</v>
      </c>
      <c r="D237" s="87" t="s">
        <v>2060</v>
      </c>
      <c r="E237" s="87" t="b">
        <v>0</v>
      </c>
      <c r="F237" s="87" t="b">
        <v>0</v>
      </c>
      <c r="G237" s="87" t="b">
        <v>0</v>
      </c>
    </row>
    <row r="238" spans="1:7" ht="15">
      <c r="A238" s="88" t="s">
        <v>1959</v>
      </c>
      <c r="B238" s="87">
        <v>2</v>
      </c>
      <c r="C238" s="110">
        <v>0.0011076065771920898</v>
      </c>
      <c r="D238" s="87" t="s">
        <v>2060</v>
      </c>
      <c r="E238" s="87" t="b">
        <v>0</v>
      </c>
      <c r="F238" s="87" t="b">
        <v>0</v>
      </c>
      <c r="G238" s="87" t="b">
        <v>0</v>
      </c>
    </row>
    <row r="239" spans="1:7" ht="15">
      <c r="A239" s="88" t="s">
        <v>1960</v>
      </c>
      <c r="B239" s="87">
        <v>2</v>
      </c>
      <c r="C239" s="110">
        <v>0.0011076065771920898</v>
      </c>
      <c r="D239" s="87" t="s">
        <v>2060</v>
      </c>
      <c r="E239" s="87" t="b">
        <v>0</v>
      </c>
      <c r="F239" s="87" t="b">
        <v>0</v>
      </c>
      <c r="G239" s="87" t="b">
        <v>0</v>
      </c>
    </row>
    <row r="240" spans="1:7" ht="15">
      <c r="A240" s="88" t="s">
        <v>1961</v>
      </c>
      <c r="B240" s="87">
        <v>2</v>
      </c>
      <c r="C240" s="110">
        <v>0.0012851530211106868</v>
      </c>
      <c r="D240" s="87" t="s">
        <v>2060</v>
      </c>
      <c r="E240" s="87" t="b">
        <v>0</v>
      </c>
      <c r="F240" s="87" t="b">
        <v>0</v>
      </c>
      <c r="G240" s="87" t="b">
        <v>0</v>
      </c>
    </row>
    <row r="241" spans="1:7" ht="15">
      <c r="A241" s="88" t="s">
        <v>1962</v>
      </c>
      <c r="B241" s="87">
        <v>2</v>
      </c>
      <c r="C241" s="110">
        <v>0.0011076065771920898</v>
      </c>
      <c r="D241" s="87" t="s">
        <v>2060</v>
      </c>
      <c r="E241" s="87" t="b">
        <v>0</v>
      </c>
      <c r="F241" s="87" t="b">
        <v>0</v>
      </c>
      <c r="G241" s="87" t="b">
        <v>0</v>
      </c>
    </row>
    <row r="242" spans="1:7" ht="15">
      <c r="A242" s="88" t="s">
        <v>1963</v>
      </c>
      <c r="B242" s="87">
        <v>2</v>
      </c>
      <c r="C242" s="110">
        <v>0.0011076065771920898</v>
      </c>
      <c r="D242" s="87" t="s">
        <v>2060</v>
      </c>
      <c r="E242" s="87" t="b">
        <v>0</v>
      </c>
      <c r="F242" s="87" t="b">
        <v>0</v>
      </c>
      <c r="G242" s="87" t="b">
        <v>0</v>
      </c>
    </row>
    <row r="243" spans="1:7" ht="15">
      <c r="A243" s="88" t="s">
        <v>1964</v>
      </c>
      <c r="B243" s="87">
        <v>2</v>
      </c>
      <c r="C243" s="110">
        <v>0.0011076065771920898</v>
      </c>
      <c r="D243" s="87" t="s">
        <v>2060</v>
      </c>
      <c r="E243" s="87" t="b">
        <v>0</v>
      </c>
      <c r="F243" s="87" t="b">
        <v>0</v>
      </c>
      <c r="G243" s="87" t="b">
        <v>0</v>
      </c>
    </row>
    <row r="244" spans="1:7" ht="15">
      <c r="A244" s="88" t="s">
        <v>1965</v>
      </c>
      <c r="B244" s="87">
        <v>2</v>
      </c>
      <c r="C244" s="110">
        <v>0.0011076065771920898</v>
      </c>
      <c r="D244" s="87" t="s">
        <v>2060</v>
      </c>
      <c r="E244" s="87" t="b">
        <v>0</v>
      </c>
      <c r="F244" s="87" t="b">
        <v>0</v>
      </c>
      <c r="G244" s="87" t="b">
        <v>0</v>
      </c>
    </row>
    <row r="245" spans="1:7" ht="15">
      <c r="A245" s="88" t="s">
        <v>1966</v>
      </c>
      <c r="B245" s="87">
        <v>2</v>
      </c>
      <c r="C245" s="110">
        <v>0.0011076065771920898</v>
      </c>
      <c r="D245" s="87" t="s">
        <v>2060</v>
      </c>
      <c r="E245" s="87" t="b">
        <v>0</v>
      </c>
      <c r="F245" s="87" t="b">
        <v>0</v>
      </c>
      <c r="G245" s="87" t="b">
        <v>0</v>
      </c>
    </row>
    <row r="246" spans="1:7" ht="15">
      <c r="A246" s="88" t="s">
        <v>1967</v>
      </c>
      <c r="B246" s="87">
        <v>2</v>
      </c>
      <c r="C246" s="110">
        <v>0.0011076065771920898</v>
      </c>
      <c r="D246" s="87" t="s">
        <v>2060</v>
      </c>
      <c r="E246" s="87" t="b">
        <v>0</v>
      </c>
      <c r="F246" s="87" t="b">
        <v>0</v>
      </c>
      <c r="G246" s="87" t="b">
        <v>0</v>
      </c>
    </row>
    <row r="247" spans="1:7" ht="15">
      <c r="A247" s="88" t="s">
        <v>1968</v>
      </c>
      <c r="B247" s="87">
        <v>2</v>
      </c>
      <c r="C247" s="110">
        <v>0.0011076065771920898</v>
      </c>
      <c r="D247" s="87" t="s">
        <v>2060</v>
      </c>
      <c r="E247" s="87" t="b">
        <v>0</v>
      </c>
      <c r="F247" s="87" t="b">
        <v>0</v>
      </c>
      <c r="G247" s="87" t="b">
        <v>0</v>
      </c>
    </row>
    <row r="248" spans="1:7" ht="15">
      <c r="A248" s="88" t="s">
        <v>1969</v>
      </c>
      <c r="B248" s="87">
        <v>2</v>
      </c>
      <c r="C248" s="110">
        <v>0.0011076065771920898</v>
      </c>
      <c r="D248" s="87" t="s">
        <v>2060</v>
      </c>
      <c r="E248" s="87" t="b">
        <v>0</v>
      </c>
      <c r="F248" s="87" t="b">
        <v>0</v>
      </c>
      <c r="G248" s="87" t="b">
        <v>0</v>
      </c>
    </row>
    <row r="249" spans="1:7" ht="15">
      <c r="A249" s="88" t="s">
        <v>1970</v>
      </c>
      <c r="B249" s="87">
        <v>2</v>
      </c>
      <c r="C249" s="110">
        <v>0.0011076065771920898</v>
      </c>
      <c r="D249" s="87" t="s">
        <v>2060</v>
      </c>
      <c r="E249" s="87" t="b">
        <v>0</v>
      </c>
      <c r="F249" s="87" t="b">
        <v>0</v>
      </c>
      <c r="G249" s="87" t="b">
        <v>0</v>
      </c>
    </row>
    <row r="250" spans="1:7" ht="15">
      <c r="A250" s="88" t="s">
        <v>1971</v>
      </c>
      <c r="B250" s="87">
        <v>2</v>
      </c>
      <c r="C250" s="110">
        <v>0.0011076065771920898</v>
      </c>
      <c r="D250" s="87" t="s">
        <v>2060</v>
      </c>
      <c r="E250" s="87" t="b">
        <v>0</v>
      </c>
      <c r="F250" s="87" t="b">
        <v>0</v>
      </c>
      <c r="G250" s="87" t="b">
        <v>0</v>
      </c>
    </row>
    <row r="251" spans="1:7" ht="15">
      <c r="A251" s="88" t="s">
        <v>1972</v>
      </c>
      <c r="B251" s="87">
        <v>2</v>
      </c>
      <c r="C251" s="110">
        <v>0.0011076065771920898</v>
      </c>
      <c r="D251" s="87" t="s">
        <v>2060</v>
      </c>
      <c r="E251" s="87" t="b">
        <v>1</v>
      </c>
      <c r="F251" s="87" t="b">
        <v>0</v>
      </c>
      <c r="G251" s="87" t="b">
        <v>0</v>
      </c>
    </row>
    <row r="252" spans="1:7" ht="15">
      <c r="A252" s="88" t="s">
        <v>1973</v>
      </c>
      <c r="B252" s="87">
        <v>2</v>
      </c>
      <c r="C252" s="110">
        <v>0.0011076065771920898</v>
      </c>
      <c r="D252" s="87" t="s">
        <v>2060</v>
      </c>
      <c r="E252" s="87" t="b">
        <v>0</v>
      </c>
      <c r="F252" s="87" t="b">
        <v>0</v>
      </c>
      <c r="G252" s="87" t="b">
        <v>0</v>
      </c>
    </row>
    <row r="253" spans="1:7" ht="15">
      <c r="A253" s="88" t="s">
        <v>349</v>
      </c>
      <c r="B253" s="87">
        <v>2</v>
      </c>
      <c r="C253" s="110">
        <v>0.0011076065771920898</v>
      </c>
      <c r="D253" s="87" t="s">
        <v>2060</v>
      </c>
      <c r="E253" s="87" t="b">
        <v>0</v>
      </c>
      <c r="F253" s="87" t="b">
        <v>0</v>
      </c>
      <c r="G253" s="87" t="b">
        <v>0</v>
      </c>
    </row>
    <row r="254" spans="1:7" ht="15">
      <c r="A254" s="88" t="s">
        <v>348</v>
      </c>
      <c r="B254" s="87">
        <v>2</v>
      </c>
      <c r="C254" s="110">
        <v>0.0011076065771920898</v>
      </c>
      <c r="D254" s="87" t="s">
        <v>2060</v>
      </c>
      <c r="E254" s="87" t="b">
        <v>0</v>
      </c>
      <c r="F254" s="87" t="b">
        <v>0</v>
      </c>
      <c r="G254" s="87" t="b">
        <v>0</v>
      </c>
    </row>
    <row r="255" spans="1:7" ht="15">
      <c r="A255" s="88" t="s">
        <v>347</v>
      </c>
      <c r="B255" s="87">
        <v>2</v>
      </c>
      <c r="C255" s="110">
        <v>0.0011076065771920898</v>
      </c>
      <c r="D255" s="87" t="s">
        <v>2060</v>
      </c>
      <c r="E255" s="87" t="b">
        <v>0</v>
      </c>
      <c r="F255" s="87" t="b">
        <v>0</v>
      </c>
      <c r="G255" s="87" t="b">
        <v>0</v>
      </c>
    </row>
    <row r="256" spans="1:7" ht="15">
      <c r="A256" s="88" t="s">
        <v>344</v>
      </c>
      <c r="B256" s="87">
        <v>2</v>
      </c>
      <c r="C256" s="110">
        <v>0.0011076065771920898</v>
      </c>
      <c r="D256" s="87" t="s">
        <v>2060</v>
      </c>
      <c r="E256" s="87" t="b">
        <v>0</v>
      </c>
      <c r="F256" s="87" t="b">
        <v>0</v>
      </c>
      <c r="G256" s="87" t="b">
        <v>0</v>
      </c>
    </row>
    <row r="257" spans="1:7" ht="15">
      <c r="A257" s="88" t="s">
        <v>1974</v>
      </c>
      <c r="B257" s="87">
        <v>2</v>
      </c>
      <c r="C257" s="110">
        <v>0.0011076065771920898</v>
      </c>
      <c r="D257" s="87" t="s">
        <v>2060</v>
      </c>
      <c r="E257" s="87" t="b">
        <v>0</v>
      </c>
      <c r="F257" s="87" t="b">
        <v>0</v>
      </c>
      <c r="G257" s="87" t="b">
        <v>0</v>
      </c>
    </row>
    <row r="258" spans="1:7" ht="15">
      <c r="A258" s="88" t="s">
        <v>343</v>
      </c>
      <c r="B258" s="87">
        <v>2</v>
      </c>
      <c r="C258" s="110">
        <v>0.0011076065771920898</v>
      </c>
      <c r="D258" s="87" t="s">
        <v>2060</v>
      </c>
      <c r="E258" s="87" t="b">
        <v>0</v>
      </c>
      <c r="F258" s="87" t="b">
        <v>0</v>
      </c>
      <c r="G258" s="87" t="b">
        <v>0</v>
      </c>
    </row>
    <row r="259" spans="1:7" ht="15">
      <c r="A259" s="88" t="s">
        <v>1975</v>
      </c>
      <c r="B259" s="87">
        <v>2</v>
      </c>
      <c r="C259" s="110">
        <v>0.0011076065771920898</v>
      </c>
      <c r="D259" s="87" t="s">
        <v>2060</v>
      </c>
      <c r="E259" s="87" t="b">
        <v>0</v>
      </c>
      <c r="F259" s="87" t="b">
        <v>0</v>
      </c>
      <c r="G259" s="87" t="b">
        <v>0</v>
      </c>
    </row>
    <row r="260" spans="1:7" ht="15">
      <c r="A260" s="88" t="s">
        <v>1976</v>
      </c>
      <c r="B260" s="87">
        <v>2</v>
      </c>
      <c r="C260" s="110">
        <v>0.0011076065771920898</v>
      </c>
      <c r="D260" s="87" t="s">
        <v>2060</v>
      </c>
      <c r="E260" s="87" t="b">
        <v>0</v>
      </c>
      <c r="F260" s="87" t="b">
        <v>0</v>
      </c>
      <c r="G260" s="87" t="b">
        <v>0</v>
      </c>
    </row>
    <row r="261" spans="1:7" ht="15">
      <c r="A261" s="88" t="s">
        <v>334</v>
      </c>
      <c r="B261" s="87">
        <v>2</v>
      </c>
      <c r="C261" s="110">
        <v>0.0011076065771920898</v>
      </c>
      <c r="D261" s="87" t="s">
        <v>2060</v>
      </c>
      <c r="E261" s="87" t="b">
        <v>0</v>
      </c>
      <c r="F261" s="87" t="b">
        <v>0</v>
      </c>
      <c r="G261" s="87" t="b">
        <v>0</v>
      </c>
    </row>
    <row r="262" spans="1:7" ht="15">
      <c r="A262" s="88" t="s">
        <v>1977</v>
      </c>
      <c r="B262" s="87">
        <v>2</v>
      </c>
      <c r="C262" s="110">
        <v>0.0012851530211106868</v>
      </c>
      <c r="D262" s="87" t="s">
        <v>2060</v>
      </c>
      <c r="E262" s="87" t="b">
        <v>0</v>
      </c>
      <c r="F262" s="87" t="b">
        <v>0</v>
      </c>
      <c r="G262" s="87" t="b">
        <v>0</v>
      </c>
    </row>
    <row r="263" spans="1:7" ht="15">
      <c r="A263" s="88" t="s">
        <v>1978</v>
      </c>
      <c r="B263" s="87">
        <v>2</v>
      </c>
      <c r="C263" s="110">
        <v>0.0011076065771920898</v>
      </c>
      <c r="D263" s="87" t="s">
        <v>2060</v>
      </c>
      <c r="E263" s="87" t="b">
        <v>0</v>
      </c>
      <c r="F263" s="87" t="b">
        <v>0</v>
      </c>
      <c r="G263" s="87" t="b">
        <v>0</v>
      </c>
    </row>
    <row r="264" spans="1:7" ht="15">
      <c r="A264" s="88" t="s">
        <v>1979</v>
      </c>
      <c r="B264" s="87">
        <v>2</v>
      </c>
      <c r="C264" s="110">
        <v>0.0011076065771920898</v>
      </c>
      <c r="D264" s="87" t="s">
        <v>2060</v>
      </c>
      <c r="E264" s="87" t="b">
        <v>0</v>
      </c>
      <c r="F264" s="87" t="b">
        <v>0</v>
      </c>
      <c r="G264" s="87" t="b">
        <v>0</v>
      </c>
    </row>
    <row r="265" spans="1:7" ht="15">
      <c r="A265" s="88" t="s">
        <v>1980</v>
      </c>
      <c r="B265" s="87">
        <v>2</v>
      </c>
      <c r="C265" s="110">
        <v>0.0011076065771920898</v>
      </c>
      <c r="D265" s="87" t="s">
        <v>2060</v>
      </c>
      <c r="E265" s="87" t="b">
        <v>0</v>
      </c>
      <c r="F265" s="87" t="b">
        <v>0</v>
      </c>
      <c r="G265" s="87" t="b">
        <v>0</v>
      </c>
    </row>
    <row r="266" spans="1:7" ht="15">
      <c r="A266" s="88" t="s">
        <v>1981</v>
      </c>
      <c r="B266" s="87">
        <v>2</v>
      </c>
      <c r="C266" s="110">
        <v>0.0011076065771920898</v>
      </c>
      <c r="D266" s="87" t="s">
        <v>2060</v>
      </c>
      <c r="E266" s="87" t="b">
        <v>0</v>
      </c>
      <c r="F266" s="87" t="b">
        <v>0</v>
      </c>
      <c r="G266" s="87" t="b">
        <v>0</v>
      </c>
    </row>
    <row r="267" spans="1:7" ht="15">
      <c r="A267" s="88" t="s">
        <v>1982</v>
      </c>
      <c r="B267" s="87">
        <v>2</v>
      </c>
      <c r="C267" s="110">
        <v>0.0011076065771920898</v>
      </c>
      <c r="D267" s="87" t="s">
        <v>2060</v>
      </c>
      <c r="E267" s="87" t="b">
        <v>0</v>
      </c>
      <c r="F267" s="87" t="b">
        <v>0</v>
      </c>
      <c r="G267" s="87" t="b">
        <v>0</v>
      </c>
    </row>
    <row r="268" spans="1:7" ht="15">
      <c r="A268" s="88" t="s">
        <v>1983</v>
      </c>
      <c r="B268" s="87">
        <v>2</v>
      </c>
      <c r="C268" s="110">
        <v>0.0011076065771920898</v>
      </c>
      <c r="D268" s="87" t="s">
        <v>2060</v>
      </c>
      <c r="E268" s="87" t="b">
        <v>0</v>
      </c>
      <c r="F268" s="87" t="b">
        <v>0</v>
      </c>
      <c r="G268" s="87" t="b">
        <v>0</v>
      </c>
    </row>
    <row r="269" spans="1:7" ht="15">
      <c r="A269" s="88" t="s">
        <v>1984</v>
      </c>
      <c r="B269" s="87">
        <v>2</v>
      </c>
      <c r="C269" s="110">
        <v>0.0011076065771920898</v>
      </c>
      <c r="D269" s="87" t="s">
        <v>2060</v>
      </c>
      <c r="E269" s="87" t="b">
        <v>0</v>
      </c>
      <c r="F269" s="87" t="b">
        <v>0</v>
      </c>
      <c r="G269" s="87" t="b">
        <v>0</v>
      </c>
    </row>
    <row r="270" spans="1:7" ht="15">
      <c r="A270" s="88" t="s">
        <v>1985</v>
      </c>
      <c r="B270" s="87">
        <v>2</v>
      </c>
      <c r="C270" s="110">
        <v>0.0011076065771920898</v>
      </c>
      <c r="D270" s="87" t="s">
        <v>2060</v>
      </c>
      <c r="E270" s="87" t="b">
        <v>0</v>
      </c>
      <c r="F270" s="87" t="b">
        <v>0</v>
      </c>
      <c r="G270" s="87" t="b">
        <v>0</v>
      </c>
    </row>
    <row r="271" spans="1:7" ht="15">
      <c r="A271" s="88" t="s">
        <v>1986</v>
      </c>
      <c r="B271" s="87">
        <v>2</v>
      </c>
      <c r="C271" s="110">
        <v>0.0011076065771920898</v>
      </c>
      <c r="D271" s="87" t="s">
        <v>2060</v>
      </c>
      <c r="E271" s="87" t="b">
        <v>0</v>
      </c>
      <c r="F271" s="87" t="b">
        <v>0</v>
      </c>
      <c r="G271" s="87" t="b">
        <v>0</v>
      </c>
    </row>
    <row r="272" spans="1:7" ht="15">
      <c r="A272" s="88" t="s">
        <v>1987</v>
      </c>
      <c r="B272" s="87">
        <v>2</v>
      </c>
      <c r="C272" s="110">
        <v>0.0011076065771920898</v>
      </c>
      <c r="D272" s="87" t="s">
        <v>2060</v>
      </c>
      <c r="E272" s="87" t="b">
        <v>0</v>
      </c>
      <c r="F272" s="87" t="b">
        <v>0</v>
      </c>
      <c r="G272" s="87" t="b">
        <v>0</v>
      </c>
    </row>
    <row r="273" spans="1:7" ht="15">
      <c r="A273" s="88" t="s">
        <v>1988</v>
      </c>
      <c r="B273" s="87">
        <v>2</v>
      </c>
      <c r="C273" s="110">
        <v>0.0011076065771920898</v>
      </c>
      <c r="D273" s="87" t="s">
        <v>2060</v>
      </c>
      <c r="E273" s="87" t="b">
        <v>0</v>
      </c>
      <c r="F273" s="87" t="b">
        <v>0</v>
      </c>
      <c r="G273" s="87" t="b">
        <v>0</v>
      </c>
    </row>
    <row r="274" spans="1:7" ht="15">
      <c r="A274" s="88" t="s">
        <v>286</v>
      </c>
      <c r="B274" s="87">
        <v>2</v>
      </c>
      <c r="C274" s="110">
        <v>0.0011076065771920898</v>
      </c>
      <c r="D274" s="87" t="s">
        <v>2060</v>
      </c>
      <c r="E274" s="87" t="b">
        <v>0</v>
      </c>
      <c r="F274" s="87" t="b">
        <v>0</v>
      </c>
      <c r="G274" s="87" t="b">
        <v>0</v>
      </c>
    </row>
    <row r="275" spans="1:7" ht="15">
      <c r="A275" s="88" t="s">
        <v>1989</v>
      </c>
      <c r="B275" s="87">
        <v>2</v>
      </c>
      <c r="C275" s="110">
        <v>0.0011076065771920898</v>
      </c>
      <c r="D275" s="87" t="s">
        <v>2060</v>
      </c>
      <c r="E275" s="87" t="b">
        <v>0</v>
      </c>
      <c r="F275" s="87" t="b">
        <v>0</v>
      </c>
      <c r="G275" s="87" t="b">
        <v>0</v>
      </c>
    </row>
    <row r="276" spans="1:7" ht="15">
      <c r="A276" s="88" t="s">
        <v>1990</v>
      </c>
      <c r="B276" s="87">
        <v>2</v>
      </c>
      <c r="C276" s="110">
        <v>0.0012851530211106868</v>
      </c>
      <c r="D276" s="87" t="s">
        <v>2060</v>
      </c>
      <c r="E276" s="87" t="b">
        <v>0</v>
      </c>
      <c r="F276" s="87" t="b">
        <v>0</v>
      </c>
      <c r="G276" s="87" t="b">
        <v>0</v>
      </c>
    </row>
    <row r="277" spans="1:7" ht="15">
      <c r="A277" s="88" t="s">
        <v>1991</v>
      </c>
      <c r="B277" s="87">
        <v>2</v>
      </c>
      <c r="C277" s="110">
        <v>0.0011076065771920898</v>
      </c>
      <c r="D277" s="87" t="s">
        <v>2060</v>
      </c>
      <c r="E277" s="87" t="b">
        <v>0</v>
      </c>
      <c r="F277" s="87" t="b">
        <v>0</v>
      </c>
      <c r="G277" s="87" t="b">
        <v>0</v>
      </c>
    </row>
    <row r="278" spans="1:7" ht="15">
      <c r="A278" s="88" t="s">
        <v>1992</v>
      </c>
      <c r="B278" s="87">
        <v>2</v>
      </c>
      <c r="C278" s="110">
        <v>0.0011076065771920898</v>
      </c>
      <c r="D278" s="87" t="s">
        <v>2060</v>
      </c>
      <c r="E278" s="87" t="b">
        <v>0</v>
      </c>
      <c r="F278" s="87" t="b">
        <v>0</v>
      </c>
      <c r="G278" s="87" t="b">
        <v>0</v>
      </c>
    </row>
    <row r="279" spans="1:7" ht="15">
      <c r="A279" s="88" t="s">
        <v>1993</v>
      </c>
      <c r="B279" s="87">
        <v>2</v>
      </c>
      <c r="C279" s="110">
        <v>0.0011076065771920898</v>
      </c>
      <c r="D279" s="87" t="s">
        <v>2060</v>
      </c>
      <c r="E279" s="87" t="b">
        <v>0</v>
      </c>
      <c r="F279" s="87" t="b">
        <v>0</v>
      </c>
      <c r="G279" s="87" t="b">
        <v>0</v>
      </c>
    </row>
    <row r="280" spans="1:7" ht="15">
      <c r="A280" s="88" t="s">
        <v>1994</v>
      </c>
      <c r="B280" s="87">
        <v>2</v>
      </c>
      <c r="C280" s="110">
        <v>0.0011076065771920898</v>
      </c>
      <c r="D280" s="87" t="s">
        <v>2060</v>
      </c>
      <c r="E280" s="87" t="b">
        <v>0</v>
      </c>
      <c r="F280" s="87" t="b">
        <v>0</v>
      </c>
      <c r="G280" s="87" t="b">
        <v>0</v>
      </c>
    </row>
    <row r="281" spans="1:7" ht="15">
      <c r="A281" s="88" t="s">
        <v>1995</v>
      </c>
      <c r="B281" s="87">
        <v>2</v>
      </c>
      <c r="C281" s="110">
        <v>0.0011076065771920898</v>
      </c>
      <c r="D281" s="87" t="s">
        <v>2060</v>
      </c>
      <c r="E281" s="87" t="b">
        <v>0</v>
      </c>
      <c r="F281" s="87" t="b">
        <v>0</v>
      </c>
      <c r="G281" s="87" t="b">
        <v>0</v>
      </c>
    </row>
    <row r="282" spans="1:7" ht="15">
      <c r="A282" s="88" t="s">
        <v>330</v>
      </c>
      <c r="B282" s="87">
        <v>2</v>
      </c>
      <c r="C282" s="110">
        <v>0.0011076065771920898</v>
      </c>
      <c r="D282" s="87" t="s">
        <v>2060</v>
      </c>
      <c r="E282" s="87" t="b">
        <v>0</v>
      </c>
      <c r="F282" s="87" t="b">
        <v>0</v>
      </c>
      <c r="G282" s="87" t="b">
        <v>0</v>
      </c>
    </row>
    <row r="283" spans="1:7" ht="15">
      <c r="A283" s="88" t="s">
        <v>1996</v>
      </c>
      <c r="B283" s="87">
        <v>2</v>
      </c>
      <c r="C283" s="110">
        <v>0.0011076065771920898</v>
      </c>
      <c r="D283" s="87" t="s">
        <v>2060</v>
      </c>
      <c r="E283" s="87" t="b">
        <v>1</v>
      </c>
      <c r="F283" s="87" t="b">
        <v>0</v>
      </c>
      <c r="G283" s="87" t="b">
        <v>0</v>
      </c>
    </row>
    <row r="284" spans="1:7" ht="15">
      <c r="A284" s="88" t="s">
        <v>1997</v>
      </c>
      <c r="B284" s="87">
        <v>2</v>
      </c>
      <c r="C284" s="110">
        <v>0.0011076065771920898</v>
      </c>
      <c r="D284" s="87" t="s">
        <v>2060</v>
      </c>
      <c r="E284" s="87" t="b">
        <v>0</v>
      </c>
      <c r="F284" s="87" t="b">
        <v>0</v>
      </c>
      <c r="G284" s="87" t="b">
        <v>0</v>
      </c>
    </row>
    <row r="285" spans="1:7" ht="15">
      <c r="A285" s="88" t="s">
        <v>1998</v>
      </c>
      <c r="B285" s="87">
        <v>2</v>
      </c>
      <c r="C285" s="110">
        <v>0.0011076065771920898</v>
      </c>
      <c r="D285" s="87" t="s">
        <v>2060</v>
      </c>
      <c r="E285" s="87" t="b">
        <v>0</v>
      </c>
      <c r="F285" s="87" t="b">
        <v>0</v>
      </c>
      <c r="G285" s="87" t="b">
        <v>0</v>
      </c>
    </row>
    <row r="286" spans="1:7" ht="15">
      <c r="A286" s="88" t="s">
        <v>282</v>
      </c>
      <c r="B286" s="87">
        <v>2</v>
      </c>
      <c r="C286" s="110">
        <v>0.0011076065771920898</v>
      </c>
      <c r="D286" s="87" t="s">
        <v>2060</v>
      </c>
      <c r="E286" s="87" t="b">
        <v>0</v>
      </c>
      <c r="F286" s="87" t="b">
        <v>0</v>
      </c>
      <c r="G286" s="87" t="b">
        <v>0</v>
      </c>
    </row>
    <row r="287" spans="1:7" ht="15">
      <c r="A287" s="88" t="s">
        <v>1999</v>
      </c>
      <c r="B287" s="87">
        <v>2</v>
      </c>
      <c r="C287" s="110">
        <v>0.0011076065771920898</v>
      </c>
      <c r="D287" s="87" t="s">
        <v>2060</v>
      </c>
      <c r="E287" s="87" t="b">
        <v>0</v>
      </c>
      <c r="F287" s="87" t="b">
        <v>0</v>
      </c>
      <c r="G287" s="87" t="b">
        <v>0</v>
      </c>
    </row>
    <row r="288" spans="1:7" ht="15">
      <c r="A288" s="88" t="s">
        <v>2000</v>
      </c>
      <c r="B288" s="87">
        <v>2</v>
      </c>
      <c r="C288" s="110">
        <v>0.0011076065771920898</v>
      </c>
      <c r="D288" s="87" t="s">
        <v>2060</v>
      </c>
      <c r="E288" s="87" t="b">
        <v>0</v>
      </c>
      <c r="F288" s="87" t="b">
        <v>0</v>
      </c>
      <c r="G288" s="87" t="b">
        <v>0</v>
      </c>
    </row>
    <row r="289" spans="1:7" ht="15">
      <c r="A289" s="88" t="s">
        <v>2001</v>
      </c>
      <c r="B289" s="87">
        <v>2</v>
      </c>
      <c r="C289" s="110">
        <v>0.0011076065771920898</v>
      </c>
      <c r="D289" s="87" t="s">
        <v>2060</v>
      </c>
      <c r="E289" s="87" t="b">
        <v>0</v>
      </c>
      <c r="F289" s="87" t="b">
        <v>0</v>
      </c>
      <c r="G289" s="87" t="b">
        <v>0</v>
      </c>
    </row>
    <row r="290" spans="1:7" ht="15">
      <c r="A290" s="88" t="s">
        <v>2002</v>
      </c>
      <c r="B290" s="87">
        <v>2</v>
      </c>
      <c r="C290" s="110">
        <v>0.0011076065771920898</v>
      </c>
      <c r="D290" s="87" t="s">
        <v>2060</v>
      </c>
      <c r="E290" s="87" t="b">
        <v>0</v>
      </c>
      <c r="F290" s="87" t="b">
        <v>0</v>
      </c>
      <c r="G290" s="87" t="b">
        <v>0</v>
      </c>
    </row>
    <row r="291" spans="1:7" ht="15">
      <c r="A291" s="88" t="s">
        <v>2003</v>
      </c>
      <c r="B291" s="87">
        <v>2</v>
      </c>
      <c r="C291" s="110">
        <v>0.0011076065771920898</v>
      </c>
      <c r="D291" s="87" t="s">
        <v>2060</v>
      </c>
      <c r="E291" s="87" t="b">
        <v>0</v>
      </c>
      <c r="F291" s="87" t="b">
        <v>0</v>
      </c>
      <c r="G291" s="87" t="b">
        <v>0</v>
      </c>
    </row>
    <row r="292" spans="1:7" ht="15">
      <c r="A292" s="88" t="s">
        <v>2004</v>
      </c>
      <c r="B292" s="87">
        <v>2</v>
      </c>
      <c r="C292" s="110">
        <v>0.0011076065771920898</v>
      </c>
      <c r="D292" s="87" t="s">
        <v>2060</v>
      </c>
      <c r="E292" s="87" t="b">
        <v>0</v>
      </c>
      <c r="F292" s="87" t="b">
        <v>0</v>
      </c>
      <c r="G292" s="87" t="b">
        <v>0</v>
      </c>
    </row>
    <row r="293" spans="1:7" ht="15">
      <c r="A293" s="88" t="s">
        <v>2005</v>
      </c>
      <c r="B293" s="87">
        <v>2</v>
      </c>
      <c r="C293" s="110">
        <v>0.0011076065771920898</v>
      </c>
      <c r="D293" s="87" t="s">
        <v>2060</v>
      </c>
      <c r="E293" s="87" t="b">
        <v>0</v>
      </c>
      <c r="F293" s="87" t="b">
        <v>0</v>
      </c>
      <c r="G293" s="87" t="b">
        <v>0</v>
      </c>
    </row>
    <row r="294" spans="1:7" ht="15">
      <c r="A294" s="88" t="s">
        <v>2006</v>
      </c>
      <c r="B294" s="87">
        <v>2</v>
      </c>
      <c r="C294" s="110">
        <v>0.0011076065771920898</v>
      </c>
      <c r="D294" s="87" t="s">
        <v>2060</v>
      </c>
      <c r="E294" s="87" t="b">
        <v>0</v>
      </c>
      <c r="F294" s="87" t="b">
        <v>0</v>
      </c>
      <c r="G294" s="87" t="b">
        <v>0</v>
      </c>
    </row>
    <row r="295" spans="1:7" ht="15">
      <c r="A295" s="88" t="s">
        <v>2007</v>
      </c>
      <c r="B295" s="87">
        <v>2</v>
      </c>
      <c r="C295" s="110">
        <v>0.0011076065771920898</v>
      </c>
      <c r="D295" s="87" t="s">
        <v>2060</v>
      </c>
      <c r="E295" s="87" t="b">
        <v>0</v>
      </c>
      <c r="F295" s="87" t="b">
        <v>0</v>
      </c>
      <c r="G295" s="87" t="b">
        <v>0</v>
      </c>
    </row>
    <row r="296" spans="1:7" ht="15">
      <c r="A296" s="88" t="s">
        <v>2008</v>
      </c>
      <c r="B296" s="87">
        <v>2</v>
      </c>
      <c r="C296" s="110">
        <v>0.0011076065771920898</v>
      </c>
      <c r="D296" s="87" t="s">
        <v>2060</v>
      </c>
      <c r="E296" s="87" t="b">
        <v>0</v>
      </c>
      <c r="F296" s="87" t="b">
        <v>0</v>
      </c>
      <c r="G296" s="87" t="b">
        <v>0</v>
      </c>
    </row>
    <row r="297" spans="1:7" ht="15">
      <c r="A297" s="88" t="s">
        <v>2009</v>
      </c>
      <c r="B297" s="87">
        <v>2</v>
      </c>
      <c r="C297" s="110">
        <v>0.0011076065771920898</v>
      </c>
      <c r="D297" s="87" t="s">
        <v>2060</v>
      </c>
      <c r="E297" s="87" t="b">
        <v>0</v>
      </c>
      <c r="F297" s="87" t="b">
        <v>0</v>
      </c>
      <c r="G297" s="87" t="b">
        <v>0</v>
      </c>
    </row>
    <row r="298" spans="1:7" ht="15">
      <c r="A298" s="88" t="s">
        <v>2010</v>
      </c>
      <c r="B298" s="87">
        <v>2</v>
      </c>
      <c r="C298" s="110">
        <v>0.0011076065771920898</v>
      </c>
      <c r="D298" s="87" t="s">
        <v>2060</v>
      </c>
      <c r="E298" s="87" t="b">
        <v>0</v>
      </c>
      <c r="F298" s="87" t="b">
        <v>0</v>
      </c>
      <c r="G298" s="87" t="b">
        <v>0</v>
      </c>
    </row>
    <row r="299" spans="1:7" ht="15">
      <c r="A299" s="88" t="s">
        <v>2011</v>
      </c>
      <c r="B299" s="87">
        <v>2</v>
      </c>
      <c r="C299" s="110">
        <v>0.0012851530211106868</v>
      </c>
      <c r="D299" s="87" t="s">
        <v>2060</v>
      </c>
      <c r="E299" s="87" t="b">
        <v>0</v>
      </c>
      <c r="F299" s="87" t="b">
        <v>0</v>
      </c>
      <c r="G299" s="87" t="b">
        <v>0</v>
      </c>
    </row>
    <row r="300" spans="1:7" ht="15">
      <c r="A300" s="88" t="s">
        <v>2012</v>
      </c>
      <c r="B300" s="87">
        <v>2</v>
      </c>
      <c r="C300" s="110">
        <v>0.0012851530211106868</v>
      </c>
      <c r="D300" s="87" t="s">
        <v>2060</v>
      </c>
      <c r="E300" s="87" t="b">
        <v>0</v>
      </c>
      <c r="F300" s="87" t="b">
        <v>0</v>
      </c>
      <c r="G300" s="87" t="b">
        <v>0</v>
      </c>
    </row>
    <row r="301" spans="1:7" ht="15">
      <c r="A301" s="88" t="s">
        <v>2013</v>
      </c>
      <c r="B301" s="87">
        <v>2</v>
      </c>
      <c r="C301" s="110">
        <v>0.0011076065771920898</v>
      </c>
      <c r="D301" s="87" t="s">
        <v>2060</v>
      </c>
      <c r="E301" s="87" t="b">
        <v>0</v>
      </c>
      <c r="F301" s="87" t="b">
        <v>0</v>
      </c>
      <c r="G301" s="87" t="b">
        <v>0</v>
      </c>
    </row>
    <row r="302" spans="1:7" ht="15">
      <c r="A302" s="88" t="s">
        <v>2014</v>
      </c>
      <c r="B302" s="87">
        <v>2</v>
      </c>
      <c r="C302" s="110">
        <v>0.0011076065771920898</v>
      </c>
      <c r="D302" s="87" t="s">
        <v>2060</v>
      </c>
      <c r="E302" s="87" t="b">
        <v>0</v>
      </c>
      <c r="F302" s="87" t="b">
        <v>0</v>
      </c>
      <c r="G302" s="87" t="b">
        <v>0</v>
      </c>
    </row>
    <row r="303" spans="1:7" ht="15">
      <c r="A303" s="88" t="s">
        <v>2015</v>
      </c>
      <c r="B303" s="87">
        <v>2</v>
      </c>
      <c r="C303" s="110">
        <v>0.0011076065771920898</v>
      </c>
      <c r="D303" s="87" t="s">
        <v>2060</v>
      </c>
      <c r="E303" s="87" t="b">
        <v>0</v>
      </c>
      <c r="F303" s="87" t="b">
        <v>0</v>
      </c>
      <c r="G303" s="87" t="b">
        <v>0</v>
      </c>
    </row>
    <row r="304" spans="1:7" ht="15">
      <c r="A304" s="88" t="s">
        <v>2016</v>
      </c>
      <c r="B304" s="87">
        <v>2</v>
      </c>
      <c r="C304" s="110">
        <v>0.0011076065771920898</v>
      </c>
      <c r="D304" s="87" t="s">
        <v>2060</v>
      </c>
      <c r="E304" s="87" t="b">
        <v>0</v>
      </c>
      <c r="F304" s="87" t="b">
        <v>0</v>
      </c>
      <c r="G304" s="87" t="b">
        <v>0</v>
      </c>
    </row>
    <row r="305" spans="1:7" ht="15">
      <c r="A305" s="88" t="s">
        <v>2017</v>
      </c>
      <c r="B305" s="87">
        <v>2</v>
      </c>
      <c r="C305" s="110">
        <v>0.0011076065771920898</v>
      </c>
      <c r="D305" s="87" t="s">
        <v>2060</v>
      </c>
      <c r="E305" s="87" t="b">
        <v>0</v>
      </c>
      <c r="F305" s="87" t="b">
        <v>0</v>
      </c>
      <c r="G305" s="87" t="b">
        <v>0</v>
      </c>
    </row>
    <row r="306" spans="1:7" ht="15">
      <c r="A306" s="88" t="s">
        <v>2018</v>
      </c>
      <c r="B306" s="87">
        <v>2</v>
      </c>
      <c r="C306" s="110">
        <v>0.0011076065771920898</v>
      </c>
      <c r="D306" s="87" t="s">
        <v>2060</v>
      </c>
      <c r="E306" s="87" t="b">
        <v>0</v>
      </c>
      <c r="F306" s="87" t="b">
        <v>0</v>
      </c>
      <c r="G306" s="87" t="b">
        <v>0</v>
      </c>
    </row>
    <row r="307" spans="1:7" ht="15">
      <c r="A307" s="88" t="s">
        <v>2019</v>
      </c>
      <c r="B307" s="87">
        <v>2</v>
      </c>
      <c r="C307" s="110">
        <v>0.0011076065771920898</v>
      </c>
      <c r="D307" s="87" t="s">
        <v>2060</v>
      </c>
      <c r="E307" s="87" t="b">
        <v>0</v>
      </c>
      <c r="F307" s="87" t="b">
        <v>0</v>
      </c>
      <c r="G307" s="87" t="b">
        <v>0</v>
      </c>
    </row>
    <row r="308" spans="1:7" ht="15">
      <c r="A308" s="88" t="s">
        <v>2020</v>
      </c>
      <c r="B308" s="87">
        <v>2</v>
      </c>
      <c r="C308" s="110">
        <v>0.0011076065771920898</v>
      </c>
      <c r="D308" s="87" t="s">
        <v>2060</v>
      </c>
      <c r="E308" s="87" t="b">
        <v>0</v>
      </c>
      <c r="F308" s="87" t="b">
        <v>0</v>
      </c>
      <c r="G308" s="87" t="b">
        <v>0</v>
      </c>
    </row>
    <row r="309" spans="1:7" ht="15">
      <c r="A309" s="88" t="s">
        <v>2021</v>
      </c>
      <c r="B309" s="87">
        <v>2</v>
      </c>
      <c r="C309" s="110">
        <v>0.0011076065771920898</v>
      </c>
      <c r="D309" s="87" t="s">
        <v>2060</v>
      </c>
      <c r="E309" s="87" t="b">
        <v>0</v>
      </c>
      <c r="F309" s="87" t="b">
        <v>0</v>
      </c>
      <c r="G309" s="87" t="b">
        <v>0</v>
      </c>
    </row>
    <row r="310" spans="1:7" ht="15">
      <c r="A310" s="88" t="s">
        <v>2022</v>
      </c>
      <c r="B310" s="87">
        <v>2</v>
      </c>
      <c r="C310" s="110">
        <v>0.0011076065771920898</v>
      </c>
      <c r="D310" s="87" t="s">
        <v>2060</v>
      </c>
      <c r="E310" s="87" t="b">
        <v>0</v>
      </c>
      <c r="F310" s="87" t="b">
        <v>0</v>
      </c>
      <c r="G310" s="87" t="b">
        <v>0</v>
      </c>
    </row>
    <row r="311" spans="1:7" ht="15">
      <c r="A311" s="88" t="s">
        <v>280</v>
      </c>
      <c r="B311" s="87">
        <v>2</v>
      </c>
      <c r="C311" s="110">
        <v>0.0011076065771920898</v>
      </c>
      <c r="D311" s="87" t="s">
        <v>2060</v>
      </c>
      <c r="E311" s="87" t="b">
        <v>0</v>
      </c>
      <c r="F311" s="87" t="b">
        <v>0</v>
      </c>
      <c r="G311" s="87" t="b">
        <v>0</v>
      </c>
    </row>
    <row r="312" spans="1:7" ht="15">
      <c r="A312" s="88" t="s">
        <v>2023</v>
      </c>
      <c r="B312" s="87">
        <v>2</v>
      </c>
      <c r="C312" s="110">
        <v>0.0011076065771920898</v>
      </c>
      <c r="D312" s="87" t="s">
        <v>2060</v>
      </c>
      <c r="E312" s="87" t="b">
        <v>0</v>
      </c>
      <c r="F312" s="87" t="b">
        <v>0</v>
      </c>
      <c r="G312" s="87" t="b">
        <v>0</v>
      </c>
    </row>
    <row r="313" spans="1:7" ht="15">
      <c r="A313" s="88" t="s">
        <v>2024</v>
      </c>
      <c r="B313" s="87">
        <v>2</v>
      </c>
      <c r="C313" s="110">
        <v>0.0011076065771920898</v>
      </c>
      <c r="D313" s="87" t="s">
        <v>2060</v>
      </c>
      <c r="E313" s="87" t="b">
        <v>0</v>
      </c>
      <c r="F313" s="87" t="b">
        <v>0</v>
      </c>
      <c r="G313" s="87" t="b">
        <v>0</v>
      </c>
    </row>
    <row r="314" spans="1:7" ht="15">
      <c r="A314" s="88" t="s">
        <v>2025</v>
      </c>
      <c r="B314" s="87">
        <v>2</v>
      </c>
      <c r="C314" s="110">
        <v>0.0011076065771920898</v>
      </c>
      <c r="D314" s="87" t="s">
        <v>2060</v>
      </c>
      <c r="E314" s="87" t="b">
        <v>0</v>
      </c>
      <c r="F314" s="87" t="b">
        <v>0</v>
      </c>
      <c r="G314" s="87" t="b">
        <v>0</v>
      </c>
    </row>
    <row r="315" spans="1:7" ht="15">
      <c r="A315" s="88" t="s">
        <v>244</v>
      </c>
      <c r="B315" s="87">
        <v>2</v>
      </c>
      <c r="C315" s="110">
        <v>0.0011076065771920898</v>
      </c>
      <c r="D315" s="87" t="s">
        <v>2060</v>
      </c>
      <c r="E315" s="87" t="b">
        <v>0</v>
      </c>
      <c r="F315" s="87" t="b">
        <v>0</v>
      </c>
      <c r="G315" s="87" t="b">
        <v>0</v>
      </c>
    </row>
    <row r="316" spans="1:7" ht="15">
      <c r="A316" s="88" t="s">
        <v>278</v>
      </c>
      <c r="B316" s="87">
        <v>2</v>
      </c>
      <c r="C316" s="110">
        <v>0.0011076065771920898</v>
      </c>
      <c r="D316" s="87" t="s">
        <v>2060</v>
      </c>
      <c r="E316" s="87" t="b">
        <v>0</v>
      </c>
      <c r="F316" s="87" t="b">
        <v>0</v>
      </c>
      <c r="G316" s="87" t="b">
        <v>0</v>
      </c>
    </row>
    <row r="317" spans="1:7" ht="15">
      <c r="A317" s="88" t="s">
        <v>2026</v>
      </c>
      <c r="B317" s="87">
        <v>2</v>
      </c>
      <c r="C317" s="110">
        <v>0.0011076065771920898</v>
      </c>
      <c r="D317" s="87" t="s">
        <v>2060</v>
      </c>
      <c r="E317" s="87" t="b">
        <v>0</v>
      </c>
      <c r="F317" s="87" t="b">
        <v>0</v>
      </c>
      <c r="G317" s="87" t="b">
        <v>0</v>
      </c>
    </row>
    <row r="318" spans="1:7" ht="15">
      <c r="A318" s="88" t="s">
        <v>2027</v>
      </c>
      <c r="B318" s="87">
        <v>2</v>
      </c>
      <c r="C318" s="110">
        <v>0.0011076065771920898</v>
      </c>
      <c r="D318" s="87" t="s">
        <v>2060</v>
      </c>
      <c r="E318" s="87" t="b">
        <v>0</v>
      </c>
      <c r="F318" s="87" t="b">
        <v>0</v>
      </c>
      <c r="G318" s="87" t="b">
        <v>0</v>
      </c>
    </row>
    <row r="319" spans="1:7" ht="15">
      <c r="A319" s="88" t="s">
        <v>2028</v>
      </c>
      <c r="B319" s="87">
        <v>2</v>
      </c>
      <c r="C319" s="110">
        <v>0.0011076065771920898</v>
      </c>
      <c r="D319" s="87" t="s">
        <v>2060</v>
      </c>
      <c r="E319" s="87" t="b">
        <v>0</v>
      </c>
      <c r="F319" s="87" t="b">
        <v>0</v>
      </c>
      <c r="G319" s="87" t="b">
        <v>0</v>
      </c>
    </row>
    <row r="320" spans="1:7" ht="15">
      <c r="A320" s="88" t="s">
        <v>2029</v>
      </c>
      <c r="B320" s="87">
        <v>2</v>
      </c>
      <c r="C320" s="110">
        <v>0.0011076065771920898</v>
      </c>
      <c r="D320" s="87" t="s">
        <v>2060</v>
      </c>
      <c r="E320" s="87" t="b">
        <v>0</v>
      </c>
      <c r="F320" s="87" t="b">
        <v>0</v>
      </c>
      <c r="G320" s="87" t="b">
        <v>0</v>
      </c>
    </row>
    <row r="321" spans="1:7" ht="15">
      <c r="A321" s="88" t="s">
        <v>276</v>
      </c>
      <c r="B321" s="87">
        <v>2</v>
      </c>
      <c r="C321" s="110">
        <v>0.0011076065771920898</v>
      </c>
      <c r="D321" s="87" t="s">
        <v>2060</v>
      </c>
      <c r="E321" s="87" t="b">
        <v>0</v>
      </c>
      <c r="F321" s="87" t="b">
        <v>0</v>
      </c>
      <c r="G321" s="87" t="b">
        <v>0</v>
      </c>
    </row>
    <row r="322" spans="1:7" ht="15">
      <c r="A322" s="88" t="s">
        <v>316</v>
      </c>
      <c r="B322" s="87">
        <v>2</v>
      </c>
      <c r="C322" s="110">
        <v>0.0011076065771920898</v>
      </c>
      <c r="D322" s="87" t="s">
        <v>2060</v>
      </c>
      <c r="E322" s="87" t="b">
        <v>0</v>
      </c>
      <c r="F322" s="87" t="b">
        <v>0</v>
      </c>
      <c r="G322" s="87" t="b">
        <v>0</v>
      </c>
    </row>
    <row r="323" spans="1:7" ht="15">
      <c r="A323" s="88" t="s">
        <v>2030</v>
      </c>
      <c r="B323" s="87">
        <v>2</v>
      </c>
      <c r="C323" s="110">
        <v>0.0011076065771920898</v>
      </c>
      <c r="D323" s="87" t="s">
        <v>2060</v>
      </c>
      <c r="E323" s="87" t="b">
        <v>0</v>
      </c>
      <c r="F323" s="87" t="b">
        <v>0</v>
      </c>
      <c r="G323" s="87" t="b">
        <v>0</v>
      </c>
    </row>
    <row r="324" spans="1:7" ht="15">
      <c r="A324" s="88" t="s">
        <v>2031</v>
      </c>
      <c r="B324" s="87">
        <v>2</v>
      </c>
      <c r="C324" s="110">
        <v>0.0011076065771920898</v>
      </c>
      <c r="D324" s="87" t="s">
        <v>2060</v>
      </c>
      <c r="E324" s="87" t="b">
        <v>0</v>
      </c>
      <c r="F324" s="87" t="b">
        <v>0</v>
      </c>
      <c r="G324" s="87" t="b">
        <v>0</v>
      </c>
    </row>
    <row r="325" spans="1:7" ht="15">
      <c r="A325" s="88" t="s">
        <v>2032</v>
      </c>
      <c r="B325" s="87">
        <v>2</v>
      </c>
      <c r="C325" s="110">
        <v>0.0011076065771920898</v>
      </c>
      <c r="D325" s="87" t="s">
        <v>2060</v>
      </c>
      <c r="E325" s="87" t="b">
        <v>0</v>
      </c>
      <c r="F325" s="87" t="b">
        <v>0</v>
      </c>
      <c r="G325" s="87" t="b">
        <v>0</v>
      </c>
    </row>
    <row r="326" spans="1:7" ht="15">
      <c r="A326" s="88" t="s">
        <v>2033</v>
      </c>
      <c r="B326" s="87">
        <v>2</v>
      </c>
      <c r="C326" s="110">
        <v>0.0011076065771920898</v>
      </c>
      <c r="D326" s="87" t="s">
        <v>2060</v>
      </c>
      <c r="E326" s="87" t="b">
        <v>0</v>
      </c>
      <c r="F326" s="87" t="b">
        <v>0</v>
      </c>
      <c r="G326" s="87" t="b">
        <v>0</v>
      </c>
    </row>
    <row r="327" spans="1:7" ht="15">
      <c r="A327" s="88" t="s">
        <v>1509</v>
      </c>
      <c r="B327" s="87">
        <v>2</v>
      </c>
      <c r="C327" s="110">
        <v>0.0011076065771920898</v>
      </c>
      <c r="D327" s="87" t="s">
        <v>2060</v>
      </c>
      <c r="E327" s="87" t="b">
        <v>1</v>
      </c>
      <c r="F327" s="87" t="b">
        <v>0</v>
      </c>
      <c r="G327" s="87" t="b">
        <v>0</v>
      </c>
    </row>
    <row r="328" spans="1:7" ht="15">
      <c r="A328" s="88" t="s">
        <v>1510</v>
      </c>
      <c r="B328" s="87">
        <v>2</v>
      </c>
      <c r="C328" s="110">
        <v>0.0011076065771920898</v>
      </c>
      <c r="D328" s="87" t="s">
        <v>2060</v>
      </c>
      <c r="E328" s="87" t="b">
        <v>0</v>
      </c>
      <c r="F328" s="87" t="b">
        <v>0</v>
      </c>
      <c r="G328" s="87" t="b">
        <v>0</v>
      </c>
    </row>
    <row r="329" spans="1:7" ht="15">
      <c r="A329" s="88" t="s">
        <v>1511</v>
      </c>
      <c r="B329" s="87">
        <v>2</v>
      </c>
      <c r="C329" s="110">
        <v>0.0011076065771920898</v>
      </c>
      <c r="D329" s="87" t="s">
        <v>2060</v>
      </c>
      <c r="E329" s="87" t="b">
        <v>0</v>
      </c>
      <c r="F329" s="87" t="b">
        <v>0</v>
      </c>
      <c r="G329" s="87" t="b">
        <v>0</v>
      </c>
    </row>
    <row r="330" spans="1:7" ht="15">
      <c r="A330" s="88" t="s">
        <v>1512</v>
      </c>
      <c r="B330" s="87">
        <v>2</v>
      </c>
      <c r="C330" s="110">
        <v>0.0011076065771920898</v>
      </c>
      <c r="D330" s="87" t="s">
        <v>2060</v>
      </c>
      <c r="E330" s="87" t="b">
        <v>0</v>
      </c>
      <c r="F330" s="87" t="b">
        <v>0</v>
      </c>
      <c r="G330" s="87" t="b">
        <v>0</v>
      </c>
    </row>
    <row r="331" spans="1:7" ht="15">
      <c r="A331" s="88" t="s">
        <v>2034</v>
      </c>
      <c r="B331" s="87">
        <v>2</v>
      </c>
      <c r="C331" s="110">
        <v>0.0011076065771920898</v>
      </c>
      <c r="D331" s="87" t="s">
        <v>2060</v>
      </c>
      <c r="E331" s="87" t="b">
        <v>0</v>
      </c>
      <c r="F331" s="87" t="b">
        <v>0</v>
      </c>
      <c r="G331" s="87" t="b">
        <v>0</v>
      </c>
    </row>
    <row r="332" spans="1:7" ht="15">
      <c r="A332" s="88" t="s">
        <v>2035</v>
      </c>
      <c r="B332" s="87">
        <v>2</v>
      </c>
      <c r="C332" s="110">
        <v>0.0011076065771920898</v>
      </c>
      <c r="D332" s="87" t="s">
        <v>2060</v>
      </c>
      <c r="E332" s="87" t="b">
        <v>0</v>
      </c>
      <c r="F332" s="87" t="b">
        <v>0</v>
      </c>
      <c r="G332" s="87" t="b">
        <v>0</v>
      </c>
    </row>
    <row r="333" spans="1:7" ht="15">
      <c r="A333" s="88" t="s">
        <v>2036</v>
      </c>
      <c r="B333" s="87">
        <v>2</v>
      </c>
      <c r="C333" s="110">
        <v>0.0011076065771920898</v>
      </c>
      <c r="D333" s="87" t="s">
        <v>2060</v>
      </c>
      <c r="E333" s="87" t="b">
        <v>0</v>
      </c>
      <c r="F333" s="87" t="b">
        <v>0</v>
      </c>
      <c r="G333" s="87" t="b">
        <v>0</v>
      </c>
    </row>
    <row r="334" spans="1:7" ht="15">
      <c r="A334" s="88" t="s">
        <v>2037</v>
      </c>
      <c r="B334" s="87">
        <v>2</v>
      </c>
      <c r="C334" s="110">
        <v>0.0011076065771920898</v>
      </c>
      <c r="D334" s="87" t="s">
        <v>2060</v>
      </c>
      <c r="E334" s="87" t="b">
        <v>0</v>
      </c>
      <c r="F334" s="87" t="b">
        <v>0</v>
      </c>
      <c r="G334" s="87" t="b">
        <v>0</v>
      </c>
    </row>
    <row r="335" spans="1:7" ht="15">
      <c r="A335" s="88" t="s">
        <v>311</v>
      </c>
      <c r="B335" s="87">
        <v>2</v>
      </c>
      <c r="C335" s="110">
        <v>0.0012851530211106868</v>
      </c>
      <c r="D335" s="87" t="s">
        <v>2060</v>
      </c>
      <c r="E335" s="87" t="b">
        <v>0</v>
      </c>
      <c r="F335" s="87" t="b">
        <v>0</v>
      </c>
      <c r="G335" s="87" t="b">
        <v>0</v>
      </c>
    </row>
    <row r="336" spans="1:7" ht="15">
      <c r="A336" s="88" t="s">
        <v>2038</v>
      </c>
      <c r="B336" s="87">
        <v>2</v>
      </c>
      <c r="C336" s="110">
        <v>0.0011076065771920898</v>
      </c>
      <c r="D336" s="87" t="s">
        <v>2060</v>
      </c>
      <c r="E336" s="87" t="b">
        <v>0</v>
      </c>
      <c r="F336" s="87" t="b">
        <v>0</v>
      </c>
      <c r="G336" s="87" t="b">
        <v>0</v>
      </c>
    </row>
    <row r="337" spans="1:7" ht="15">
      <c r="A337" s="88" t="s">
        <v>2039</v>
      </c>
      <c r="B337" s="87">
        <v>2</v>
      </c>
      <c r="C337" s="110">
        <v>0.0011076065771920898</v>
      </c>
      <c r="D337" s="87" t="s">
        <v>2060</v>
      </c>
      <c r="E337" s="87" t="b">
        <v>0</v>
      </c>
      <c r="F337" s="87" t="b">
        <v>0</v>
      </c>
      <c r="G337" s="87" t="b">
        <v>0</v>
      </c>
    </row>
    <row r="338" spans="1:7" ht="15">
      <c r="A338" s="88" t="s">
        <v>2040</v>
      </c>
      <c r="B338" s="87">
        <v>2</v>
      </c>
      <c r="C338" s="110">
        <v>0.0011076065771920898</v>
      </c>
      <c r="D338" s="87" t="s">
        <v>2060</v>
      </c>
      <c r="E338" s="87" t="b">
        <v>1</v>
      </c>
      <c r="F338" s="87" t="b">
        <v>0</v>
      </c>
      <c r="G338" s="87" t="b">
        <v>0</v>
      </c>
    </row>
    <row r="339" spans="1:7" ht="15">
      <c r="A339" s="88" t="s">
        <v>2041</v>
      </c>
      <c r="B339" s="87">
        <v>2</v>
      </c>
      <c r="C339" s="110">
        <v>0.0011076065771920898</v>
      </c>
      <c r="D339" s="87" t="s">
        <v>2060</v>
      </c>
      <c r="E339" s="87" t="b">
        <v>0</v>
      </c>
      <c r="F339" s="87" t="b">
        <v>0</v>
      </c>
      <c r="G339" s="87" t="b">
        <v>0</v>
      </c>
    </row>
    <row r="340" spans="1:7" ht="15">
      <c r="A340" s="88" t="s">
        <v>2042</v>
      </c>
      <c r="B340" s="87">
        <v>2</v>
      </c>
      <c r="C340" s="110">
        <v>0.0011076065771920898</v>
      </c>
      <c r="D340" s="87" t="s">
        <v>2060</v>
      </c>
      <c r="E340" s="87" t="b">
        <v>0</v>
      </c>
      <c r="F340" s="87" t="b">
        <v>0</v>
      </c>
      <c r="G340" s="87" t="b">
        <v>0</v>
      </c>
    </row>
    <row r="341" spans="1:7" ht="15">
      <c r="A341" s="88" t="s">
        <v>2043</v>
      </c>
      <c r="B341" s="87">
        <v>2</v>
      </c>
      <c r="C341" s="110">
        <v>0.0012851530211106868</v>
      </c>
      <c r="D341" s="87" t="s">
        <v>2060</v>
      </c>
      <c r="E341" s="87" t="b">
        <v>0</v>
      </c>
      <c r="F341" s="87" t="b">
        <v>0</v>
      </c>
      <c r="G341" s="87" t="b">
        <v>0</v>
      </c>
    </row>
    <row r="342" spans="1:7" ht="15">
      <c r="A342" s="88" t="s">
        <v>2044</v>
      </c>
      <c r="B342" s="87">
        <v>2</v>
      </c>
      <c r="C342" s="110">
        <v>0.0011076065771920898</v>
      </c>
      <c r="D342" s="87" t="s">
        <v>2060</v>
      </c>
      <c r="E342" s="87" t="b">
        <v>0</v>
      </c>
      <c r="F342" s="87" t="b">
        <v>0</v>
      </c>
      <c r="G342" s="87" t="b">
        <v>0</v>
      </c>
    </row>
    <row r="343" spans="1:7" ht="15">
      <c r="A343" s="88" t="s">
        <v>2045</v>
      </c>
      <c r="B343" s="87">
        <v>2</v>
      </c>
      <c r="C343" s="110">
        <v>0.0011076065771920898</v>
      </c>
      <c r="D343" s="87" t="s">
        <v>2060</v>
      </c>
      <c r="E343" s="87" t="b">
        <v>0</v>
      </c>
      <c r="F343" s="87" t="b">
        <v>0</v>
      </c>
      <c r="G343" s="87" t="b">
        <v>0</v>
      </c>
    </row>
    <row r="344" spans="1:7" ht="15">
      <c r="A344" s="88" t="s">
        <v>2046</v>
      </c>
      <c r="B344" s="87">
        <v>2</v>
      </c>
      <c r="C344" s="110">
        <v>0.0011076065771920898</v>
      </c>
      <c r="D344" s="87" t="s">
        <v>2060</v>
      </c>
      <c r="E344" s="87" t="b">
        <v>0</v>
      </c>
      <c r="F344" s="87" t="b">
        <v>0</v>
      </c>
      <c r="G344" s="87" t="b">
        <v>0</v>
      </c>
    </row>
    <row r="345" spans="1:7" ht="15">
      <c r="A345" s="88" t="s">
        <v>2047</v>
      </c>
      <c r="B345" s="87">
        <v>2</v>
      </c>
      <c r="C345" s="110">
        <v>0.0011076065771920898</v>
      </c>
      <c r="D345" s="87" t="s">
        <v>2060</v>
      </c>
      <c r="E345" s="87" t="b">
        <v>0</v>
      </c>
      <c r="F345" s="87" t="b">
        <v>0</v>
      </c>
      <c r="G345" s="87" t="b">
        <v>0</v>
      </c>
    </row>
    <row r="346" spans="1:7" ht="15">
      <c r="A346" s="88" t="s">
        <v>2048</v>
      </c>
      <c r="B346" s="87">
        <v>2</v>
      </c>
      <c r="C346" s="110">
        <v>0.0011076065771920898</v>
      </c>
      <c r="D346" s="87" t="s">
        <v>2060</v>
      </c>
      <c r="E346" s="87" t="b">
        <v>0</v>
      </c>
      <c r="F346" s="87" t="b">
        <v>0</v>
      </c>
      <c r="G346" s="87" t="b">
        <v>0</v>
      </c>
    </row>
    <row r="347" spans="1:7" ht="15">
      <c r="A347" s="88" t="s">
        <v>2049</v>
      </c>
      <c r="B347" s="87">
        <v>2</v>
      </c>
      <c r="C347" s="110">
        <v>0.0011076065771920898</v>
      </c>
      <c r="D347" s="87" t="s">
        <v>2060</v>
      </c>
      <c r="E347" s="87" t="b">
        <v>0</v>
      </c>
      <c r="F347" s="87" t="b">
        <v>0</v>
      </c>
      <c r="G347" s="87" t="b">
        <v>0</v>
      </c>
    </row>
    <row r="348" spans="1:7" ht="15">
      <c r="A348" s="88" t="s">
        <v>2050</v>
      </c>
      <c r="B348" s="87">
        <v>2</v>
      </c>
      <c r="C348" s="110">
        <v>0.0011076065771920898</v>
      </c>
      <c r="D348" s="87" t="s">
        <v>2060</v>
      </c>
      <c r="E348" s="87" t="b">
        <v>0</v>
      </c>
      <c r="F348" s="87" t="b">
        <v>0</v>
      </c>
      <c r="G348" s="87" t="b">
        <v>0</v>
      </c>
    </row>
    <row r="349" spans="1:7" ht="15">
      <c r="A349" s="88" t="s">
        <v>2051</v>
      </c>
      <c r="B349" s="87">
        <v>2</v>
      </c>
      <c r="C349" s="110">
        <v>0.0012851530211106868</v>
      </c>
      <c r="D349" s="87" t="s">
        <v>2060</v>
      </c>
      <c r="E349" s="87" t="b">
        <v>0</v>
      </c>
      <c r="F349" s="87" t="b">
        <v>0</v>
      </c>
      <c r="G349" s="87" t="b">
        <v>0</v>
      </c>
    </row>
    <row r="350" spans="1:7" ht="15">
      <c r="A350" s="88" t="s">
        <v>2052</v>
      </c>
      <c r="B350" s="87">
        <v>2</v>
      </c>
      <c r="C350" s="110">
        <v>0.0012851530211106868</v>
      </c>
      <c r="D350" s="87" t="s">
        <v>2060</v>
      </c>
      <c r="E350" s="87" t="b">
        <v>0</v>
      </c>
      <c r="F350" s="87" t="b">
        <v>0</v>
      </c>
      <c r="G350" s="87" t="b">
        <v>0</v>
      </c>
    </row>
    <row r="351" spans="1:7" ht="15">
      <c r="A351" s="88" t="s">
        <v>2053</v>
      </c>
      <c r="B351" s="87">
        <v>2</v>
      </c>
      <c r="C351" s="110">
        <v>0.0012851530211106868</v>
      </c>
      <c r="D351" s="87" t="s">
        <v>2060</v>
      </c>
      <c r="E351" s="87" t="b">
        <v>0</v>
      </c>
      <c r="F351" s="87" t="b">
        <v>0</v>
      </c>
      <c r="G351" s="87" t="b">
        <v>0</v>
      </c>
    </row>
    <row r="352" spans="1:7" ht="15">
      <c r="A352" s="88" t="s">
        <v>2054</v>
      </c>
      <c r="B352" s="87">
        <v>2</v>
      </c>
      <c r="C352" s="110">
        <v>0.0012851530211106868</v>
      </c>
      <c r="D352" s="87" t="s">
        <v>2060</v>
      </c>
      <c r="E352" s="87" t="b">
        <v>0</v>
      </c>
      <c r="F352" s="87" t="b">
        <v>0</v>
      </c>
      <c r="G352" s="87" t="b">
        <v>0</v>
      </c>
    </row>
    <row r="353" spans="1:7" ht="15">
      <c r="A353" s="88" t="s">
        <v>1437</v>
      </c>
      <c r="B353" s="87">
        <v>136</v>
      </c>
      <c r="C353" s="110">
        <v>0.0024198980748198085</v>
      </c>
      <c r="D353" s="87" t="s">
        <v>1330</v>
      </c>
      <c r="E353" s="87" t="b">
        <v>0</v>
      </c>
      <c r="F353" s="87" t="b">
        <v>0</v>
      </c>
      <c r="G353" s="87" t="b">
        <v>0</v>
      </c>
    </row>
    <row r="354" spans="1:7" ht="15">
      <c r="A354" s="88" t="s">
        <v>1453</v>
      </c>
      <c r="B354" s="87">
        <v>95</v>
      </c>
      <c r="C354" s="110">
        <v>0</v>
      </c>
      <c r="D354" s="87" t="s">
        <v>1330</v>
      </c>
      <c r="E354" s="87" t="b">
        <v>0</v>
      </c>
      <c r="F354" s="87" t="b">
        <v>0</v>
      </c>
      <c r="G354" s="87" t="b">
        <v>0</v>
      </c>
    </row>
    <row r="355" spans="1:7" ht="15">
      <c r="A355" s="88" t="s">
        <v>1455</v>
      </c>
      <c r="B355" s="87">
        <v>88</v>
      </c>
      <c r="C355" s="110">
        <v>0.0011611128362775866</v>
      </c>
      <c r="D355" s="87" t="s">
        <v>1330</v>
      </c>
      <c r="E355" s="87" t="b">
        <v>0</v>
      </c>
      <c r="F355" s="87" t="b">
        <v>0</v>
      </c>
      <c r="G355" s="87" t="b">
        <v>0</v>
      </c>
    </row>
    <row r="356" spans="1:7" ht="15">
      <c r="A356" s="88" t="s">
        <v>1457</v>
      </c>
      <c r="B356" s="87">
        <v>83</v>
      </c>
      <c r="C356" s="110">
        <v>0.002066388844569718</v>
      </c>
      <c r="D356" s="87" t="s">
        <v>1330</v>
      </c>
      <c r="E356" s="87" t="b">
        <v>0</v>
      </c>
      <c r="F356" s="87" t="b">
        <v>0</v>
      </c>
      <c r="G356" s="87" t="b">
        <v>0</v>
      </c>
    </row>
    <row r="357" spans="1:7" ht="15">
      <c r="A357" s="88" t="s">
        <v>1454</v>
      </c>
      <c r="B357" s="87">
        <v>83</v>
      </c>
      <c r="C357" s="110">
        <v>0.0022676472136925383</v>
      </c>
      <c r="D357" s="87" t="s">
        <v>1330</v>
      </c>
      <c r="E357" s="87" t="b">
        <v>0</v>
      </c>
      <c r="F357" s="87" t="b">
        <v>0</v>
      </c>
      <c r="G357" s="87" t="b">
        <v>0</v>
      </c>
    </row>
    <row r="358" spans="1:7" ht="15">
      <c r="A358" s="88" t="s">
        <v>1456</v>
      </c>
      <c r="B358" s="87">
        <v>78</v>
      </c>
      <c r="C358" s="110">
        <v>0.002911374284163529</v>
      </c>
      <c r="D358" s="87" t="s">
        <v>1330</v>
      </c>
      <c r="E358" s="87" t="b">
        <v>0</v>
      </c>
      <c r="F358" s="87" t="b">
        <v>0</v>
      </c>
      <c r="G358" s="87" t="b">
        <v>0</v>
      </c>
    </row>
    <row r="359" spans="1:7" ht="15">
      <c r="A359" s="88" t="s">
        <v>1458</v>
      </c>
      <c r="B359" s="87">
        <v>62</v>
      </c>
      <c r="C359" s="110">
        <v>0.005363186159610207</v>
      </c>
      <c r="D359" s="87" t="s">
        <v>1330</v>
      </c>
      <c r="E359" s="87" t="b">
        <v>0</v>
      </c>
      <c r="F359" s="87" t="b">
        <v>0</v>
      </c>
      <c r="G359" s="87" t="b">
        <v>0</v>
      </c>
    </row>
    <row r="360" spans="1:7" ht="15">
      <c r="A360" s="88" t="s">
        <v>1460</v>
      </c>
      <c r="B360" s="87">
        <v>38</v>
      </c>
      <c r="C360" s="110">
        <v>0.006884883355757607</v>
      </c>
      <c r="D360" s="87" t="s">
        <v>1330</v>
      </c>
      <c r="E360" s="87" t="b">
        <v>0</v>
      </c>
      <c r="F360" s="87" t="b">
        <v>0</v>
      </c>
      <c r="G360" s="87" t="b">
        <v>0</v>
      </c>
    </row>
    <row r="361" spans="1:7" ht="15">
      <c r="A361" s="88" t="s">
        <v>1462</v>
      </c>
      <c r="B361" s="87">
        <v>37</v>
      </c>
      <c r="C361" s="110">
        <v>0.007312396564822041</v>
      </c>
      <c r="D361" s="87" t="s">
        <v>1330</v>
      </c>
      <c r="E361" s="87" t="b">
        <v>0</v>
      </c>
      <c r="F361" s="87" t="b">
        <v>0</v>
      </c>
      <c r="G361" s="87" t="b">
        <v>0</v>
      </c>
    </row>
    <row r="362" spans="1:7" ht="15">
      <c r="A362" s="88" t="s">
        <v>1459</v>
      </c>
      <c r="B362" s="87">
        <v>37</v>
      </c>
      <c r="C362" s="110">
        <v>0.0069010901854951795</v>
      </c>
      <c r="D362" s="87" t="s">
        <v>1330</v>
      </c>
      <c r="E362" s="87" t="b">
        <v>0</v>
      </c>
      <c r="F362" s="87" t="b">
        <v>0</v>
      </c>
      <c r="G362" s="87" t="b">
        <v>0</v>
      </c>
    </row>
    <row r="363" spans="1:7" ht="15">
      <c r="A363" s="88" t="s">
        <v>1490</v>
      </c>
      <c r="B363" s="87">
        <v>33</v>
      </c>
      <c r="C363" s="110">
        <v>0.006910299010971796</v>
      </c>
      <c r="D363" s="87" t="s">
        <v>1330</v>
      </c>
      <c r="E363" s="87" t="b">
        <v>0</v>
      </c>
      <c r="F363" s="87" t="b">
        <v>0</v>
      </c>
      <c r="G363" s="87" t="b">
        <v>0</v>
      </c>
    </row>
    <row r="364" spans="1:7" ht="15">
      <c r="A364" s="88" t="s">
        <v>1821</v>
      </c>
      <c r="B364" s="87">
        <v>32</v>
      </c>
      <c r="C364" s="110">
        <v>0.007101113363654367</v>
      </c>
      <c r="D364" s="87" t="s">
        <v>1330</v>
      </c>
      <c r="E364" s="87" t="b">
        <v>0</v>
      </c>
      <c r="F364" s="87" t="b">
        <v>0</v>
      </c>
      <c r="G364" s="87" t="b">
        <v>0</v>
      </c>
    </row>
    <row r="365" spans="1:7" ht="15">
      <c r="A365" s="88" t="s">
        <v>1446</v>
      </c>
      <c r="B365" s="87">
        <v>30</v>
      </c>
      <c r="C365" s="110">
        <v>0.008193228169803215</v>
      </c>
      <c r="D365" s="87" t="s">
        <v>1330</v>
      </c>
      <c r="E365" s="87" t="b">
        <v>0</v>
      </c>
      <c r="F365" s="87" t="b">
        <v>0</v>
      </c>
      <c r="G365" s="87" t="b">
        <v>0</v>
      </c>
    </row>
    <row r="366" spans="1:7" ht="15">
      <c r="A366" s="88" t="s">
        <v>1469</v>
      </c>
      <c r="B366" s="87">
        <v>29</v>
      </c>
      <c r="C366" s="110">
        <v>0.0068222781277390765</v>
      </c>
      <c r="D366" s="87" t="s">
        <v>1330</v>
      </c>
      <c r="E366" s="87" t="b">
        <v>0</v>
      </c>
      <c r="F366" s="87" t="b">
        <v>0</v>
      </c>
      <c r="G366" s="87" t="b">
        <v>0</v>
      </c>
    </row>
    <row r="367" spans="1:7" ht="15">
      <c r="A367" s="88" t="s">
        <v>341</v>
      </c>
      <c r="B367" s="87">
        <v>26</v>
      </c>
      <c r="C367" s="110">
        <v>0.007322155899186896</v>
      </c>
      <c r="D367" s="87" t="s">
        <v>1330</v>
      </c>
      <c r="E367" s="87" t="b">
        <v>0</v>
      </c>
      <c r="F367" s="87" t="b">
        <v>0</v>
      </c>
      <c r="G367" s="87" t="b">
        <v>0</v>
      </c>
    </row>
    <row r="368" spans="1:7" ht="15">
      <c r="A368" s="88" t="s">
        <v>1516</v>
      </c>
      <c r="B368" s="87">
        <v>24</v>
      </c>
      <c r="C368" s="110">
        <v>0.006554582535842572</v>
      </c>
      <c r="D368" s="87" t="s">
        <v>1330</v>
      </c>
      <c r="E368" s="87" t="b">
        <v>0</v>
      </c>
      <c r="F368" s="87" t="b">
        <v>0</v>
      </c>
      <c r="G368" s="87" t="b">
        <v>0</v>
      </c>
    </row>
    <row r="369" spans="1:7" ht="15">
      <c r="A369" s="88" t="s">
        <v>1493</v>
      </c>
      <c r="B369" s="87">
        <v>23</v>
      </c>
      <c r="C369" s="110">
        <v>0.006477291756973023</v>
      </c>
      <c r="D369" s="87" t="s">
        <v>1330</v>
      </c>
      <c r="E369" s="87" t="b">
        <v>0</v>
      </c>
      <c r="F369" s="87" t="b">
        <v>0</v>
      </c>
      <c r="G369" s="87" t="b">
        <v>0</v>
      </c>
    </row>
    <row r="370" spans="1:7" ht="15">
      <c r="A370" s="88" t="s">
        <v>1824</v>
      </c>
      <c r="B370" s="87">
        <v>23</v>
      </c>
      <c r="C370" s="110">
        <v>0.006477291756973023</v>
      </c>
      <c r="D370" s="87" t="s">
        <v>1330</v>
      </c>
      <c r="E370" s="87" t="b">
        <v>0</v>
      </c>
      <c r="F370" s="87" t="b">
        <v>0</v>
      </c>
      <c r="G370" s="87" t="b">
        <v>0</v>
      </c>
    </row>
    <row r="371" spans="1:7" ht="15">
      <c r="A371" s="88" t="s">
        <v>1513</v>
      </c>
      <c r="B371" s="87">
        <v>23</v>
      </c>
      <c r="C371" s="110">
        <v>0.006477291756973023</v>
      </c>
      <c r="D371" s="87" t="s">
        <v>1330</v>
      </c>
      <c r="E371" s="87" t="b">
        <v>0</v>
      </c>
      <c r="F371" s="87" t="b">
        <v>0</v>
      </c>
      <c r="G371" s="87" t="b">
        <v>0</v>
      </c>
    </row>
    <row r="372" spans="1:7" ht="15">
      <c r="A372" s="88" t="s">
        <v>1820</v>
      </c>
      <c r="B372" s="87">
        <v>22</v>
      </c>
      <c r="C372" s="110">
        <v>0.006391300691434745</v>
      </c>
      <c r="D372" s="87" t="s">
        <v>1330</v>
      </c>
      <c r="E372" s="87" t="b">
        <v>0</v>
      </c>
      <c r="F372" s="87" t="b">
        <v>0</v>
      </c>
      <c r="G372" s="87" t="b">
        <v>0</v>
      </c>
    </row>
    <row r="373" spans="1:7" ht="15">
      <c r="A373" s="88" t="s">
        <v>1819</v>
      </c>
      <c r="B373" s="87">
        <v>22</v>
      </c>
      <c r="C373" s="110">
        <v>0.006391300691434745</v>
      </c>
      <c r="D373" s="87" t="s">
        <v>1330</v>
      </c>
      <c r="E373" s="87" t="b">
        <v>0</v>
      </c>
      <c r="F373" s="87" t="b">
        <v>0</v>
      </c>
      <c r="G373" s="87" t="b">
        <v>0</v>
      </c>
    </row>
    <row r="374" spans="1:7" ht="15">
      <c r="A374" s="88" t="s">
        <v>1822</v>
      </c>
      <c r="B374" s="87">
        <v>21</v>
      </c>
      <c r="C374" s="110">
        <v>0.00629621360487396</v>
      </c>
      <c r="D374" s="87" t="s">
        <v>1330</v>
      </c>
      <c r="E374" s="87" t="b">
        <v>0</v>
      </c>
      <c r="F374" s="87" t="b">
        <v>0</v>
      </c>
      <c r="G374" s="87" t="b">
        <v>0</v>
      </c>
    </row>
    <row r="375" spans="1:7" ht="15">
      <c r="A375" s="88" t="s">
        <v>1826</v>
      </c>
      <c r="B375" s="87">
        <v>21</v>
      </c>
      <c r="C375" s="110">
        <v>0.00629621360487396</v>
      </c>
      <c r="D375" s="87" t="s">
        <v>1330</v>
      </c>
      <c r="E375" s="87" t="b">
        <v>0</v>
      </c>
      <c r="F375" s="87" t="b">
        <v>0</v>
      </c>
      <c r="G375" s="87" t="b">
        <v>0</v>
      </c>
    </row>
    <row r="376" spans="1:7" ht="15">
      <c r="A376" s="88" t="s">
        <v>1825</v>
      </c>
      <c r="B376" s="87">
        <v>21</v>
      </c>
      <c r="C376" s="110">
        <v>0.00629621360487396</v>
      </c>
      <c r="D376" s="87" t="s">
        <v>1330</v>
      </c>
      <c r="E376" s="87" t="b">
        <v>0</v>
      </c>
      <c r="F376" s="87" t="b">
        <v>0</v>
      </c>
      <c r="G376" s="87" t="b">
        <v>0</v>
      </c>
    </row>
    <row r="377" spans="1:7" ht="15">
      <c r="A377" s="88" t="s">
        <v>1828</v>
      </c>
      <c r="B377" s="87">
        <v>20</v>
      </c>
      <c r="C377" s="110">
        <v>0.006191597033032865</v>
      </c>
      <c r="D377" s="87" t="s">
        <v>1330</v>
      </c>
      <c r="E377" s="87" t="b">
        <v>0</v>
      </c>
      <c r="F377" s="87" t="b">
        <v>0</v>
      </c>
      <c r="G377" s="87" t="b">
        <v>0</v>
      </c>
    </row>
    <row r="378" spans="1:7" ht="15">
      <c r="A378" s="88" t="s">
        <v>1472</v>
      </c>
      <c r="B378" s="87">
        <v>19</v>
      </c>
      <c r="C378" s="110">
        <v>0.006076974113445658</v>
      </c>
      <c r="D378" s="87" t="s">
        <v>1330</v>
      </c>
      <c r="E378" s="87" t="b">
        <v>0</v>
      </c>
      <c r="F378" s="87" t="b">
        <v>0</v>
      </c>
      <c r="G378" s="87" t="b">
        <v>0</v>
      </c>
    </row>
    <row r="379" spans="1:7" ht="15">
      <c r="A379" s="88" t="s">
        <v>1827</v>
      </c>
      <c r="B379" s="87">
        <v>18</v>
      </c>
      <c r="C379" s="110">
        <v>0.005951817721296669</v>
      </c>
      <c r="D379" s="87" t="s">
        <v>1330</v>
      </c>
      <c r="E379" s="87" t="b">
        <v>0</v>
      </c>
      <c r="F379" s="87" t="b">
        <v>0</v>
      </c>
      <c r="G379" s="87" t="b">
        <v>0</v>
      </c>
    </row>
    <row r="380" spans="1:7" ht="15">
      <c r="A380" s="88" t="s">
        <v>1823</v>
      </c>
      <c r="B380" s="87">
        <v>17</v>
      </c>
      <c r="C380" s="110">
        <v>0.005815542076353855</v>
      </c>
      <c r="D380" s="87" t="s">
        <v>1330</v>
      </c>
      <c r="E380" s="87" t="b">
        <v>0</v>
      </c>
      <c r="F380" s="87" t="b">
        <v>0</v>
      </c>
      <c r="G380" s="87" t="b">
        <v>0</v>
      </c>
    </row>
    <row r="381" spans="1:7" ht="15">
      <c r="A381" s="88" t="s">
        <v>1464</v>
      </c>
      <c r="B381" s="87">
        <v>16</v>
      </c>
      <c r="C381" s="110">
        <v>0.0056674923699218714</v>
      </c>
      <c r="D381" s="87" t="s">
        <v>1330</v>
      </c>
      <c r="E381" s="87" t="b">
        <v>0</v>
      </c>
      <c r="F381" s="87" t="b">
        <v>0</v>
      </c>
      <c r="G381" s="87" t="b">
        <v>0</v>
      </c>
    </row>
    <row r="382" spans="1:7" ht="15">
      <c r="A382" s="88" t="s">
        <v>1467</v>
      </c>
      <c r="B382" s="87">
        <v>14</v>
      </c>
      <c r="C382" s="110">
        <v>0.005333025081022777</v>
      </c>
      <c r="D382" s="87" t="s">
        <v>1330</v>
      </c>
      <c r="E382" s="87" t="b">
        <v>0</v>
      </c>
      <c r="F382" s="87" t="b">
        <v>0</v>
      </c>
      <c r="G382" s="87" t="b">
        <v>0</v>
      </c>
    </row>
    <row r="383" spans="1:7" ht="15">
      <c r="A383" s="88" t="s">
        <v>1835</v>
      </c>
      <c r="B383" s="87">
        <v>12</v>
      </c>
      <c r="C383" s="110">
        <v>0.004941206490384563</v>
      </c>
      <c r="D383" s="87" t="s">
        <v>1330</v>
      </c>
      <c r="E383" s="87" t="b">
        <v>0</v>
      </c>
      <c r="F383" s="87" t="b">
        <v>0</v>
      </c>
      <c r="G383" s="87" t="b">
        <v>0</v>
      </c>
    </row>
    <row r="384" spans="1:7" ht="15">
      <c r="A384" s="88" t="s">
        <v>1833</v>
      </c>
      <c r="B384" s="87">
        <v>12</v>
      </c>
      <c r="C384" s="110">
        <v>0.004941206490384563</v>
      </c>
      <c r="D384" s="87" t="s">
        <v>1330</v>
      </c>
      <c r="E384" s="87" t="b">
        <v>1</v>
      </c>
      <c r="F384" s="87" t="b">
        <v>0</v>
      </c>
      <c r="G384" s="87" t="b">
        <v>0</v>
      </c>
    </row>
    <row r="385" spans="1:7" ht="15">
      <c r="A385" s="88" t="s">
        <v>1836</v>
      </c>
      <c r="B385" s="87">
        <v>12</v>
      </c>
      <c r="C385" s="110">
        <v>0.004941206490384563</v>
      </c>
      <c r="D385" s="87" t="s">
        <v>1330</v>
      </c>
      <c r="E385" s="87" t="b">
        <v>0</v>
      </c>
      <c r="F385" s="87" t="b">
        <v>0</v>
      </c>
      <c r="G385" s="87" t="b">
        <v>0</v>
      </c>
    </row>
    <row r="386" spans="1:7" ht="15">
      <c r="A386" s="88" t="s">
        <v>1831</v>
      </c>
      <c r="B386" s="87">
        <v>11</v>
      </c>
      <c r="C386" s="110">
        <v>0.00472090596630871</v>
      </c>
      <c r="D386" s="87" t="s">
        <v>1330</v>
      </c>
      <c r="E386" s="87" t="b">
        <v>0</v>
      </c>
      <c r="F386" s="87" t="b">
        <v>0</v>
      </c>
      <c r="G386" s="87" t="b">
        <v>0</v>
      </c>
    </row>
    <row r="387" spans="1:7" ht="15">
      <c r="A387" s="88" t="s">
        <v>1837</v>
      </c>
      <c r="B387" s="87">
        <v>11</v>
      </c>
      <c r="C387" s="110">
        <v>0.00472090596630871</v>
      </c>
      <c r="D387" s="87" t="s">
        <v>1330</v>
      </c>
      <c r="E387" s="87" t="b">
        <v>1</v>
      </c>
      <c r="F387" s="87" t="b">
        <v>0</v>
      </c>
      <c r="G387" s="87" t="b">
        <v>0</v>
      </c>
    </row>
    <row r="388" spans="1:7" ht="15">
      <c r="A388" s="88" t="s">
        <v>1832</v>
      </c>
      <c r="B388" s="87">
        <v>10</v>
      </c>
      <c r="C388" s="110">
        <v>0.004482394535235829</v>
      </c>
      <c r="D388" s="87" t="s">
        <v>1330</v>
      </c>
      <c r="E388" s="87" t="b">
        <v>1</v>
      </c>
      <c r="F388" s="87" t="b">
        <v>0</v>
      </c>
      <c r="G388" s="87" t="b">
        <v>0</v>
      </c>
    </row>
    <row r="389" spans="1:7" ht="15">
      <c r="A389" s="88" t="s">
        <v>1841</v>
      </c>
      <c r="B389" s="87">
        <v>9</v>
      </c>
      <c r="C389" s="110">
        <v>0.00443590087492851</v>
      </c>
      <c r="D389" s="87" t="s">
        <v>1330</v>
      </c>
      <c r="E389" s="87" t="b">
        <v>0</v>
      </c>
      <c r="F389" s="87" t="b">
        <v>0</v>
      </c>
      <c r="G389" s="87" t="b">
        <v>0</v>
      </c>
    </row>
    <row r="390" spans="1:7" ht="15">
      <c r="A390" s="88" t="s">
        <v>1829</v>
      </c>
      <c r="B390" s="87">
        <v>8</v>
      </c>
      <c r="C390" s="110">
        <v>0.003943022999936453</v>
      </c>
      <c r="D390" s="87" t="s">
        <v>1330</v>
      </c>
      <c r="E390" s="87" t="b">
        <v>1</v>
      </c>
      <c r="F390" s="87" t="b">
        <v>0</v>
      </c>
      <c r="G390" s="87" t="b">
        <v>0</v>
      </c>
    </row>
    <row r="391" spans="1:7" ht="15">
      <c r="A391" s="88" t="s">
        <v>1475</v>
      </c>
      <c r="B391" s="87">
        <v>8</v>
      </c>
      <c r="C391" s="110">
        <v>0.003943022999936453</v>
      </c>
      <c r="D391" s="87" t="s">
        <v>1330</v>
      </c>
      <c r="E391" s="87" t="b">
        <v>0</v>
      </c>
      <c r="F391" s="87" t="b">
        <v>0</v>
      </c>
      <c r="G391" s="87" t="b">
        <v>0</v>
      </c>
    </row>
    <row r="392" spans="1:7" ht="15">
      <c r="A392" s="88" t="s">
        <v>1523</v>
      </c>
      <c r="B392" s="87">
        <v>8</v>
      </c>
      <c r="C392" s="110">
        <v>0.003943022999936453</v>
      </c>
      <c r="D392" s="87" t="s">
        <v>1330</v>
      </c>
      <c r="E392" s="87" t="b">
        <v>0</v>
      </c>
      <c r="F392" s="87" t="b">
        <v>0</v>
      </c>
      <c r="G392" s="87" t="b">
        <v>0</v>
      </c>
    </row>
    <row r="393" spans="1:7" ht="15">
      <c r="A393" s="88" t="s">
        <v>1856</v>
      </c>
      <c r="B393" s="87">
        <v>7</v>
      </c>
      <c r="C393" s="110">
        <v>0.0036371297536149667</v>
      </c>
      <c r="D393" s="87" t="s">
        <v>1330</v>
      </c>
      <c r="E393" s="87" t="b">
        <v>0</v>
      </c>
      <c r="F393" s="87" t="b">
        <v>0</v>
      </c>
      <c r="G393" s="87" t="b">
        <v>0</v>
      </c>
    </row>
    <row r="394" spans="1:7" ht="15">
      <c r="A394" s="88" t="s">
        <v>1519</v>
      </c>
      <c r="B394" s="87">
        <v>7</v>
      </c>
      <c r="C394" s="110">
        <v>0.0036371297536149667</v>
      </c>
      <c r="D394" s="87" t="s">
        <v>1330</v>
      </c>
      <c r="E394" s="87" t="b">
        <v>0</v>
      </c>
      <c r="F394" s="87" t="b">
        <v>0</v>
      </c>
      <c r="G394" s="87" t="b">
        <v>0</v>
      </c>
    </row>
    <row r="395" spans="1:7" ht="15">
      <c r="A395" s="88" t="s">
        <v>1522</v>
      </c>
      <c r="B395" s="87">
        <v>7</v>
      </c>
      <c r="C395" s="110">
        <v>0.0036371297536149667</v>
      </c>
      <c r="D395" s="87" t="s">
        <v>1330</v>
      </c>
      <c r="E395" s="87" t="b">
        <v>1</v>
      </c>
      <c r="F395" s="87" t="b">
        <v>0</v>
      </c>
      <c r="G395" s="87" t="b">
        <v>0</v>
      </c>
    </row>
    <row r="396" spans="1:7" ht="15">
      <c r="A396" s="88" t="s">
        <v>1839</v>
      </c>
      <c r="B396" s="87">
        <v>7</v>
      </c>
      <c r="C396" s="110">
        <v>0.0036371297536149667</v>
      </c>
      <c r="D396" s="87" t="s">
        <v>1330</v>
      </c>
      <c r="E396" s="87" t="b">
        <v>0</v>
      </c>
      <c r="F396" s="87" t="b">
        <v>0</v>
      </c>
      <c r="G396" s="87" t="b">
        <v>0</v>
      </c>
    </row>
    <row r="397" spans="1:7" ht="15">
      <c r="A397" s="88" t="s">
        <v>1834</v>
      </c>
      <c r="B397" s="87">
        <v>7</v>
      </c>
      <c r="C397" s="110">
        <v>0.0036371297536149667</v>
      </c>
      <c r="D397" s="87" t="s">
        <v>1330</v>
      </c>
      <c r="E397" s="87" t="b">
        <v>0</v>
      </c>
      <c r="F397" s="87" t="b">
        <v>0</v>
      </c>
      <c r="G397" s="87" t="b">
        <v>0</v>
      </c>
    </row>
    <row r="398" spans="1:7" ht="15">
      <c r="A398" s="88" t="s">
        <v>451</v>
      </c>
      <c r="B398" s="87">
        <v>7</v>
      </c>
      <c r="C398" s="110">
        <v>0.0036371297536149667</v>
      </c>
      <c r="D398" s="87" t="s">
        <v>1330</v>
      </c>
      <c r="E398" s="87" t="b">
        <v>0</v>
      </c>
      <c r="F398" s="87" t="b">
        <v>0</v>
      </c>
      <c r="G398" s="87" t="b">
        <v>0</v>
      </c>
    </row>
    <row r="399" spans="1:7" ht="15">
      <c r="A399" s="88" t="s">
        <v>1858</v>
      </c>
      <c r="B399" s="87">
        <v>7</v>
      </c>
      <c r="C399" s="110">
        <v>0.0036371297536149667</v>
      </c>
      <c r="D399" s="87" t="s">
        <v>1330</v>
      </c>
      <c r="E399" s="87" t="b">
        <v>0</v>
      </c>
      <c r="F399" s="87" t="b">
        <v>0</v>
      </c>
      <c r="G399" s="87" t="b">
        <v>0</v>
      </c>
    </row>
    <row r="400" spans="1:7" ht="15">
      <c r="A400" s="88" t="s">
        <v>1840</v>
      </c>
      <c r="B400" s="87">
        <v>6</v>
      </c>
      <c r="C400" s="110">
        <v>0.0033025608564239196</v>
      </c>
      <c r="D400" s="87" t="s">
        <v>1330</v>
      </c>
      <c r="E400" s="87" t="b">
        <v>0</v>
      </c>
      <c r="F400" s="87" t="b">
        <v>0</v>
      </c>
      <c r="G400" s="87" t="b">
        <v>0</v>
      </c>
    </row>
    <row r="401" spans="1:7" ht="15">
      <c r="A401" s="88" t="s">
        <v>1861</v>
      </c>
      <c r="B401" s="87">
        <v>6</v>
      </c>
      <c r="C401" s="110">
        <v>0.0033025608564239196</v>
      </c>
      <c r="D401" s="87" t="s">
        <v>1330</v>
      </c>
      <c r="E401" s="87" t="b">
        <v>0</v>
      </c>
      <c r="F401" s="87" t="b">
        <v>0</v>
      </c>
      <c r="G401" s="87" t="b">
        <v>0</v>
      </c>
    </row>
    <row r="402" spans="1:7" ht="15">
      <c r="A402" s="88" t="s">
        <v>1521</v>
      </c>
      <c r="B402" s="87">
        <v>6</v>
      </c>
      <c r="C402" s="110">
        <v>0.0033025608564239196</v>
      </c>
      <c r="D402" s="87" t="s">
        <v>1330</v>
      </c>
      <c r="E402" s="87" t="b">
        <v>0</v>
      </c>
      <c r="F402" s="87" t="b">
        <v>0</v>
      </c>
      <c r="G402" s="87" t="b">
        <v>0</v>
      </c>
    </row>
    <row r="403" spans="1:7" ht="15">
      <c r="A403" s="88" t="s">
        <v>1862</v>
      </c>
      <c r="B403" s="87">
        <v>6</v>
      </c>
      <c r="C403" s="110">
        <v>0.0033025608564239196</v>
      </c>
      <c r="D403" s="87" t="s">
        <v>1330</v>
      </c>
      <c r="E403" s="87" t="b">
        <v>0</v>
      </c>
      <c r="F403" s="87" t="b">
        <v>0</v>
      </c>
      <c r="G403" s="87" t="b">
        <v>0</v>
      </c>
    </row>
    <row r="404" spans="1:7" ht="15">
      <c r="A404" s="88" t="s">
        <v>279</v>
      </c>
      <c r="B404" s="87">
        <v>6</v>
      </c>
      <c r="C404" s="110">
        <v>0.0033025608564239196</v>
      </c>
      <c r="D404" s="87" t="s">
        <v>1330</v>
      </c>
      <c r="E404" s="87" t="b">
        <v>0</v>
      </c>
      <c r="F404" s="87" t="b">
        <v>0</v>
      </c>
      <c r="G404" s="87" t="b">
        <v>0</v>
      </c>
    </row>
    <row r="405" spans="1:7" ht="15">
      <c r="A405" s="88" t="s">
        <v>1867</v>
      </c>
      <c r="B405" s="87">
        <v>6</v>
      </c>
      <c r="C405" s="110">
        <v>0.0033025608564239196</v>
      </c>
      <c r="D405" s="87" t="s">
        <v>1330</v>
      </c>
      <c r="E405" s="87" t="b">
        <v>0</v>
      </c>
      <c r="F405" s="87" t="b">
        <v>0</v>
      </c>
      <c r="G405" s="87" t="b">
        <v>0</v>
      </c>
    </row>
    <row r="406" spans="1:7" ht="15">
      <c r="A406" s="88" t="s">
        <v>1868</v>
      </c>
      <c r="B406" s="87">
        <v>6</v>
      </c>
      <c r="C406" s="110">
        <v>0.0033025608564239196</v>
      </c>
      <c r="D406" s="87" t="s">
        <v>1330</v>
      </c>
      <c r="E406" s="87" t="b">
        <v>0</v>
      </c>
      <c r="F406" s="87" t="b">
        <v>0</v>
      </c>
      <c r="G406" s="87" t="b">
        <v>0</v>
      </c>
    </row>
    <row r="407" spans="1:7" ht="15">
      <c r="A407" s="88" t="s">
        <v>1866</v>
      </c>
      <c r="B407" s="87">
        <v>6</v>
      </c>
      <c r="C407" s="110">
        <v>0.004134518467655559</v>
      </c>
      <c r="D407" s="87" t="s">
        <v>1330</v>
      </c>
      <c r="E407" s="87" t="b">
        <v>0</v>
      </c>
      <c r="F407" s="87" t="b">
        <v>0</v>
      </c>
      <c r="G407" s="87" t="b">
        <v>0</v>
      </c>
    </row>
    <row r="408" spans="1:7" ht="15">
      <c r="A408" s="88" t="s">
        <v>1859</v>
      </c>
      <c r="B408" s="87">
        <v>6</v>
      </c>
      <c r="C408" s="110">
        <v>0.0033025608564239196</v>
      </c>
      <c r="D408" s="87" t="s">
        <v>1330</v>
      </c>
      <c r="E408" s="87" t="b">
        <v>0</v>
      </c>
      <c r="F408" s="87" t="b">
        <v>0</v>
      </c>
      <c r="G408" s="87" t="b">
        <v>0</v>
      </c>
    </row>
    <row r="409" spans="1:7" ht="15">
      <c r="A409" s="88" t="s">
        <v>1870</v>
      </c>
      <c r="B409" s="87">
        <v>5</v>
      </c>
      <c r="C409" s="110">
        <v>0.0029344952769776132</v>
      </c>
      <c r="D409" s="87" t="s">
        <v>1330</v>
      </c>
      <c r="E409" s="87" t="b">
        <v>0</v>
      </c>
      <c r="F409" s="87" t="b">
        <v>0</v>
      </c>
      <c r="G409" s="87" t="b">
        <v>0</v>
      </c>
    </row>
    <row r="410" spans="1:7" ht="15">
      <c r="A410" s="88" t="s">
        <v>1830</v>
      </c>
      <c r="B410" s="87">
        <v>5</v>
      </c>
      <c r="C410" s="110">
        <v>0.0029344952769776132</v>
      </c>
      <c r="D410" s="87" t="s">
        <v>1330</v>
      </c>
      <c r="E410" s="87" t="b">
        <v>0</v>
      </c>
      <c r="F410" s="87" t="b">
        <v>0</v>
      </c>
      <c r="G410" s="87" t="b">
        <v>0</v>
      </c>
    </row>
    <row r="411" spans="1:7" ht="15">
      <c r="A411" s="88" t="s">
        <v>1842</v>
      </c>
      <c r="B411" s="87">
        <v>5</v>
      </c>
      <c r="C411" s="110">
        <v>0.0029344952769776132</v>
      </c>
      <c r="D411" s="87" t="s">
        <v>1330</v>
      </c>
      <c r="E411" s="87" t="b">
        <v>1</v>
      </c>
      <c r="F411" s="87" t="b">
        <v>0</v>
      </c>
      <c r="G411" s="87" t="b">
        <v>0</v>
      </c>
    </row>
    <row r="412" spans="1:7" ht="15">
      <c r="A412" s="88" t="s">
        <v>1843</v>
      </c>
      <c r="B412" s="87">
        <v>5</v>
      </c>
      <c r="C412" s="110">
        <v>0.0029344952769776132</v>
      </c>
      <c r="D412" s="87" t="s">
        <v>1330</v>
      </c>
      <c r="E412" s="87" t="b">
        <v>0</v>
      </c>
      <c r="F412" s="87" t="b">
        <v>0</v>
      </c>
      <c r="G412" s="87" t="b">
        <v>0</v>
      </c>
    </row>
    <row r="413" spans="1:7" ht="15">
      <c r="A413" s="88" t="s">
        <v>1883</v>
      </c>
      <c r="B413" s="87">
        <v>5</v>
      </c>
      <c r="C413" s="110">
        <v>0.0029344952769776132</v>
      </c>
      <c r="D413" s="87" t="s">
        <v>1330</v>
      </c>
      <c r="E413" s="87" t="b">
        <v>0</v>
      </c>
      <c r="F413" s="87" t="b">
        <v>0</v>
      </c>
      <c r="G413" s="87" t="b">
        <v>0</v>
      </c>
    </row>
    <row r="414" spans="1:7" ht="15">
      <c r="A414" s="88" t="s">
        <v>1884</v>
      </c>
      <c r="B414" s="87">
        <v>5</v>
      </c>
      <c r="C414" s="110">
        <v>0.0029344952769776132</v>
      </c>
      <c r="D414" s="87" t="s">
        <v>1330</v>
      </c>
      <c r="E414" s="87" t="b">
        <v>0</v>
      </c>
      <c r="F414" s="87" t="b">
        <v>0</v>
      </c>
      <c r="G414" s="87" t="b">
        <v>0</v>
      </c>
    </row>
    <row r="415" spans="1:7" ht="15">
      <c r="A415" s="88" t="s">
        <v>1881</v>
      </c>
      <c r="B415" s="87">
        <v>5</v>
      </c>
      <c r="C415" s="110">
        <v>0.0029344952769776132</v>
      </c>
      <c r="D415" s="87" t="s">
        <v>1330</v>
      </c>
      <c r="E415" s="87" t="b">
        <v>0</v>
      </c>
      <c r="F415" s="87" t="b">
        <v>0</v>
      </c>
      <c r="G415" s="87" t="b">
        <v>0</v>
      </c>
    </row>
    <row r="416" spans="1:7" ht="15">
      <c r="A416" s="88" t="s">
        <v>1873</v>
      </c>
      <c r="B416" s="87">
        <v>5</v>
      </c>
      <c r="C416" s="110">
        <v>0.0029344952769776132</v>
      </c>
      <c r="D416" s="87" t="s">
        <v>1330</v>
      </c>
      <c r="E416" s="87" t="b">
        <v>0</v>
      </c>
      <c r="F416" s="87" t="b">
        <v>0</v>
      </c>
      <c r="G416" s="87" t="b">
        <v>0</v>
      </c>
    </row>
    <row r="417" spans="1:7" ht="15">
      <c r="A417" s="88" t="s">
        <v>1885</v>
      </c>
      <c r="B417" s="87">
        <v>5</v>
      </c>
      <c r="C417" s="110">
        <v>0.003445432056379632</v>
      </c>
      <c r="D417" s="87" t="s">
        <v>1330</v>
      </c>
      <c r="E417" s="87" t="b">
        <v>0</v>
      </c>
      <c r="F417" s="87" t="b">
        <v>0</v>
      </c>
      <c r="G417" s="87" t="b">
        <v>0</v>
      </c>
    </row>
    <row r="418" spans="1:7" ht="15">
      <c r="A418" s="88" t="s">
        <v>1479</v>
      </c>
      <c r="B418" s="87">
        <v>5</v>
      </c>
      <c r="C418" s="110">
        <v>0.0029344952769776132</v>
      </c>
      <c r="D418" s="87" t="s">
        <v>1330</v>
      </c>
      <c r="E418" s="87" t="b">
        <v>0</v>
      </c>
      <c r="F418" s="87" t="b">
        <v>0</v>
      </c>
      <c r="G418" s="87" t="b">
        <v>0</v>
      </c>
    </row>
    <row r="419" spans="1:7" ht="15">
      <c r="A419" s="88" t="s">
        <v>1886</v>
      </c>
      <c r="B419" s="87">
        <v>5</v>
      </c>
      <c r="C419" s="110">
        <v>0.0029344952769776132</v>
      </c>
      <c r="D419" s="87" t="s">
        <v>1330</v>
      </c>
      <c r="E419" s="87" t="b">
        <v>0</v>
      </c>
      <c r="F419" s="87" t="b">
        <v>0</v>
      </c>
      <c r="G419" s="87" t="b">
        <v>0</v>
      </c>
    </row>
    <row r="420" spans="1:7" ht="15">
      <c r="A420" s="88" t="s">
        <v>1887</v>
      </c>
      <c r="B420" s="87">
        <v>5</v>
      </c>
      <c r="C420" s="110">
        <v>0.0029344952769776132</v>
      </c>
      <c r="D420" s="87" t="s">
        <v>1330</v>
      </c>
      <c r="E420" s="87" t="b">
        <v>0</v>
      </c>
      <c r="F420" s="87" t="b">
        <v>0</v>
      </c>
      <c r="G420" s="87" t="b">
        <v>0</v>
      </c>
    </row>
    <row r="421" spans="1:7" ht="15">
      <c r="A421" s="88" t="s">
        <v>1888</v>
      </c>
      <c r="B421" s="87">
        <v>5</v>
      </c>
      <c r="C421" s="110">
        <v>0.0029344952769776132</v>
      </c>
      <c r="D421" s="87" t="s">
        <v>1330</v>
      </c>
      <c r="E421" s="87" t="b">
        <v>0</v>
      </c>
      <c r="F421" s="87" t="b">
        <v>0</v>
      </c>
      <c r="G421" s="87" t="b">
        <v>0</v>
      </c>
    </row>
    <row r="422" spans="1:7" ht="15">
      <c r="A422" s="88" t="s">
        <v>1889</v>
      </c>
      <c r="B422" s="87">
        <v>5</v>
      </c>
      <c r="C422" s="110">
        <v>0.0029344952769776132</v>
      </c>
      <c r="D422" s="87" t="s">
        <v>1330</v>
      </c>
      <c r="E422" s="87" t="b">
        <v>0</v>
      </c>
      <c r="F422" s="87" t="b">
        <v>0</v>
      </c>
      <c r="G422" s="87" t="b">
        <v>0</v>
      </c>
    </row>
    <row r="423" spans="1:7" ht="15">
      <c r="A423" s="88" t="s">
        <v>284</v>
      </c>
      <c r="B423" s="87">
        <v>5</v>
      </c>
      <c r="C423" s="110">
        <v>0.0029344952769776132</v>
      </c>
      <c r="D423" s="87" t="s">
        <v>1330</v>
      </c>
      <c r="E423" s="87" t="b">
        <v>0</v>
      </c>
      <c r="F423" s="87" t="b">
        <v>0</v>
      </c>
      <c r="G423" s="87" t="b">
        <v>0</v>
      </c>
    </row>
    <row r="424" spans="1:7" ht="15">
      <c r="A424" s="88" t="s">
        <v>1838</v>
      </c>
      <c r="B424" s="87">
        <v>4</v>
      </c>
      <c r="C424" s="110">
        <v>0.002526149907455986</v>
      </c>
      <c r="D424" s="87" t="s">
        <v>1330</v>
      </c>
      <c r="E424" s="87" t="b">
        <v>0</v>
      </c>
      <c r="F424" s="87" t="b">
        <v>0</v>
      </c>
      <c r="G424" s="87" t="b">
        <v>0</v>
      </c>
    </row>
    <row r="425" spans="1:7" ht="15">
      <c r="A425" s="88" t="s">
        <v>1906</v>
      </c>
      <c r="B425" s="87">
        <v>4</v>
      </c>
      <c r="C425" s="110">
        <v>0.002526149907455986</v>
      </c>
      <c r="D425" s="87" t="s">
        <v>1330</v>
      </c>
      <c r="E425" s="87" t="b">
        <v>0</v>
      </c>
      <c r="F425" s="87" t="b">
        <v>0</v>
      </c>
      <c r="G425" s="87" t="b">
        <v>0</v>
      </c>
    </row>
    <row r="426" spans="1:7" ht="15">
      <c r="A426" s="88" t="s">
        <v>1898</v>
      </c>
      <c r="B426" s="87">
        <v>4</v>
      </c>
      <c r="C426" s="110">
        <v>0.002526149907455986</v>
      </c>
      <c r="D426" s="87" t="s">
        <v>1330</v>
      </c>
      <c r="E426" s="87" t="b">
        <v>0</v>
      </c>
      <c r="F426" s="87" t="b">
        <v>0</v>
      </c>
      <c r="G426" s="87" t="b">
        <v>0</v>
      </c>
    </row>
    <row r="427" spans="1:7" ht="15">
      <c r="A427" s="88" t="s">
        <v>1922</v>
      </c>
      <c r="B427" s="87">
        <v>4</v>
      </c>
      <c r="C427" s="110">
        <v>0.003080788314943745</v>
      </c>
      <c r="D427" s="87" t="s">
        <v>1330</v>
      </c>
      <c r="E427" s="87" t="b">
        <v>0</v>
      </c>
      <c r="F427" s="87" t="b">
        <v>0</v>
      </c>
      <c r="G427" s="87" t="b">
        <v>0</v>
      </c>
    </row>
    <row r="428" spans="1:7" ht="15">
      <c r="A428" s="88" t="s">
        <v>1482</v>
      </c>
      <c r="B428" s="87">
        <v>4</v>
      </c>
      <c r="C428" s="110">
        <v>0.002526149907455986</v>
      </c>
      <c r="D428" s="87" t="s">
        <v>1330</v>
      </c>
      <c r="E428" s="87" t="b">
        <v>0</v>
      </c>
      <c r="F428" s="87" t="b">
        <v>0</v>
      </c>
      <c r="G428" s="87" t="b">
        <v>0</v>
      </c>
    </row>
    <row r="429" spans="1:7" ht="15">
      <c r="A429" s="88" t="s">
        <v>1903</v>
      </c>
      <c r="B429" s="87">
        <v>4</v>
      </c>
      <c r="C429" s="110">
        <v>0.0027563456451037056</v>
      </c>
      <c r="D429" s="87" t="s">
        <v>1330</v>
      </c>
      <c r="E429" s="87" t="b">
        <v>0</v>
      </c>
      <c r="F429" s="87" t="b">
        <v>0</v>
      </c>
      <c r="G429" s="87" t="b">
        <v>0</v>
      </c>
    </row>
    <row r="430" spans="1:7" ht="15">
      <c r="A430" s="88" t="s">
        <v>1899</v>
      </c>
      <c r="B430" s="87">
        <v>4</v>
      </c>
      <c r="C430" s="110">
        <v>0.002526149907455986</v>
      </c>
      <c r="D430" s="87" t="s">
        <v>1330</v>
      </c>
      <c r="E430" s="87" t="b">
        <v>0</v>
      </c>
      <c r="F430" s="87" t="b">
        <v>0</v>
      </c>
      <c r="G430" s="87" t="b">
        <v>0</v>
      </c>
    </row>
    <row r="431" spans="1:7" ht="15">
      <c r="A431" s="88" t="s">
        <v>1853</v>
      </c>
      <c r="B431" s="87">
        <v>4</v>
      </c>
      <c r="C431" s="110">
        <v>0.002526149907455986</v>
      </c>
      <c r="D431" s="87" t="s">
        <v>1330</v>
      </c>
      <c r="E431" s="87" t="b">
        <v>0</v>
      </c>
      <c r="F431" s="87" t="b">
        <v>0</v>
      </c>
      <c r="G431" s="87" t="b">
        <v>0</v>
      </c>
    </row>
    <row r="432" spans="1:7" ht="15">
      <c r="A432" s="88" t="s">
        <v>1857</v>
      </c>
      <c r="B432" s="87">
        <v>4</v>
      </c>
      <c r="C432" s="110">
        <v>0.002526149907455986</v>
      </c>
      <c r="D432" s="87" t="s">
        <v>1330</v>
      </c>
      <c r="E432" s="87" t="b">
        <v>0</v>
      </c>
      <c r="F432" s="87" t="b">
        <v>0</v>
      </c>
      <c r="G432" s="87" t="b">
        <v>0</v>
      </c>
    </row>
    <row r="433" spans="1:7" ht="15">
      <c r="A433" s="88" t="s">
        <v>1844</v>
      </c>
      <c r="B433" s="87">
        <v>4</v>
      </c>
      <c r="C433" s="110">
        <v>0.002526149907455986</v>
      </c>
      <c r="D433" s="87" t="s">
        <v>1330</v>
      </c>
      <c r="E433" s="87" t="b">
        <v>1</v>
      </c>
      <c r="F433" s="87" t="b">
        <v>0</v>
      </c>
      <c r="G433" s="87" t="b">
        <v>0</v>
      </c>
    </row>
    <row r="434" spans="1:7" ht="15">
      <c r="A434" s="88" t="s">
        <v>1845</v>
      </c>
      <c r="B434" s="87">
        <v>4</v>
      </c>
      <c r="C434" s="110">
        <v>0.002526149907455986</v>
      </c>
      <c r="D434" s="87" t="s">
        <v>1330</v>
      </c>
      <c r="E434" s="87" t="b">
        <v>1</v>
      </c>
      <c r="F434" s="87" t="b">
        <v>0</v>
      </c>
      <c r="G434" s="87" t="b">
        <v>0</v>
      </c>
    </row>
    <row r="435" spans="1:7" ht="15">
      <c r="A435" s="88" t="s">
        <v>1846</v>
      </c>
      <c r="B435" s="87">
        <v>4</v>
      </c>
      <c r="C435" s="110">
        <v>0.002526149907455986</v>
      </c>
      <c r="D435" s="87" t="s">
        <v>1330</v>
      </c>
      <c r="E435" s="87" t="b">
        <v>0</v>
      </c>
      <c r="F435" s="87" t="b">
        <v>0</v>
      </c>
      <c r="G435" s="87" t="b">
        <v>0</v>
      </c>
    </row>
    <row r="436" spans="1:7" ht="15">
      <c r="A436" s="88" t="s">
        <v>1847</v>
      </c>
      <c r="B436" s="87">
        <v>4</v>
      </c>
      <c r="C436" s="110">
        <v>0.002526149907455986</v>
      </c>
      <c r="D436" s="87" t="s">
        <v>1330</v>
      </c>
      <c r="E436" s="87" t="b">
        <v>0</v>
      </c>
      <c r="F436" s="87" t="b">
        <v>0</v>
      </c>
      <c r="G436" s="87" t="b">
        <v>0</v>
      </c>
    </row>
    <row r="437" spans="1:7" ht="15">
      <c r="A437" s="88" t="s">
        <v>1848</v>
      </c>
      <c r="B437" s="87">
        <v>4</v>
      </c>
      <c r="C437" s="110">
        <v>0.002526149907455986</v>
      </c>
      <c r="D437" s="87" t="s">
        <v>1330</v>
      </c>
      <c r="E437" s="87" t="b">
        <v>0</v>
      </c>
      <c r="F437" s="87" t="b">
        <v>0</v>
      </c>
      <c r="G437" s="87" t="b">
        <v>0</v>
      </c>
    </row>
    <row r="438" spans="1:7" ht="15">
      <c r="A438" s="88" t="s">
        <v>1849</v>
      </c>
      <c r="B438" s="87">
        <v>4</v>
      </c>
      <c r="C438" s="110">
        <v>0.002526149907455986</v>
      </c>
      <c r="D438" s="87" t="s">
        <v>1330</v>
      </c>
      <c r="E438" s="87" t="b">
        <v>0</v>
      </c>
      <c r="F438" s="87" t="b">
        <v>0</v>
      </c>
      <c r="G438" s="87" t="b">
        <v>0</v>
      </c>
    </row>
    <row r="439" spans="1:7" ht="15">
      <c r="A439" s="88" t="s">
        <v>1850</v>
      </c>
      <c r="B439" s="87">
        <v>4</v>
      </c>
      <c r="C439" s="110">
        <v>0.002526149907455986</v>
      </c>
      <c r="D439" s="87" t="s">
        <v>1330</v>
      </c>
      <c r="E439" s="87" t="b">
        <v>0</v>
      </c>
      <c r="F439" s="87" t="b">
        <v>0</v>
      </c>
      <c r="G439" s="87" t="b">
        <v>0</v>
      </c>
    </row>
    <row r="440" spans="1:7" ht="15">
      <c r="A440" s="88" t="s">
        <v>1851</v>
      </c>
      <c r="B440" s="87">
        <v>4</v>
      </c>
      <c r="C440" s="110">
        <v>0.002526149907455986</v>
      </c>
      <c r="D440" s="87" t="s">
        <v>1330</v>
      </c>
      <c r="E440" s="87" t="b">
        <v>0</v>
      </c>
      <c r="F440" s="87" t="b">
        <v>0</v>
      </c>
      <c r="G440" s="87" t="b">
        <v>0</v>
      </c>
    </row>
    <row r="441" spans="1:7" ht="15">
      <c r="A441" s="88" t="s">
        <v>1852</v>
      </c>
      <c r="B441" s="87">
        <v>4</v>
      </c>
      <c r="C441" s="110">
        <v>0.002526149907455986</v>
      </c>
      <c r="D441" s="87" t="s">
        <v>1330</v>
      </c>
      <c r="E441" s="87" t="b">
        <v>0</v>
      </c>
      <c r="F441" s="87" t="b">
        <v>0</v>
      </c>
      <c r="G441" s="87" t="b">
        <v>0</v>
      </c>
    </row>
    <row r="442" spans="1:7" ht="15">
      <c r="A442" s="88" t="s">
        <v>1907</v>
      </c>
      <c r="B442" s="87">
        <v>4</v>
      </c>
      <c r="C442" s="110">
        <v>0.002526149907455986</v>
      </c>
      <c r="D442" s="87" t="s">
        <v>1330</v>
      </c>
      <c r="E442" s="87" t="b">
        <v>0</v>
      </c>
      <c r="F442" s="87" t="b">
        <v>0</v>
      </c>
      <c r="G442" s="87" t="b">
        <v>0</v>
      </c>
    </row>
    <row r="443" spans="1:7" ht="15">
      <c r="A443" s="88" t="s">
        <v>1917</v>
      </c>
      <c r="B443" s="87">
        <v>4</v>
      </c>
      <c r="C443" s="110">
        <v>0.002526149907455986</v>
      </c>
      <c r="D443" s="87" t="s">
        <v>1330</v>
      </c>
      <c r="E443" s="87" t="b">
        <v>0</v>
      </c>
      <c r="F443" s="87" t="b">
        <v>0</v>
      </c>
      <c r="G443" s="87" t="b">
        <v>0</v>
      </c>
    </row>
    <row r="444" spans="1:7" ht="15">
      <c r="A444" s="88" t="s">
        <v>1901</v>
      </c>
      <c r="B444" s="87">
        <v>4</v>
      </c>
      <c r="C444" s="110">
        <v>0.002526149907455986</v>
      </c>
      <c r="D444" s="87" t="s">
        <v>1330</v>
      </c>
      <c r="E444" s="87" t="b">
        <v>0</v>
      </c>
      <c r="F444" s="87" t="b">
        <v>0</v>
      </c>
      <c r="G444" s="87" t="b">
        <v>0</v>
      </c>
    </row>
    <row r="445" spans="1:7" ht="15">
      <c r="A445" s="88" t="s">
        <v>1904</v>
      </c>
      <c r="B445" s="87">
        <v>4</v>
      </c>
      <c r="C445" s="110">
        <v>0.002526149907455986</v>
      </c>
      <c r="D445" s="87" t="s">
        <v>1330</v>
      </c>
      <c r="E445" s="87" t="b">
        <v>0</v>
      </c>
      <c r="F445" s="87" t="b">
        <v>0</v>
      </c>
      <c r="G445" s="87" t="b">
        <v>0</v>
      </c>
    </row>
    <row r="446" spans="1:7" ht="15">
      <c r="A446" s="88" t="s">
        <v>1892</v>
      </c>
      <c r="B446" s="87">
        <v>4</v>
      </c>
      <c r="C446" s="110">
        <v>0.002526149907455986</v>
      </c>
      <c r="D446" s="87" t="s">
        <v>1330</v>
      </c>
      <c r="E446" s="87" t="b">
        <v>0</v>
      </c>
      <c r="F446" s="87" t="b">
        <v>0</v>
      </c>
      <c r="G446" s="87" t="b">
        <v>0</v>
      </c>
    </row>
    <row r="447" spans="1:7" ht="15">
      <c r="A447" s="88" t="s">
        <v>1890</v>
      </c>
      <c r="B447" s="87">
        <v>3</v>
      </c>
      <c r="C447" s="110">
        <v>0.0020672592338277793</v>
      </c>
      <c r="D447" s="87" t="s">
        <v>1330</v>
      </c>
      <c r="E447" s="87" t="b">
        <v>0</v>
      </c>
      <c r="F447" s="87" t="b">
        <v>0</v>
      </c>
      <c r="G447" s="87" t="b">
        <v>0</v>
      </c>
    </row>
    <row r="448" spans="1:7" ht="15">
      <c r="A448" s="88" t="s">
        <v>1863</v>
      </c>
      <c r="B448" s="87">
        <v>3</v>
      </c>
      <c r="C448" s="110">
        <v>0.0020672592338277793</v>
      </c>
      <c r="D448" s="87" t="s">
        <v>1330</v>
      </c>
      <c r="E448" s="87" t="b">
        <v>0</v>
      </c>
      <c r="F448" s="87" t="b">
        <v>0</v>
      </c>
      <c r="G448" s="87" t="b">
        <v>0</v>
      </c>
    </row>
    <row r="449" spans="1:7" ht="15">
      <c r="A449" s="88" t="s">
        <v>1939</v>
      </c>
      <c r="B449" s="87">
        <v>3</v>
      </c>
      <c r="C449" s="110">
        <v>0.0020672592338277793</v>
      </c>
      <c r="D449" s="87" t="s">
        <v>1330</v>
      </c>
      <c r="E449" s="87" t="b">
        <v>1</v>
      </c>
      <c r="F449" s="87" t="b">
        <v>0</v>
      </c>
      <c r="G449" s="87" t="b">
        <v>0</v>
      </c>
    </row>
    <row r="450" spans="1:7" ht="15">
      <c r="A450" s="88" t="s">
        <v>1905</v>
      </c>
      <c r="B450" s="87">
        <v>3</v>
      </c>
      <c r="C450" s="110">
        <v>0.0020672592338277793</v>
      </c>
      <c r="D450" s="87" t="s">
        <v>1330</v>
      </c>
      <c r="E450" s="87" t="b">
        <v>0</v>
      </c>
      <c r="F450" s="87" t="b">
        <v>0</v>
      </c>
      <c r="G450" s="87" t="b">
        <v>0</v>
      </c>
    </row>
    <row r="451" spans="1:7" ht="15">
      <c r="A451" s="88" t="s">
        <v>1932</v>
      </c>
      <c r="B451" s="87">
        <v>3</v>
      </c>
      <c r="C451" s="110">
        <v>0.0020672592338277793</v>
      </c>
      <c r="D451" s="87" t="s">
        <v>1330</v>
      </c>
      <c r="E451" s="87" t="b">
        <v>0</v>
      </c>
      <c r="F451" s="87" t="b">
        <v>0</v>
      </c>
      <c r="G451" s="87" t="b">
        <v>0</v>
      </c>
    </row>
    <row r="452" spans="1:7" ht="15">
      <c r="A452" s="88" t="s">
        <v>1933</v>
      </c>
      <c r="B452" s="87">
        <v>3</v>
      </c>
      <c r="C452" s="110">
        <v>0.0020672592338277793</v>
      </c>
      <c r="D452" s="87" t="s">
        <v>1330</v>
      </c>
      <c r="E452" s="87" t="b">
        <v>0</v>
      </c>
      <c r="F452" s="87" t="b">
        <v>0</v>
      </c>
      <c r="G452" s="87" t="b">
        <v>0</v>
      </c>
    </row>
    <row r="453" spans="1:7" ht="15">
      <c r="A453" s="88" t="s">
        <v>1855</v>
      </c>
      <c r="B453" s="87">
        <v>3</v>
      </c>
      <c r="C453" s="110">
        <v>0.0020672592338277793</v>
      </c>
      <c r="D453" s="87" t="s">
        <v>1330</v>
      </c>
      <c r="E453" s="87" t="b">
        <v>0</v>
      </c>
      <c r="F453" s="87" t="b">
        <v>0</v>
      </c>
      <c r="G453" s="87" t="b">
        <v>0</v>
      </c>
    </row>
    <row r="454" spans="1:7" ht="15">
      <c r="A454" s="88" t="s">
        <v>1944</v>
      </c>
      <c r="B454" s="87">
        <v>3</v>
      </c>
      <c r="C454" s="110">
        <v>0.0020672592338277793</v>
      </c>
      <c r="D454" s="87" t="s">
        <v>1330</v>
      </c>
      <c r="E454" s="87" t="b">
        <v>0</v>
      </c>
      <c r="F454" s="87" t="b">
        <v>0</v>
      </c>
      <c r="G454" s="87" t="b">
        <v>0</v>
      </c>
    </row>
    <row r="455" spans="1:7" ht="15">
      <c r="A455" s="88" t="s">
        <v>1928</v>
      </c>
      <c r="B455" s="87">
        <v>3</v>
      </c>
      <c r="C455" s="110">
        <v>0.0020672592338277793</v>
      </c>
      <c r="D455" s="87" t="s">
        <v>1330</v>
      </c>
      <c r="E455" s="87" t="b">
        <v>1</v>
      </c>
      <c r="F455" s="87" t="b">
        <v>0</v>
      </c>
      <c r="G455" s="87" t="b">
        <v>0</v>
      </c>
    </row>
    <row r="456" spans="1:7" ht="15">
      <c r="A456" s="88" t="s">
        <v>1942</v>
      </c>
      <c r="B456" s="87">
        <v>3</v>
      </c>
      <c r="C456" s="110">
        <v>0.0020672592338277793</v>
      </c>
      <c r="D456" s="87" t="s">
        <v>1330</v>
      </c>
      <c r="E456" s="87" t="b">
        <v>0</v>
      </c>
      <c r="F456" s="87" t="b">
        <v>0</v>
      </c>
      <c r="G456" s="87" t="b">
        <v>0</v>
      </c>
    </row>
    <row r="457" spans="1:7" ht="15">
      <c r="A457" s="88" t="s">
        <v>1935</v>
      </c>
      <c r="B457" s="87">
        <v>3</v>
      </c>
      <c r="C457" s="110">
        <v>0.002310591236207809</v>
      </c>
      <c r="D457" s="87" t="s">
        <v>1330</v>
      </c>
      <c r="E457" s="87" t="b">
        <v>0</v>
      </c>
      <c r="F457" s="87" t="b">
        <v>0</v>
      </c>
      <c r="G457" s="87" t="b">
        <v>0</v>
      </c>
    </row>
    <row r="458" spans="1:7" ht="15">
      <c r="A458" s="88" t="s">
        <v>1941</v>
      </c>
      <c r="B458" s="87">
        <v>3</v>
      </c>
      <c r="C458" s="110">
        <v>0.002310591236207809</v>
      </c>
      <c r="D458" s="87" t="s">
        <v>1330</v>
      </c>
      <c r="E458" s="87" t="b">
        <v>0</v>
      </c>
      <c r="F458" s="87" t="b">
        <v>0</v>
      </c>
      <c r="G458" s="87" t="b">
        <v>0</v>
      </c>
    </row>
    <row r="459" spans="1:7" ht="15">
      <c r="A459" s="88" t="s">
        <v>1864</v>
      </c>
      <c r="B459" s="87">
        <v>3</v>
      </c>
      <c r="C459" s="110">
        <v>0.0020672592338277793</v>
      </c>
      <c r="D459" s="87" t="s">
        <v>1330</v>
      </c>
      <c r="E459" s="87" t="b">
        <v>0</v>
      </c>
      <c r="F459" s="87" t="b">
        <v>0</v>
      </c>
      <c r="G459" s="87" t="b">
        <v>0</v>
      </c>
    </row>
    <row r="460" spans="1:7" ht="15">
      <c r="A460" s="88" t="s">
        <v>1865</v>
      </c>
      <c r="B460" s="87">
        <v>3</v>
      </c>
      <c r="C460" s="110">
        <v>0.0020672592338277793</v>
      </c>
      <c r="D460" s="87" t="s">
        <v>1330</v>
      </c>
      <c r="E460" s="87" t="b">
        <v>0</v>
      </c>
      <c r="F460" s="87" t="b">
        <v>0</v>
      </c>
      <c r="G460" s="87" t="b">
        <v>0</v>
      </c>
    </row>
    <row r="461" spans="1:7" ht="15">
      <c r="A461" s="88" t="s">
        <v>1495</v>
      </c>
      <c r="B461" s="87">
        <v>3</v>
      </c>
      <c r="C461" s="110">
        <v>0.0020672592338277793</v>
      </c>
      <c r="D461" s="87" t="s">
        <v>1330</v>
      </c>
      <c r="E461" s="87" t="b">
        <v>1</v>
      </c>
      <c r="F461" s="87" t="b">
        <v>0</v>
      </c>
      <c r="G461" s="87" t="b">
        <v>0</v>
      </c>
    </row>
    <row r="462" spans="1:7" ht="15">
      <c r="A462" s="88" t="s">
        <v>304</v>
      </c>
      <c r="B462" s="87">
        <v>3</v>
      </c>
      <c r="C462" s="110">
        <v>0.0020672592338277793</v>
      </c>
      <c r="D462" s="87" t="s">
        <v>1330</v>
      </c>
      <c r="E462" s="87" t="b">
        <v>0</v>
      </c>
      <c r="F462" s="87" t="b">
        <v>0</v>
      </c>
      <c r="G462" s="87" t="b">
        <v>0</v>
      </c>
    </row>
    <row r="463" spans="1:7" ht="15">
      <c r="A463" s="88" t="s">
        <v>1945</v>
      </c>
      <c r="B463" s="87">
        <v>3</v>
      </c>
      <c r="C463" s="110">
        <v>0.0020672592338277793</v>
      </c>
      <c r="D463" s="87" t="s">
        <v>1330</v>
      </c>
      <c r="E463" s="87" t="b">
        <v>0</v>
      </c>
      <c r="F463" s="87" t="b">
        <v>0</v>
      </c>
      <c r="G463" s="87" t="b">
        <v>0</v>
      </c>
    </row>
    <row r="464" spans="1:7" ht="15">
      <c r="A464" s="88" t="s">
        <v>1946</v>
      </c>
      <c r="B464" s="87">
        <v>3</v>
      </c>
      <c r="C464" s="110">
        <v>0.0020672592338277793</v>
      </c>
      <c r="D464" s="87" t="s">
        <v>1330</v>
      </c>
      <c r="E464" s="87" t="b">
        <v>0</v>
      </c>
      <c r="F464" s="87" t="b">
        <v>0</v>
      </c>
      <c r="G464" s="87" t="b">
        <v>0</v>
      </c>
    </row>
    <row r="465" spans="1:7" ht="15">
      <c r="A465" s="88" t="s">
        <v>1947</v>
      </c>
      <c r="B465" s="87">
        <v>3</v>
      </c>
      <c r="C465" s="110">
        <v>0.0020672592338277793</v>
      </c>
      <c r="D465" s="87" t="s">
        <v>1330</v>
      </c>
      <c r="E465" s="87" t="b">
        <v>0</v>
      </c>
      <c r="F465" s="87" t="b">
        <v>0</v>
      </c>
      <c r="G465" s="87" t="b">
        <v>0</v>
      </c>
    </row>
    <row r="466" spans="1:7" ht="15">
      <c r="A466" s="88" t="s">
        <v>288</v>
      </c>
      <c r="B466" s="87">
        <v>3</v>
      </c>
      <c r="C466" s="110">
        <v>0.0020672592338277793</v>
      </c>
      <c r="D466" s="87" t="s">
        <v>1330</v>
      </c>
      <c r="E466" s="87" t="b">
        <v>0</v>
      </c>
      <c r="F466" s="87" t="b">
        <v>0</v>
      </c>
      <c r="G466" s="87" t="b">
        <v>0</v>
      </c>
    </row>
    <row r="467" spans="1:7" ht="15">
      <c r="A467" s="88" t="s">
        <v>1934</v>
      </c>
      <c r="B467" s="87">
        <v>3</v>
      </c>
      <c r="C467" s="110">
        <v>0.0020672592338277793</v>
      </c>
      <c r="D467" s="87" t="s">
        <v>1330</v>
      </c>
      <c r="E467" s="87" t="b">
        <v>1</v>
      </c>
      <c r="F467" s="87" t="b">
        <v>0</v>
      </c>
      <c r="G467" s="87" t="b">
        <v>0</v>
      </c>
    </row>
    <row r="468" spans="1:7" ht="15">
      <c r="A468" s="88" t="s">
        <v>277</v>
      </c>
      <c r="B468" s="87">
        <v>3</v>
      </c>
      <c r="C468" s="110">
        <v>0.0020672592338277793</v>
      </c>
      <c r="D468" s="87" t="s">
        <v>1330</v>
      </c>
      <c r="E468" s="87" t="b">
        <v>0</v>
      </c>
      <c r="F468" s="87" t="b">
        <v>0</v>
      </c>
      <c r="G468" s="87" t="b">
        <v>0</v>
      </c>
    </row>
    <row r="469" spans="1:7" ht="15">
      <c r="A469" s="88" t="s">
        <v>1943</v>
      </c>
      <c r="B469" s="87">
        <v>3</v>
      </c>
      <c r="C469" s="110">
        <v>0.0020672592338277793</v>
      </c>
      <c r="D469" s="87" t="s">
        <v>1330</v>
      </c>
      <c r="E469" s="87" t="b">
        <v>0</v>
      </c>
      <c r="F469" s="87" t="b">
        <v>0</v>
      </c>
      <c r="G469" s="87" t="b">
        <v>0</v>
      </c>
    </row>
    <row r="470" spans="1:7" ht="15">
      <c r="A470" s="88" t="s">
        <v>1940</v>
      </c>
      <c r="B470" s="87">
        <v>3</v>
      </c>
      <c r="C470" s="110">
        <v>0.0020672592338277793</v>
      </c>
      <c r="D470" s="87" t="s">
        <v>1330</v>
      </c>
      <c r="E470" s="87" t="b">
        <v>0</v>
      </c>
      <c r="F470" s="87" t="b">
        <v>1</v>
      </c>
      <c r="G470" s="87" t="b">
        <v>0</v>
      </c>
    </row>
    <row r="471" spans="1:7" ht="15">
      <c r="A471" s="88" t="s">
        <v>1929</v>
      </c>
      <c r="B471" s="87">
        <v>3</v>
      </c>
      <c r="C471" s="110">
        <v>0.0020672592338277793</v>
      </c>
      <c r="D471" s="87" t="s">
        <v>1330</v>
      </c>
      <c r="E471" s="87" t="b">
        <v>0</v>
      </c>
      <c r="F471" s="87" t="b">
        <v>0</v>
      </c>
      <c r="G471" s="87" t="b">
        <v>0</v>
      </c>
    </row>
    <row r="472" spans="1:7" ht="15">
      <c r="A472" s="88" t="s">
        <v>324</v>
      </c>
      <c r="B472" s="87">
        <v>3</v>
      </c>
      <c r="C472" s="110">
        <v>0.002310591236207809</v>
      </c>
      <c r="D472" s="87" t="s">
        <v>1330</v>
      </c>
      <c r="E472" s="87" t="b">
        <v>0</v>
      </c>
      <c r="F472" s="87" t="b">
        <v>0</v>
      </c>
      <c r="G472" s="87" t="b">
        <v>0</v>
      </c>
    </row>
    <row r="473" spans="1:7" ht="15">
      <c r="A473" s="88" t="s">
        <v>1931</v>
      </c>
      <c r="B473" s="87">
        <v>3</v>
      </c>
      <c r="C473" s="110">
        <v>0.0020672592338277793</v>
      </c>
      <c r="D473" s="87" t="s">
        <v>1330</v>
      </c>
      <c r="E473" s="87" t="b">
        <v>0</v>
      </c>
      <c r="F473" s="87" t="b">
        <v>0</v>
      </c>
      <c r="G473" s="87" t="b">
        <v>0</v>
      </c>
    </row>
    <row r="474" spans="1:7" ht="15">
      <c r="A474" s="88" t="s">
        <v>342</v>
      </c>
      <c r="B474" s="87">
        <v>3</v>
      </c>
      <c r="C474" s="110">
        <v>0.0020672592338277793</v>
      </c>
      <c r="D474" s="87" t="s">
        <v>1330</v>
      </c>
      <c r="E474" s="87" t="b">
        <v>0</v>
      </c>
      <c r="F474" s="87" t="b">
        <v>0</v>
      </c>
      <c r="G474" s="87" t="b">
        <v>0</v>
      </c>
    </row>
    <row r="475" spans="1:7" ht="15">
      <c r="A475" s="88" t="s">
        <v>346</v>
      </c>
      <c r="B475" s="87">
        <v>3</v>
      </c>
      <c r="C475" s="110">
        <v>0.0020672592338277793</v>
      </c>
      <c r="D475" s="87" t="s">
        <v>1330</v>
      </c>
      <c r="E475" s="87" t="b">
        <v>0</v>
      </c>
      <c r="F475" s="87" t="b">
        <v>0</v>
      </c>
      <c r="G475" s="87" t="b">
        <v>0</v>
      </c>
    </row>
    <row r="476" spans="1:7" ht="15">
      <c r="A476" s="88" t="s">
        <v>350</v>
      </c>
      <c r="B476" s="87">
        <v>2</v>
      </c>
      <c r="C476" s="110">
        <v>0.0015403941574718724</v>
      </c>
      <c r="D476" s="87" t="s">
        <v>1330</v>
      </c>
      <c r="E476" s="87" t="b">
        <v>0</v>
      </c>
      <c r="F476" s="87" t="b">
        <v>0</v>
      </c>
      <c r="G476" s="87" t="b">
        <v>0</v>
      </c>
    </row>
    <row r="477" spans="1:7" ht="15">
      <c r="A477" s="88" t="s">
        <v>1959</v>
      </c>
      <c r="B477" s="87">
        <v>2</v>
      </c>
      <c r="C477" s="110">
        <v>0.0015403941574718724</v>
      </c>
      <c r="D477" s="87" t="s">
        <v>1330</v>
      </c>
      <c r="E477" s="87" t="b">
        <v>0</v>
      </c>
      <c r="F477" s="87" t="b">
        <v>0</v>
      </c>
      <c r="G477" s="87" t="b">
        <v>0</v>
      </c>
    </row>
    <row r="478" spans="1:7" ht="15">
      <c r="A478" s="88" t="s">
        <v>1960</v>
      </c>
      <c r="B478" s="87">
        <v>2</v>
      </c>
      <c r="C478" s="110">
        <v>0.0015403941574718724</v>
      </c>
      <c r="D478" s="87" t="s">
        <v>1330</v>
      </c>
      <c r="E478" s="87" t="b">
        <v>0</v>
      </c>
      <c r="F478" s="87" t="b">
        <v>0</v>
      </c>
      <c r="G478" s="87" t="b">
        <v>0</v>
      </c>
    </row>
    <row r="479" spans="1:7" ht="15">
      <c r="A479" s="88" t="s">
        <v>1891</v>
      </c>
      <c r="B479" s="87">
        <v>2</v>
      </c>
      <c r="C479" s="110">
        <v>0.0015403941574718724</v>
      </c>
      <c r="D479" s="87" t="s">
        <v>1330</v>
      </c>
      <c r="E479" s="87" t="b">
        <v>0</v>
      </c>
      <c r="F479" s="87" t="b">
        <v>0</v>
      </c>
      <c r="G479" s="87" t="b">
        <v>0</v>
      </c>
    </row>
    <row r="480" spans="1:7" ht="15">
      <c r="A480" s="88" t="s">
        <v>1880</v>
      </c>
      <c r="B480" s="87">
        <v>2</v>
      </c>
      <c r="C480" s="110">
        <v>0.0015403941574718724</v>
      </c>
      <c r="D480" s="87" t="s">
        <v>1330</v>
      </c>
      <c r="E480" s="87" t="b">
        <v>0</v>
      </c>
      <c r="F480" s="87" t="b">
        <v>0</v>
      </c>
      <c r="G480" s="87" t="b">
        <v>0</v>
      </c>
    </row>
    <row r="481" spans="1:7" ht="15">
      <c r="A481" s="88" t="s">
        <v>2050</v>
      </c>
      <c r="B481" s="87">
        <v>2</v>
      </c>
      <c r="C481" s="110">
        <v>0.0015403941574718724</v>
      </c>
      <c r="D481" s="87" t="s">
        <v>1330</v>
      </c>
      <c r="E481" s="87" t="b">
        <v>0</v>
      </c>
      <c r="F481" s="87" t="b">
        <v>0</v>
      </c>
      <c r="G481" s="87" t="b">
        <v>0</v>
      </c>
    </row>
    <row r="482" spans="1:7" ht="15">
      <c r="A482" s="88" t="s">
        <v>2054</v>
      </c>
      <c r="B482" s="87">
        <v>2</v>
      </c>
      <c r="C482" s="110">
        <v>0.0018177133612157519</v>
      </c>
      <c r="D482" s="87" t="s">
        <v>1330</v>
      </c>
      <c r="E482" s="87" t="b">
        <v>0</v>
      </c>
      <c r="F482" s="87" t="b">
        <v>0</v>
      </c>
      <c r="G482" s="87" t="b">
        <v>0</v>
      </c>
    </row>
    <row r="483" spans="1:7" ht="15">
      <c r="A483" s="88" t="s">
        <v>2016</v>
      </c>
      <c r="B483" s="87">
        <v>2</v>
      </c>
      <c r="C483" s="110">
        <v>0.0015403941574718724</v>
      </c>
      <c r="D483" s="87" t="s">
        <v>1330</v>
      </c>
      <c r="E483" s="87" t="b">
        <v>0</v>
      </c>
      <c r="F483" s="87" t="b">
        <v>0</v>
      </c>
      <c r="G483" s="87" t="b">
        <v>0</v>
      </c>
    </row>
    <row r="484" spans="1:7" ht="15">
      <c r="A484" s="88" t="s">
        <v>2017</v>
      </c>
      <c r="B484" s="87">
        <v>2</v>
      </c>
      <c r="C484" s="110">
        <v>0.0015403941574718724</v>
      </c>
      <c r="D484" s="87" t="s">
        <v>1330</v>
      </c>
      <c r="E484" s="87" t="b">
        <v>0</v>
      </c>
      <c r="F484" s="87" t="b">
        <v>0</v>
      </c>
      <c r="G484" s="87" t="b">
        <v>0</v>
      </c>
    </row>
    <row r="485" spans="1:7" ht="15">
      <c r="A485" s="88" t="s">
        <v>1997</v>
      </c>
      <c r="B485" s="87">
        <v>2</v>
      </c>
      <c r="C485" s="110">
        <v>0.0015403941574718724</v>
      </c>
      <c r="D485" s="87" t="s">
        <v>1330</v>
      </c>
      <c r="E485" s="87" t="b">
        <v>0</v>
      </c>
      <c r="F485" s="87" t="b">
        <v>0</v>
      </c>
      <c r="G485" s="87" t="b">
        <v>0</v>
      </c>
    </row>
    <row r="486" spans="1:7" ht="15">
      <c r="A486" s="88" t="s">
        <v>1982</v>
      </c>
      <c r="B486" s="87">
        <v>2</v>
      </c>
      <c r="C486" s="110">
        <v>0.0015403941574718724</v>
      </c>
      <c r="D486" s="87" t="s">
        <v>1330</v>
      </c>
      <c r="E486" s="87" t="b">
        <v>0</v>
      </c>
      <c r="F486" s="87" t="b">
        <v>0</v>
      </c>
      <c r="G486" s="87" t="b">
        <v>0</v>
      </c>
    </row>
    <row r="487" spans="1:7" ht="15">
      <c r="A487" s="88" t="s">
        <v>2014</v>
      </c>
      <c r="B487" s="87">
        <v>2</v>
      </c>
      <c r="C487" s="110">
        <v>0.0015403941574718724</v>
      </c>
      <c r="D487" s="87" t="s">
        <v>1330</v>
      </c>
      <c r="E487" s="87" t="b">
        <v>0</v>
      </c>
      <c r="F487" s="87" t="b">
        <v>0</v>
      </c>
      <c r="G487" s="87" t="b">
        <v>0</v>
      </c>
    </row>
    <row r="488" spans="1:7" ht="15">
      <c r="A488" s="88" t="s">
        <v>2040</v>
      </c>
      <c r="B488" s="87">
        <v>2</v>
      </c>
      <c r="C488" s="110">
        <v>0.0015403941574718724</v>
      </c>
      <c r="D488" s="87" t="s">
        <v>1330</v>
      </c>
      <c r="E488" s="87" t="b">
        <v>1</v>
      </c>
      <c r="F488" s="87" t="b">
        <v>0</v>
      </c>
      <c r="G488" s="87" t="b">
        <v>0</v>
      </c>
    </row>
    <row r="489" spans="1:7" ht="15">
      <c r="A489" s="88" t="s">
        <v>2041</v>
      </c>
      <c r="B489" s="87">
        <v>2</v>
      </c>
      <c r="C489" s="110">
        <v>0.0015403941574718724</v>
      </c>
      <c r="D489" s="87" t="s">
        <v>1330</v>
      </c>
      <c r="E489" s="87" t="b">
        <v>0</v>
      </c>
      <c r="F489" s="87" t="b">
        <v>0</v>
      </c>
      <c r="G489" s="87" t="b">
        <v>0</v>
      </c>
    </row>
    <row r="490" spans="1:7" ht="15">
      <c r="A490" s="88" t="s">
        <v>2042</v>
      </c>
      <c r="B490" s="87">
        <v>2</v>
      </c>
      <c r="C490" s="110">
        <v>0.0015403941574718724</v>
      </c>
      <c r="D490" s="87" t="s">
        <v>1330</v>
      </c>
      <c r="E490" s="87" t="b">
        <v>0</v>
      </c>
      <c r="F490" s="87" t="b">
        <v>0</v>
      </c>
      <c r="G490" s="87" t="b">
        <v>0</v>
      </c>
    </row>
    <row r="491" spans="1:7" ht="15">
      <c r="A491" s="88" t="s">
        <v>2052</v>
      </c>
      <c r="B491" s="87">
        <v>2</v>
      </c>
      <c r="C491" s="110">
        <v>0.0018177133612157519</v>
      </c>
      <c r="D491" s="87" t="s">
        <v>1330</v>
      </c>
      <c r="E491" s="87" t="b">
        <v>0</v>
      </c>
      <c r="F491" s="87" t="b">
        <v>0</v>
      </c>
      <c r="G491" s="87" t="b">
        <v>0</v>
      </c>
    </row>
    <row r="492" spans="1:7" ht="15">
      <c r="A492" s="88" t="s">
        <v>2053</v>
      </c>
      <c r="B492" s="87">
        <v>2</v>
      </c>
      <c r="C492" s="110">
        <v>0.0018177133612157519</v>
      </c>
      <c r="D492" s="87" t="s">
        <v>1330</v>
      </c>
      <c r="E492" s="87" t="b">
        <v>0</v>
      </c>
      <c r="F492" s="87" t="b">
        <v>0</v>
      </c>
      <c r="G492" s="87" t="b">
        <v>0</v>
      </c>
    </row>
    <row r="493" spans="1:7" ht="15">
      <c r="A493" s="88" t="s">
        <v>2013</v>
      </c>
      <c r="B493" s="87">
        <v>2</v>
      </c>
      <c r="C493" s="110">
        <v>0.0015403941574718724</v>
      </c>
      <c r="D493" s="87" t="s">
        <v>1330</v>
      </c>
      <c r="E493" s="87" t="b">
        <v>0</v>
      </c>
      <c r="F493" s="87" t="b">
        <v>0</v>
      </c>
      <c r="G493" s="87" t="b">
        <v>0</v>
      </c>
    </row>
    <row r="494" spans="1:7" ht="15">
      <c r="A494" s="88" t="s">
        <v>306</v>
      </c>
      <c r="B494" s="87">
        <v>2</v>
      </c>
      <c r="C494" s="110">
        <v>0.0015403941574718724</v>
      </c>
      <c r="D494" s="87" t="s">
        <v>1330</v>
      </c>
      <c r="E494" s="87" t="b">
        <v>0</v>
      </c>
      <c r="F494" s="87" t="b">
        <v>0</v>
      </c>
      <c r="G494" s="87" t="b">
        <v>0</v>
      </c>
    </row>
    <row r="495" spans="1:7" ht="15">
      <c r="A495" s="88" t="s">
        <v>1996</v>
      </c>
      <c r="B495" s="87">
        <v>2</v>
      </c>
      <c r="C495" s="110">
        <v>0.0015403941574718724</v>
      </c>
      <c r="D495" s="87" t="s">
        <v>1330</v>
      </c>
      <c r="E495" s="87" t="b">
        <v>1</v>
      </c>
      <c r="F495" s="87" t="b">
        <v>0</v>
      </c>
      <c r="G495" s="87" t="b">
        <v>0</v>
      </c>
    </row>
    <row r="496" spans="1:7" ht="15">
      <c r="A496" s="88" t="s">
        <v>2010</v>
      </c>
      <c r="B496" s="87">
        <v>2</v>
      </c>
      <c r="C496" s="110">
        <v>0.0015403941574718724</v>
      </c>
      <c r="D496" s="87" t="s">
        <v>1330</v>
      </c>
      <c r="E496" s="87" t="b">
        <v>0</v>
      </c>
      <c r="F496" s="87" t="b">
        <v>0</v>
      </c>
      <c r="G496" s="87" t="b">
        <v>0</v>
      </c>
    </row>
    <row r="497" spans="1:7" ht="15">
      <c r="A497" s="88" t="s">
        <v>2051</v>
      </c>
      <c r="B497" s="87">
        <v>2</v>
      </c>
      <c r="C497" s="110">
        <v>0.0018177133612157519</v>
      </c>
      <c r="D497" s="87" t="s">
        <v>1330</v>
      </c>
      <c r="E497" s="87" t="b">
        <v>0</v>
      </c>
      <c r="F497" s="87" t="b">
        <v>0</v>
      </c>
      <c r="G497" s="87" t="b">
        <v>0</v>
      </c>
    </row>
    <row r="498" spans="1:7" ht="15">
      <c r="A498" s="88" t="s">
        <v>1984</v>
      </c>
      <c r="B498" s="87">
        <v>2</v>
      </c>
      <c r="C498" s="110">
        <v>0.0015403941574718724</v>
      </c>
      <c r="D498" s="87" t="s">
        <v>1330</v>
      </c>
      <c r="E498" s="87" t="b">
        <v>0</v>
      </c>
      <c r="F498" s="87" t="b">
        <v>0</v>
      </c>
      <c r="G498" s="87" t="b">
        <v>0</v>
      </c>
    </row>
    <row r="499" spans="1:7" ht="15">
      <c r="A499" s="88" t="s">
        <v>2033</v>
      </c>
      <c r="B499" s="87">
        <v>2</v>
      </c>
      <c r="C499" s="110">
        <v>0.0015403941574718724</v>
      </c>
      <c r="D499" s="87" t="s">
        <v>1330</v>
      </c>
      <c r="E499" s="87" t="b">
        <v>0</v>
      </c>
      <c r="F499" s="87" t="b">
        <v>0</v>
      </c>
      <c r="G499" s="87" t="b">
        <v>0</v>
      </c>
    </row>
    <row r="500" spans="1:7" ht="15">
      <c r="A500" s="88" t="s">
        <v>1989</v>
      </c>
      <c r="B500" s="87">
        <v>2</v>
      </c>
      <c r="C500" s="110">
        <v>0.0015403941574718724</v>
      </c>
      <c r="D500" s="87" t="s">
        <v>1330</v>
      </c>
      <c r="E500" s="87" t="b">
        <v>0</v>
      </c>
      <c r="F500" s="87" t="b">
        <v>0</v>
      </c>
      <c r="G500" s="87" t="b">
        <v>0</v>
      </c>
    </row>
    <row r="501" spans="1:7" ht="15">
      <c r="A501" s="88" t="s">
        <v>2044</v>
      </c>
      <c r="B501" s="87">
        <v>2</v>
      </c>
      <c r="C501" s="110">
        <v>0.0015403941574718724</v>
      </c>
      <c r="D501" s="87" t="s">
        <v>1330</v>
      </c>
      <c r="E501" s="87" t="b">
        <v>0</v>
      </c>
      <c r="F501" s="87" t="b">
        <v>0</v>
      </c>
      <c r="G501" s="87" t="b">
        <v>0</v>
      </c>
    </row>
    <row r="502" spans="1:7" ht="15">
      <c r="A502" s="88" t="s">
        <v>1981</v>
      </c>
      <c r="B502" s="87">
        <v>2</v>
      </c>
      <c r="C502" s="110">
        <v>0.0015403941574718724</v>
      </c>
      <c r="D502" s="87" t="s">
        <v>1330</v>
      </c>
      <c r="E502" s="87" t="b">
        <v>0</v>
      </c>
      <c r="F502" s="87" t="b">
        <v>0</v>
      </c>
      <c r="G502" s="87" t="b">
        <v>0</v>
      </c>
    </row>
    <row r="503" spans="1:7" ht="15">
      <c r="A503" s="88" t="s">
        <v>2049</v>
      </c>
      <c r="B503" s="87">
        <v>2</v>
      </c>
      <c r="C503" s="110">
        <v>0.0015403941574718724</v>
      </c>
      <c r="D503" s="87" t="s">
        <v>1330</v>
      </c>
      <c r="E503" s="87" t="b">
        <v>0</v>
      </c>
      <c r="F503" s="87" t="b">
        <v>0</v>
      </c>
      <c r="G503" s="87" t="b">
        <v>0</v>
      </c>
    </row>
    <row r="504" spans="1:7" ht="15">
      <c r="A504" s="88" t="s">
        <v>1874</v>
      </c>
      <c r="B504" s="87">
        <v>2</v>
      </c>
      <c r="C504" s="110">
        <v>0.0015403941574718724</v>
      </c>
      <c r="D504" s="87" t="s">
        <v>1330</v>
      </c>
      <c r="E504" s="87" t="b">
        <v>0</v>
      </c>
      <c r="F504" s="87" t="b">
        <v>0</v>
      </c>
      <c r="G504" s="87" t="b">
        <v>0</v>
      </c>
    </row>
    <row r="505" spans="1:7" ht="15">
      <c r="A505" s="88" t="s">
        <v>1902</v>
      </c>
      <c r="B505" s="87">
        <v>2</v>
      </c>
      <c r="C505" s="110">
        <v>0.0015403941574718724</v>
      </c>
      <c r="D505" s="87" t="s">
        <v>1330</v>
      </c>
      <c r="E505" s="87" t="b">
        <v>1</v>
      </c>
      <c r="F505" s="87" t="b">
        <v>0</v>
      </c>
      <c r="G505" s="87" t="b">
        <v>0</v>
      </c>
    </row>
    <row r="506" spans="1:7" ht="15">
      <c r="A506" s="88" t="s">
        <v>1908</v>
      </c>
      <c r="B506" s="87">
        <v>2</v>
      </c>
      <c r="C506" s="110">
        <v>0.0015403941574718724</v>
      </c>
      <c r="D506" s="87" t="s">
        <v>1330</v>
      </c>
      <c r="E506" s="87" t="b">
        <v>0</v>
      </c>
      <c r="F506" s="87" t="b">
        <v>0</v>
      </c>
      <c r="G506" s="87" t="b">
        <v>0</v>
      </c>
    </row>
    <row r="507" spans="1:7" ht="15">
      <c r="A507" s="88" t="s">
        <v>1909</v>
      </c>
      <c r="B507" s="87">
        <v>2</v>
      </c>
      <c r="C507" s="110">
        <v>0.0015403941574718724</v>
      </c>
      <c r="D507" s="87" t="s">
        <v>1330</v>
      </c>
      <c r="E507" s="87" t="b">
        <v>0</v>
      </c>
      <c r="F507" s="87" t="b">
        <v>0</v>
      </c>
      <c r="G507" s="87" t="b">
        <v>0</v>
      </c>
    </row>
    <row r="508" spans="1:7" ht="15">
      <c r="A508" s="88" t="s">
        <v>1910</v>
      </c>
      <c r="B508" s="87">
        <v>2</v>
      </c>
      <c r="C508" s="110">
        <v>0.0015403941574718724</v>
      </c>
      <c r="D508" s="87" t="s">
        <v>1330</v>
      </c>
      <c r="E508" s="87" t="b">
        <v>0</v>
      </c>
      <c r="F508" s="87" t="b">
        <v>0</v>
      </c>
      <c r="G508" s="87" t="b">
        <v>0</v>
      </c>
    </row>
    <row r="509" spans="1:7" ht="15">
      <c r="A509" s="88" t="s">
        <v>1998</v>
      </c>
      <c r="B509" s="87">
        <v>2</v>
      </c>
      <c r="C509" s="110">
        <v>0.0015403941574718724</v>
      </c>
      <c r="D509" s="87" t="s">
        <v>1330</v>
      </c>
      <c r="E509" s="87" t="b">
        <v>0</v>
      </c>
      <c r="F509" s="87" t="b">
        <v>0</v>
      </c>
      <c r="G509" s="87" t="b">
        <v>0</v>
      </c>
    </row>
    <row r="510" spans="1:7" ht="15">
      <c r="A510" s="88" t="s">
        <v>2043</v>
      </c>
      <c r="B510" s="87">
        <v>2</v>
      </c>
      <c r="C510" s="110">
        <v>0.0018177133612157519</v>
      </c>
      <c r="D510" s="87" t="s">
        <v>1330</v>
      </c>
      <c r="E510" s="87" t="b">
        <v>0</v>
      </c>
      <c r="F510" s="87" t="b">
        <v>0</v>
      </c>
      <c r="G510" s="87" t="b">
        <v>0</v>
      </c>
    </row>
    <row r="511" spans="1:7" ht="15">
      <c r="A511" s="88" t="s">
        <v>1991</v>
      </c>
      <c r="B511" s="87">
        <v>2</v>
      </c>
      <c r="C511" s="110">
        <v>0.0015403941574718724</v>
      </c>
      <c r="D511" s="87" t="s">
        <v>1330</v>
      </c>
      <c r="E511" s="87" t="b">
        <v>0</v>
      </c>
      <c r="F511" s="87" t="b">
        <v>0</v>
      </c>
      <c r="G511" s="87" t="b">
        <v>0</v>
      </c>
    </row>
    <row r="512" spans="1:7" ht="15">
      <c r="A512" s="88" t="s">
        <v>1992</v>
      </c>
      <c r="B512" s="87">
        <v>2</v>
      </c>
      <c r="C512" s="110">
        <v>0.0015403941574718724</v>
      </c>
      <c r="D512" s="87" t="s">
        <v>1330</v>
      </c>
      <c r="E512" s="87" t="b">
        <v>0</v>
      </c>
      <c r="F512" s="87" t="b">
        <v>0</v>
      </c>
      <c r="G512" s="87" t="b">
        <v>0</v>
      </c>
    </row>
    <row r="513" spans="1:7" ht="15">
      <c r="A513" s="88" t="s">
        <v>2038</v>
      </c>
      <c r="B513" s="87">
        <v>2</v>
      </c>
      <c r="C513" s="110">
        <v>0.0015403941574718724</v>
      </c>
      <c r="D513" s="87" t="s">
        <v>1330</v>
      </c>
      <c r="E513" s="87" t="b">
        <v>0</v>
      </c>
      <c r="F513" s="87" t="b">
        <v>0</v>
      </c>
      <c r="G513" s="87" t="b">
        <v>0</v>
      </c>
    </row>
    <row r="514" spans="1:7" ht="15">
      <c r="A514" s="88" t="s">
        <v>1882</v>
      </c>
      <c r="B514" s="87">
        <v>2</v>
      </c>
      <c r="C514" s="110">
        <v>0.0015403941574718724</v>
      </c>
      <c r="D514" s="87" t="s">
        <v>1330</v>
      </c>
      <c r="E514" s="87" t="b">
        <v>0</v>
      </c>
      <c r="F514" s="87" t="b">
        <v>0</v>
      </c>
      <c r="G514" s="87" t="b">
        <v>0</v>
      </c>
    </row>
    <row r="515" spans="1:7" ht="15">
      <c r="A515" s="88" t="s">
        <v>1474</v>
      </c>
      <c r="B515" s="87">
        <v>2</v>
      </c>
      <c r="C515" s="110">
        <v>0.0015403941574718724</v>
      </c>
      <c r="D515" s="87" t="s">
        <v>1330</v>
      </c>
      <c r="E515" s="87" t="b">
        <v>0</v>
      </c>
      <c r="F515" s="87" t="b">
        <v>0</v>
      </c>
      <c r="G515" s="87" t="b">
        <v>0</v>
      </c>
    </row>
    <row r="516" spans="1:7" ht="15">
      <c r="A516" s="88" t="s">
        <v>1471</v>
      </c>
      <c r="B516" s="87">
        <v>2</v>
      </c>
      <c r="C516" s="110">
        <v>0.0018177133612157519</v>
      </c>
      <c r="D516" s="87" t="s">
        <v>1330</v>
      </c>
      <c r="E516" s="87" t="b">
        <v>1</v>
      </c>
      <c r="F516" s="87" t="b">
        <v>0</v>
      </c>
      <c r="G516" s="87" t="b">
        <v>0</v>
      </c>
    </row>
    <row r="517" spans="1:7" ht="15">
      <c r="A517" s="88" t="s">
        <v>1489</v>
      </c>
      <c r="B517" s="87">
        <v>2</v>
      </c>
      <c r="C517" s="110">
        <v>0.0018177133612157519</v>
      </c>
      <c r="D517" s="87" t="s">
        <v>1330</v>
      </c>
      <c r="E517" s="87" t="b">
        <v>0</v>
      </c>
      <c r="F517" s="87" t="b">
        <v>0</v>
      </c>
      <c r="G517" s="87" t="b">
        <v>0</v>
      </c>
    </row>
    <row r="518" spans="1:7" ht="15">
      <c r="A518" s="88" t="s">
        <v>1496</v>
      </c>
      <c r="B518" s="87">
        <v>2</v>
      </c>
      <c r="C518" s="110">
        <v>0.0015403941574718724</v>
      </c>
      <c r="D518" s="87" t="s">
        <v>1330</v>
      </c>
      <c r="E518" s="87" t="b">
        <v>0</v>
      </c>
      <c r="F518" s="87" t="b">
        <v>0</v>
      </c>
      <c r="G518" s="87" t="b">
        <v>0</v>
      </c>
    </row>
    <row r="519" spans="1:7" ht="15">
      <c r="A519" s="88" t="s">
        <v>2018</v>
      </c>
      <c r="B519" s="87">
        <v>2</v>
      </c>
      <c r="C519" s="110">
        <v>0.0015403941574718724</v>
      </c>
      <c r="D519" s="87" t="s">
        <v>1330</v>
      </c>
      <c r="E519" s="87" t="b">
        <v>0</v>
      </c>
      <c r="F519" s="87" t="b">
        <v>0</v>
      </c>
      <c r="G519" s="87" t="b">
        <v>0</v>
      </c>
    </row>
    <row r="520" spans="1:7" ht="15">
      <c r="A520" s="88" t="s">
        <v>264</v>
      </c>
      <c r="B520" s="87">
        <v>2</v>
      </c>
      <c r="C520" s="110">
        <v>0.0015403941574718724</v>
      </c>
      <c r="D520" s="87" t="s">
        <v>1330</v>
      </c>
      <c r="E520" s="87" t="b">
        <v>0</v>
      </c>
      <c r="F520" s="87" t="b">
        <v>0</v>
      </c>
      <c r="G520" s="87" t="b">
        <v>0</v>
      </c>
    </row>
    <row r="521" spans="1:7" ht="15">
      <c r="A521" s="88" t="s">
        <v>2027</v>
      </c>
      <c r="B521" s="87">
        <v>2</v>
      </c>
      <c r="C521" s="110">
        <v>0.0015403941574718724</v>
      </c>
      <c r="D521" s="87" t="s">
        <v>1330</v>
      </c>
      <c r="E521" s="87" t="b">
        <v>0</v>
      </c>
      <c r="F521" s="87" t="b">
        <v>0</v>
      </c>
      <c r="G521" s="87" t="b">
        <v>0</v>
      </c>
    </row>
    <row r="522" spans="1:7" ht="15">
      <c r="A522" s="88" t="s">
        <v>2028</v>
      </c>
      <c r="B522" s="87">
        <v>2</v>
      </c>
      <c r="C522" s="110">
        <v>0.0015403941574718724</v>
      </c>
      <c r="D522" s="87" t="s">
        <v>1330</v>
      </c>
      <c r="E522" s="87" t="b">
        <v>0</v>
      </c>
      <c r="F522" s="87" t="b">
        <v>0</v>
      </c>
      <c r="G522" s="87" t="b">
        <v>0</v>
      </c>
    </row>
    <row r="523" spans="1:7" ht="15">
      <c r="A523" s="88" t="s">
        <v>2029</v>
      </c>
      <c r="B523" s="87">
        <v>2</v>
      </c>
      <c r="C523" s="110">
        <v>0.0015403941574718724</v>
      </c>
      <c r="D523" s="87" t="s">
        <v>1330</v>
      </c>
      <c r="E523" s="87" t="b">
        <v>0</v>
      </c>
      <c r="F523" s="87" t="b">
        <v>0</v>
      </c>
      <c r="G523" s="87" t="b">
        <v>0</v>
      </c>
    </row>
    <row r="524" spans="1:7" ht="15">
      <c r="A524" s="88" t="s">
        <v>276</v>
      </c>
      <c r="B524" s="87">
        <v>2</v>
      </c>
      <c r="C524" s="110">
        <v>0.0015403941574718724</v>
      </c>
      <c r="D524" s="87" t="s">
        <v>1330</v>
      </c>
      <c r="E524" s="87" t="b">
        <v>0</v>
      </c>
      <c r="F524" s="87" t="b">
        <v>0</v>
      </c>
      <c r="G524" s="87" t="b">
        <v>0</v>
      </c>
    </row>
    <row r="525" spans="1:7" ht="15">
      <c r="A525" s="88" t="s">
        <v>316</v>
      </c>
      <c r="B525" s="87">
        <v>2</v>
      </c>
      <c r="C525" s="110">
        <v>0.0015403941574718724</v>
      </c>
      <c r="D525" s="87" t="s">
        <v>1330</v>
      </c>
      <c r="E525" s="87" t="b">
        <v>0</v>
      </c>
      <c r="F525" s="87" t="b">
        <v>0</v>
      </c>
      <c r="G525" s="87" t="b">
        <v>0</v>
      </c>
    </row>
    <row r="526" spans="1:7" ht="15">
      <c r="A526" s="88" t="s">
        <v>2030</v>
      </c>
      <c r="B526" s="87">
        <v>2</v>
      </c>
      <c r="C526" s="110">
        <v>0.0015403941574718724</v>
      </c>
      <c r="D526" s="87" t="s">
        <v>1330</v>
      </c>
      <c r="E526" s="87" t="b">
        <v>0</v>
      </c>
      <c r="F526" s="87" t="b">
        <v>0</v>
      </c>
      <c r="G526" s="87" t="b">
        <v>0</v>
      </c>
    </row>
    <row r="527" spans="1:7" ht="15">
      <c r="A527" s="88" t="s">
        <v>2031</v>
      </c>
      <c r="B527" s="87">
        <v>2</v>
      </c>
      <c r="C527" s="110">
        <v>0.0015403941574718724</v>
      </c>
      <c r="D527" s="87" t="s">
        <v>1330</v>
      </c>
      <c r="E527" s="87" t="b">
        <v>0</v>
      </c>
      <c r="F527" s="87" t="b">
        <v>0</v>
      </c>
      <c r="G527" s="87" t="b">
        <v>0</v>
      </c>
    </row>
    <row r="528" spans="1:7" ht="15">
      <c r="A528" s="88" t="s">
        <v>2019</v>
      </c>
      <c r="B528" s="87">
        <v>2</v>
      </c>
      <c r="C528" s="110">
        <v>0.0015403941574718724</v>
      </c>
      <c r="D528" s="87" t="s">
        <v>1330</v>
      </c>
      <c r="E528" s="87" t="b">
        <v>0</v>
      </c>
      <c r="F528" s="87" t="b">
        <v>0</v>
      </c>
      <c r="G528" s="87" t="b">
        <v>0</v>
      </c>
    </row>
    <row r="529" spans="1:7" ht="15">
      <c r="A529" s="88" t="s">
        <v>2020</v>
      </c>
      <c r="B529" s="87">
        <v>2</v>
      </c>
      <c r="C529" s="110">
        <v>0.0015403941574718724</v>
      </c>
      <c r="D529" s="87" t="s">
        <v>1330</v>
      </c>
      <c r="E529" s="87" t="b">
        <v>0</v>
      </c>
      <c r="F529" s="87" t="b">
        <v>0</v>
      </c>
      <c r="G529" s="87" t="b">
        <v>0</v>
      </c>
    </row>
    <row r="530" spans="1:7" ht="15">
      <c r="A530" s="88" t="s">
        <v>2021</v>
      </c>
      <c r="B530" s="87">
        <v>2</v>
      </c>
      <c r="C530" s="110">
        <v>0.0015403941574718724</v>
      </c>
      <c r="D530" s="87" t="s">
        <v>1330</v>
      </c>
      <c r="E530" s="87" t="b">
        <v>0</v>
      </c>
      <c r="F530" s="87" t="b">
        <v>0</v>
      </c>
      <c r="G530" s="87" t="b">
        <v>0</v>
      </c>
    </row>
    <row r="531" spans="1:7" ht="15">
      <c r="A531" s="88" t="s">
        <v>2022</v>
      </c>
      <c r="B531" s="87">
        <v>2</v>
      </c>
      <c r="C531" s="110">
        <v>0.0015403941574718724</v>
      </c>
      <c r="D531" s="87" t="s">
        <v>1330</v>
      </c>
      <c r="E531" s="87" t="b">
        <v>0</v>
      </c>
      <c r="F531" s="87" t="b">
        <v>0</v>
      </c>
      <c r="G531" s="87" t="b">
        <v>0</v>
      </c>
    </row>
    <row r="532" spans="1:7" ht="15">
      <c r="A532" s="88" t="s">
        <v>280</v>
      </c>
      <c r="B532" s="87">
        <v>2</v>
      </c>
      <c r="C532" s="110">
        <v>0.0015403941574718724</v>
      </c>
      <c r="D532" s="87" t="s">
        <v>1330</v>
      </c>
      <c r="E532" s="87" t="b">
        <v>0</v>
      </c>
      <c r="F532" s="87" t="b">
        <v>0</v>
      </c>
      <c r="G532" s="87" t="b">
        <v>0</v>
      </c>
    </row>
    <row r="533" spans="1:7" ht="15">
      <c r="A533" s="88" t="s">
        <v>2015</v>
      </c>
      <c r="B533" s="87">
        <v>2</v>
      </c>
      <c r="C533" s="110">
        <v>0.0015403941574718724</v>
      </c>
      <c r="D533" s="87" t="s">
        <v>1330</v>
      </c>
      <c r="E533" s="87" t="b">
        <v>0</v>
      </c>
      <c r="F533" s="87" t="b">
        <v>0</v>
      </c>
      <c r="G533" s="87" t="b">
        <v>0</v>
      </c>
    </row>
    <row r="534" spans="1:7" ht="15">
      <c r="A534" s="88" t="s">
        <v>1978</v>
      </c>
      <c r="B534" s="87">
        <v>2</v>
      </c>
      <c r="C534" s="110">
        <v>0.0015403941574718724</v>
      </c>
      <c r="D534" s="87" t="s">
        <v>1330</v>
      </c>
      <c r="E534" s="87" t="b">
        <v>0</v>
      </c>
      <c r="F534" s="87" t="b">
        <v>0</v>
      </c>
      <c r="G534" s="87" t="b">
        <v>0</v>
      </c>
    </row>
    <row r="535" spans="1:7" ht="15">
      <c r="A535" s="88" t="s">
        <v>1979</v>
      </c>
      <c r="B535" s="87">
        <v>2</v>
      </c>
      <c r="C535" s="110">
        <v>0.0015403941574718724</v>
      </c>
      <c r="D535" s="87" t="s">
        <v>1330</v>
      </c>
      <c r="E535" s="87" t="b">
        <v>0</v>
      </c>
      <c r="F535" s="87" t="b">
        <v>0</v>
      </c>
      <c r="G535" s="87" t="b">
        <v>0</v>
      </c>
    </row>
    <row r="536" spans="1:7" ht="15">
      <c r="A536" s="88" t="s">
        <v>1980</v>
      </c>
      <c r="B536" s="87">
        <v>2</v>
      </c>
      <c r="C536" s="110">
        <v>0.0015403941574718724</v>
      </c>
      <c r="D536" s="87" t="s">
        <v>1330</v>
      </c>
      <c r="E536" s="87" t="b">
        <v>0</v>
      </c>
      <c r="F536" s="87" t="b">
        <v>0</v>
      </c>
      <c r="G536" s="87" t="b">
        <v>0</v>
      </c>
    </row>
    <row r="537" spans="1:7" ht="15">
      <c r="A537" s="88" t="s">
        <v>2012</v>
      </c>
      <c r="B537" s="87">
        <v>2</v>
      </c>
      <c r="C537" s="110">
        <v>0.0018177133612157519</v>
      </c>
      <c r="D537" s="87" t="s">
        <v>1330</v>
      </c>
      <c r="E537" s="87" t="b">
        <v>0</v>
      </c>
      <c r="F537" s="87" t="b">
        <v>0</v>
      </c>
      <c r="G537" s="87" t="b">
        <v>0</v>
      </c>
    </row>
    <row r="538" spans="1:7" ht="15">
      <c r="A538" s="88" t="s">
        <v>2011</v>
      </c>
      <c r="B538" s="87">
        <v>2</v>
      </c>
      <c r="C538" s="110">
        <v>0.0018177133612157519</v>
      </c>
      <c r="D538" s="87" t="s">
        <v>1330</v>
      </c>
      <c r="E538" s="87" t="b">
        <v>0</v>
      </c>
      <c r="F538" s="87" t="b">
        <v>0</v>
      </c>
      <c r="G538" s="87" t="b">
        <v>0</v>
      </c>
    </row>
    <row r="539" spans="1:7" ht="15">
      <c r="A539" s="88" t="s">
        <v>1983</v>
      </c>
      <c r="B539" s="87">
        <v>2</v>
      </c>
      <c r="C539" s="110">
        <v>0.0015403941574718724</v>
      </c>
      <c r="D539" s="87" t="s">
        <v>1330</v>
      </c>
      <c r="E539" s="87" t="b">
        <v>0</v>
      </c>
      <c r="F539" s="87" t="b">
        <v>0</v>
      </c>
      <c r="G539" s="87" t="b">
        <v>0</v>
      </c>
    </row>
    <row r="540" spans="1:7" ht="15">
      <c r="A540" s="88" t="s">
        <v>1964</v>
      </c>
      <c r="B540" s="87">
        <v>2</v>
      </c>
      <c r="C540" s="110">
        <v>0.0015403941574718724</v>
      </c>
      <c r="D540" s="87" t="s">
        <v>1330</v>
      </c>
      <c r="E540" s="87" t="b">
        <v>0</v>
      </c>
      <c r="F540" s="87" t="b">
        <v>0</v>
      </c>
      <c r="G540" s="87" t="b">
        <v>0</v>
      </c>
    </row>
    <row r="541" spans="1:7" ht="15">
      <c r="A541" s="88" t="s">
        <v>1965</v>
      </c>
      <c r="B541" s="87">
        <v>2</v>
      </c>
      <c r="C541" s="110">
        <v>0.0015403941574718724</v>
      </c>
      <c r="D541" s="87" t="s">
        <v>1330</v>
      </c>
      <c r="E541" s="87" t="b">
        <v>0</v>
      </c>
      <c r="F541" s="87" t="b">
        <v>0</v>
      </c>
      <c r="G541" s="87" t="b">
        <v>0</v>
      </c>
    </row>
    <row r="542" spans="1:7" ht="15">
      <c r="A542" s="88" t="s">
        <v>1875</v>
      </c>
      <c r="B542" s="87">
        <v>2</v>
      </c>
      <c r="C542" s="110">
        <v>0.0015403941574718724</v>
      </c>
      <c r="D542" s="87" t="s">
        <v>1330</v>
      </c>
      <c r="E542" s="87" t="b">
        <v>0</v>
      </c>
      <c r="F542" s="87" t="b">
        <v>0</v>
      </c>
      <c r="G542" s="87" t="b">
        <v>0</v>
      </c>
    </row>
    <row r="543" spans="1:7" ht="15">
      <c r="A543" s="88" t="s">
        <v>330</v>
      </c>
      <c r="B543" s="87">
        <v>2</v>
      </c>
      <c r="C543" s="110">
        <v>0.0015403941574718724</v>
      </c>
      <c r="D543" s="87" t="s">
        <v>1330</v>
      </c>
      <c r="E543" s="87" t="b">
        <v>0</v>
      </c>
      <c r="F543" s="87" t="b">
        <v>0</v>
      </c>
      <c r="G543" s="87" t="b">
        <v>0</v>
      </c>
    </row>
    <row r="544" spans="1:7" ht="15">
      <c r="A544" s="88" t="s">
        <v>1993</v>
      </c>
      <c r="B544" s="87">
        <v>2</v>
      </c>
      <c r="C544" s="110">
        <v>0.0015403941574718724</v>
      </c>
      <c r="D544" s="87" t="s">
        <v>1330</v>
      </c>
      <c r="E544" s="87" t="b">
        <v>0</v>
      </c>
      <c r="F544" s="87" t="b">
        <v>0</v>
      </c>
      <c r="G544" s="87" t="b">
        <v>0</v>
      </c>
    </row>
    <row r="545" spans="1:7" ht="15">
      <c r="A545" s="88" t="s">
        <v>1994</v>
      </c>
      <c r="B545" s="87">
        <v>2</v>
      </c>
      <c r="C545" s="110">
        <v>0.0015403941574718724</v>
      </c>
      <c r="D545" s="87" t="s">
        <v>1330</v>
      </c>
      <c r="E545" s="87" t="b">
        <v>0</v>
      </c>
      <c r="F545" s="87" t="b">
        <v>0</v>
      </c>
      <c r="G545" s="87" t="b">
        <v>0</v>
      </c>
    </row>
    <row r="546" spans="1:7" ht="15">
      <c r="A546" s="88" t="s">
        <v>1995</v>
      </c>
      <c r="B546" s="87">
        <v>2</v>
      </c>
      <c r="C546" s="110">
        <v>0.0015403941574718724</v>
      </c>
      <c r="D546" s="87" t="s">
        <v>1330</v>
      </c>
      <c r="E546" s="87" t="b">
        <v>0</v>
      </c>
      <c r="F546" s="87" t="b">
        <v>0</v>
      </c>
      <c r="G546" s="87" t="b">
        <v>0</v>
      </c>
    </row>
    <row r="547" spans="1:7" ht="15">
      <c r="A547" s="88" t="s">
        <v>1990</v>
      </c>
      <c r="B547" s="87">
        <v>2</v>
      </c>
      <c r="C547" s="110">
        <v>0.0018177133612157519</v>
      </c>
      <c r="D547" s="87" t="s">
        <v>1330</v>
      </c>
      <c r="E547" s="87" t="b">
        <v>0</v>
      </c>
      <c r="F547" s="87" t="b">
        <v>0</v>
      </c>
      <c r="G547" s="87" t="b">
        <v>0</v>
      </c>
    </row>
    <row r="548" spans="1:7" ht="15">
      <c r="A548" s="88" t="s">
        <v>1985</v>
      </c>
      <c r="B548" s="87">
        <v>2</v>
      </c>
      <c r="C548" s="110">
        <v>0.0015403941574718724</v>
      </c>
      <c r="D548" s="87" t="s">
        <v>1330</v>
      </c>
      <c r="E548" s="87" t="b">
        <v>0</v>
      </c>
      <c r="F548" s="87" t="b">
        <v>0</v>
      </c>
      <c r="G548" s="87" t="b">
        <v>0</v>
      </c>
    </row>
    <row r="549" spans="1:7" ht="15">
      <c r="A549" s="88" t="s">
        <v>1986</v>
      </c>
      <c r="B549" s="87">
        <v>2</v>
      </c>
      <c r="C549" s="110">
        <v>0.0015403941574718724</v>
      </c>
      <c r="D549" s="87" t="s">
        <v>1330</v>
      </c>
      <c r="E549" s="87" t="b">
        <v>0</v>
      </c>
      <c r="F549" s="87" t="b">
        <v>0</v>
      </c>
      <c r="G549" s="87" t="b">
        <v>0</v>
      </c>
    </row>
    <row r="550" spans="1:7" ht="15">
      <c r="A550" s="88" t="s">
        <v>1987</v>
      </c>
      <c r="B550" s="87">
        <v>2</v>
      </c>
      <c r="C550" s="110">
        <v>0.0015403941574718724</v>
      </c>
      <c r="D550" s="87" t="s">
        <v>1330</v>
      </c>
      <c r="E550" s="87" t="b">
        <v>0</v>
      </c>
      <c r="F550" s="87" t="b">
        <v>0</v>
      </c>
      <c r="G550" s="87" t="b">
        <v>0</v>
      </c>
    </row>
    <row r="551" spans="1:7" ht="15">
      <c r="A551" s="88" t="s">
        <v>1988</v>
      </c>
      <c r="B551" s="87">
        <v>2</v>
      </c>
      <c r="C551" s="110">
        <v>0.0015403941574718724</v>
      </c>
      <c r="D551" s="87" t="s">
        <v>1330</v>
      </c>
      <c r="E551" s="87" t="b">
        <v>0</v>
      </c>
      <c r="F551" s="87" t="b">
        <v>0</v>
      </c>
      <c r="G551" s="87" t="b">
        <v>0</v>
      </c>
    </row>
    <row r="552" spans="1:7" ht="15">
      <c r="A552" s="88" t="s">
        <v>286</v>
      </c>
      <c r="B552" s="87">
        <v>2</v>
      </c>
      <c r="C552" s="110">
        <v>0.0015403941574718724</v>
      </c>
      <c r="D552" s="87" t="s">
        <v>1330</v>
      </c>
      <c r="E552" s="87" t="b">
        <v>0</v>
      </c>
      <c r="F552" s="87" t="b">
        <v>0</v>
      </c>
      <c r="G552" s="87" t="b">
        <v>0</v>
      </c>
    </row>
    <row r="553" spans="1:7" ht="15">
      <c r="A553" s="88" t="s">
        <v>1977</v>
      </c>
      <c r="B553" s="87">
        <v>2</v>
      </c>
      <c r="C553" s="110">
        <v>0.0018177133612157519</v>
      </c>
      <c r="D553" s="87" t="s">
        <v>1330</v>
      </c>
      <c r="E553" s="87" t="b">
        <v>0</v>
      </c>
      <c r="F553" s="87" t="b">
        <v>0</v>
      </c>
      <c r="G553" s="87" t="b">
        <v>0</v>
      </c>
    </row>
    <row r="554" spans="1:7" ht="15">
      <c r="A554" s="88" t="s">
        <v>334</v>
      </c>
      <c r="B554" s="87">
        <v>2</v>
      </c>
      <c r="C554" s="110">
        <v>0.0015403941574718724</v>
      </c>
      <c r="D554" s="87" t="s">
        <v>1330</v>
      </c>
      <c r="E554" s="87" t="b">
        <v>0</v>
      </c>
      <c r="F554" s="87" t="b">
        <v>0</v>
      </c>
      <c r="G554" s="87" t="b">
        <v>0</v>
      </c>
    </row>
    <row r="555" spans="1:7" ht="15">
      <c r="A555" s="88" t="s">
        <v>345</v>
      </c>
      <c r="B555" s="87">
        <v>2</v>
      </c>
      <c r="C555" s="110">
        <v>0.0015403941574718724</v>
      </c>
      <c r="D555" s="87" t="s">
        <v>1330</v>
      </c>
      <c r="E555" s="87" t="b">
        <v>0</v>
      </c>
      <c r="F555" s="87" t="b">
        <v>0</v>
      </c>
      <c r="G555" s="87" t="b">
        <v>0</v>
      </c>
    </row>
    <row r="556" spans="1:7" ht="15">
      <c r="A556" s="88" t="s">
        <v>1961</v>
      </c>
      <c r="B556" s="87">
        <v>2</v>
      </c>
      <c r="C556" s="110">
        <v>0.0018177133612157519</v>
      </c>
      <c r="D556" s="87" t="s">
        <v>1330</v>
      </c>
      <c r="E556" s="87" t="b">
        <v>0</v>
      </c>
      <c r="F556" s="87" t="b">
        <v>0</v>
      </c>
      <c r="G556" s="87" t="b">
        <v>0</v>
      </c>
    </row>
    <row r="557" spans="1:7" ht="15">
      <c r="A557" s="88" t="s">
        <v>1453</v>
      </c>
      <c r="B557" s="87">
        <v>9</v>
      </c>
      <c r="C557" s="110">
        <v>0</v>
      </c>
      <c r="D557" s="87" t="s">
        <v>1331</v>
      </c>
      <c r="E557" s="87" t="b">
        <v>0</v>
      </c>
      <c r="F557" s="87" t="b">
        <v>0</v>
      </c>
      <c r="G557" s="87" t="b">
        <v>0</v>
      </c>
    </row>
    <row r="558" spans="1:7" ht="15">
      <c r="A558" s="88" t="s">
        <v>1437</v>
      </c>
      <c r="B558" s="87">
        <v>8</v>
      </c>
      <c r="C558" s="110">
        <v>0.009030320977214422</v>
      </c>
      <c r="D558" s="87" t="s">
        <v>1331</v>
      </c>
      <c r="E558" s="87" t="b">
        <v>0</v>
      </c>
      <c r="F558" s="87" t="b">
        <v>0</v>
      </c>
      <c r="G558" s="87" t="b">
        <v>0</v>
      </c>
    </row>
    <row r="559" spans="1:7" ht="15">
      <c r="A559" s="88" t="s">
        <v>1456</v>
      </c>
      <c r="B559" s="87">
        <v>7</v>
      </c>
      <c r="C559" s="110">
        <v>0.0048975082434325416</v>
      </c>
      <c r="D559" s="87" t="s">
        <v>1331</v>
      </c>
      <c r="E559" s="87" t="b">
        <v>0</v>
      </c>
      <c r="F559" s="87" t="b">
        <v>0</v>
      </c>
      <c r="G559" s="87" t="b">
        <v>0</v>
      </c>
    </row>
    <row r="560" spans="1:7" ht="15">
      <c r="A560" s="88" t="s">
        <v>1455</v>
      </c>
      <c r="B560" s="87">
        <v>7</v>
      </c>
      <c r="C560" s="110">
        <v>0.0048975082434325416</v>
      </c>
      <c r="D560" s="87" t="s">
        <v>1331</v>
      </c>
      <c r="E560" s="87" t="b">
        <v>0</v>
      </c>
      <c r="F560" s="87" t="b">
        <v>0</v>
      </c>
      <c r="G560" s="87" t="b">
        <v>0</v>
      </c>
    </row>
    <row r="561" spans="1:7" ht="15">
      <c r="A561" s="88" t="s">
        <v>1454</v>
      </c>
      <c r="B561" s="87">
        <v>7</v>
      </c>
      <c r="C561" s="110">
        <v>0.0048975082434325416</v>
      </c>
      <c r="D561" s="87" t="s">
        <v>1331</v>
      </c>
      <c r="E561" s="87" t="b">
        <v>0</v>
      </c>
      <c r="F561" s="87" t="b">
        <v>0</v>
      </c>
      <c r="G561" s="87" t="b">
        <v>0</v>
      </c>
    </row>
    <row r="562" spans="1:7" ht="15">
      <c r="A562" s="88" t="s">
        <v>1464</v>
      </c>
      <c r="B562" s="87">
        <v>6</v>
      </c>
      <c r="C562" s="110">
        <v>0.006772740732910817</v>
      </c>
      <c r="D562" s="87" t="s">
        <v>1331</v>
      </c>
      <c r="E562" s="87" t="b">
        <v>0</v>
      </c>
      <c r="F562" s="87" t="b">
        <v>0</v>
      </c>
      <c r="G562" s="87" t="b">
        <v>0</v>
      </c>
    </row>
    <row r="563" spans="1:7" ht="15">
      <c r="A563" s="88" t="s">
        <v>1457</v>
      </c>
      <c r="B563" s="87">
        <v>6</v>
      </c>
      <c r="C563" s="110">
        <v>0.006772740732910817</v>
      </c>
      <c r="D563" s="87" t="s">
        <v>1331</v>
      </c>
      <c r="E563" s="87" t="b">
        <v>0</v>
      </c>
      <c r="F563" s="87" t="b">
        <v>0</v>
      </c>
      <c r="G563" s="87" t="b">
        <v>0</v>
      </c>
    </row>
    <row r="564" spans="1:7" ht="15">
      <c r="A564" s="88" t="s">
        <v>1465</v>
      </c>
      <c r="B564" s="87">
        <v>5</v>
      </c>
      <c r="C564" s="110">
        <v>0.0081818110610034</v>
      </c>
      <c r="D564" s="87" t="s">
        <v>1331</v>
      </c>
      <c r="E564" s="87" t="b">
        <v>0</v>
      </c>
      <c r="F564" s="87" t="b">
        <v>0</v>
      </c>
      <c r="G564" s="87" t="b">
        <v>0</v>
      </c>
    </row>
    <row r="565" spans="1:7" ht="15">
      <c r="A565" s="88" t="s">
        <v>1466</v>
      </c>
      <c r="B565" s="87">
        <v>5</v>
      </c>
      <c r="C565" s="110">
        <v>0.0081818110610034</v>
      </c>
      <c r="D565" s="87" t="s">
        <v>1331</v>
      </c>
      <c r="E565" s="87" t="b">
        <v>0</v>
      </c>
      <c r="F565" s="87" t="b">
        <v>0</v>
      </c>
      <c r="G565" s="87" t="b">
        <v>0</v>
      </c>
    </row>
    <row r="566" spans="1:7" ht="15">
      <c r="A566" s="88" t="s">
        <v>1467</v>
      </c>
      <c r="B566" s="87">
        <v>5</v>
      </c>
      <c r="C566" s="110">
        <v>0.0081818110610034</v>
      </c>
      <c r="D566" s="87" t="s">
        <v>1331</v>
      </c>
      <c r="E566" s="87" t="b">
        <v>0</v>
      </c>
      <c r="F566" s="87" t="b">
        <v>0</v>
      </c>
      <c r="G566" s="87" t="b">
        <v>0</v>
      </c>
    </row>
    <row r="567" spans="1:7" ht="15">
      <c r="A567" s="88" t="s">
        <v>292</v>
      </c>
      <c r="B567" s="87">
        <v>5</v>
      </c>
      <c r="C567" s="110">
        <v>0.0081818110610034</v>
      </c>
      <c r="D567" s="87" t="s">
        <v>1331</v>
      </c>
      <c r="E567" s="87" t="b">
        <v>0</v>
      </c>
      <c r="F567" s="87" t="b">
        <v>0</v>
      </c>
      <c r="G567" s="87" t="b">
        <v>0</v>
      </c>
    </row>
    <row r="568" spans="1:7" ht="15">
      <c r="A568" s="88" t="s">
        <v>1460</v>
      </c>
      <c r="B568" s="87">
        <v>5</v>
      </c>
      <c r="C568" s="110">
        <v>0.0081818110610034</v>
      </c>
      <c r="D568" s="87" t="s">
        <v>1331</v>
      </c>
      <c r="E568" s="87" t="b">
        <v>0</v>
      </c>
      <c r="F568" s="87" t="b">
        <v>0</v>
      </c>
      <c r="G568" s="87" t="b">
        <v>0</v>
      </c>
    </row>
    <row r="569" spans="1:7" ht="15">
      <c r="A569" s="88" t="s">
        <v>1458</v>
      </c>
      <c r="B569" s="87">
        <v>5</v>
      </c>
      <c r="C569" s="110">
        <v>0.0081818110610034</v>
      </c>
      <c r="D569" s="87" t="s">
        <v>1331</v>
      </c>
      <c r="E569" s="87" t="b">
        <v>0</v>
      </c>
      <c r="F569" s="87" t="b">
        <v>0</v>
      </c>
      <c r="G569" s="87" t="b">
        <v>0</v>
      </c>
    </row>
    <row r="570" spans="1:7" ht="15">
      <c r="A570" s="88" t="s">
        <v>1925</v>
      </c>
      <c r="B570" s="87">
        <v>3</v>
      </c>
      <c r="C570" s="110">
        <v>0.009175408744608893</v>
      </c>
      <c r="D570" s="87" t="s">
        <v>1331</v>
      </c>
      <c r="E570" s="87" t="b">
        <v>0</v>
      </c>
      <c r="F570" s="87" t="b">
        <v>0</v>
      </c>
      <c r="G570" s="87" t="b">
        <v>0</v>
      </c>
    </row>
    <row r="571" spans="1:7" ht="15">
      <c r="A571" s="88" t="s">
        <v>1475</v>
      </c>
      <c r="B571" s="87">
        <v>3</v>
      </c>
      <c r="C571" s="110">
        <v>0.009175408744608893</v>
      </c>
      <c r="D571" s="87" t="s">
        <v>1331</v>
      </c>
      <c r="E571" s="87" t="b">
        <v>0</v>
      </c>
      <c r="F571" s="87" t="b">
        <v>0</v>
      </c>
      <c r="G571" s="87" t="b">
        <v>0</v>
      </c>
    </row>
    <row r="572" spans="1:7" ht="15">
      <c r="A572" s="88" t="s">
        <v>1869</v>
      </c>
      <c r="B572" s="87">
        <v>3</v>
      </c>
      <c r="C572" s="110">
        <v>0.009175408744608893</v>
      </c>
      <c r="D572" s="87" t="s">
        <v>1331</v>
      </c>
      <c r="E572" s="87" t="b">
        <v>0</v>
      </c>
      <c r="F572" s="87" t="b">
        <v>0</v>
      </c>
      <c r="G572" s="87" t="b">
        <v>0</v>
      </c>
    </row>
    <row r="573" spans="1:7" ht="15">
      <c r="A573" s="88" t="s">
        <v>1926</v>
      </c>
      <c r="B573" s="87">
        <v>3</v>
      </c>
      <c r="C573" s="110">
        <v>0.009175408744608893</v>
      </c>
      <c r="D573" s="87" t="s">
        <v>1331</v>
      </c>
      <c r="E573" s="87" t="b">
        <v>0</v>
      </c>
      <c r="F573" s="87" t="b">
        <v>0</v>
      </c>
      <c r="G573" s="87" t="b">
        <v>0</v>
      </c>
    </row>
    <row r="574" spans="1:7" ht="15">
      <c r="A574" s="88" t="s">
        <v>1855</v>
      </c>
      <c r="B574" s="87">
        <v>3</v>
      </c>
      <c r="C574" s="110">
        <v>0.009175408744608893</v>
      </c>
      <c r="D574" s="87" t="s">
        <v>1331</v>
      </c>
      <c r="E574" s="87" t="b">
        <v>0</v>
      </c>
      <c r="F574" s="87" t="b">
        <v>0</v>
      </c>
      <c r="G574" s="87" t="b">
        <v>0</v>
      </c>
    </row>
    <row r="575" spans="1:7" ht="15">
      <c r="A575" s="88" t="s">
        <v>1927</v>
      </c>
      <c r="B575" s="87">
        <v>3</v>
      </c>
      <c r="C575" s="110">
        <v>0.009175408744608893</v>
      </c>
      <c r="D575" s="87" t="s">
        <v>1331</v>
      </c>
      <c r="E575" s="87" t="b">
        <v>0</v>
      </c>
      <c r="F575" s="87" t="b">
        <v>0</v>
      </c>
      <c r="G575" s="87" t="b">
        <v>0</v>
      </c>
    </row>
    <row r="576" spans="1:7" ht="15">
      <c r="A576" s="88" t="s">
        <v>1822</v>
      </c>
      <c r="B576" s="87">
        <v>2</v>
      </c>
      <c r="C576" s="110">
        <v>0.008374519407376201</v>
      </c>
      <c r="D576" s="87" t="s">
        <v>1331</v>
      </c>
      <c r="E576" s="87" t="b">
        <v>0</v>
      </c>
      <c r="F576" s="87" t="b">
        <v>0</v>
      </c>
      <c r="G576" s="87" t="b">
        <v>0</v>
      </c>
    </row>
    <row r="577" spans="1:7" ht="15">
      <c r="A577" s="88" t="s">
        <v>1958</v>
      </c>
      <c r="B577" s="87">
        <v>2</v>
      </c>
      <c r="C577" s="110">
        <v>0.008374519407376201</v>
      </c>
      <c r="D577" s="87" t="s">
        <v>1331</v>
      </c>
      <c r="E577" s="87" t="b">
        <v>0</v>
      </c>
      <c r="F577" s="87" t="b">
        <v>0</v>
      </c>
      <c r="G577" s="87" t="b">
        <v>0</v>
      </c>
    </row>
    <row r="578" spans="1:7" ht="15">
      <c r="A578" s="88" t="s">
        <v>1902</v>
      </c>
      <c r="B578" s="87">
        <v>2</v>
      </c>
      <c r="C578" s="110">
        <v>0.008374519407376201</v>
      </c>
      <c r="D578" s="87" t="s">
        <v>1331</v>
      </c>
      <c r="E578" s="87" t="b">
        <v>1</v>
      </c>
      <c r="F578" s="87" t="b">
        <v>0</v>
      </c>
      <c r="G578" s="87" t="b">
        <v>0</v>
      </c>
    </row>
    <row r="579" spans="1:7" ht="15">
      <c r="A579" s="88" t="s">
        <v>1516</v>
      </c>
      <c r="B579" s="87">
        <v>2</v>
      </c>
      <c r="C579" s="110">
        <v>0.008374519407376201</v>
      </c>
      <c r="D579" s="87" t="s">
        <v>1331</v>
      </c>
      <c r="E579" s="87" t="b">
        <v>0</v>
      </c>
      <c r="F579" s="87" t="b">
        <v>0</v>
      </c>
      <c r="G579" s="87" t="b">
        <v>0</v>
      </c>
    </row>
    <row r="580" spans="1:7" ht="15">
      <c r="A580" s="88" t="s">
        <v>1839</v>
      </c>
      <c r="B580" s="87">
        <v>2</v>
      </c>
      <c r="C580" s="110">
        <v>0.008374519407376201</v>
      </c>
      <c r="D580" s="87" t="s">
        <v>1331</v>
      </c>
      <c r="E580" s="87" t="b">
        <v>0</v>
      </c>
      <c r="F580" s="87" t="b">
        <v>0</v>
      </c>
      <c r="G580" s="87" t="b">
        <v>0</v>
      </c>
    </row>
    <row r="581" spans="1:7" ht="15">
      <c r="A581" s="88" t="s">
        <v>1930</v>
      </c>
      <c r="B581" s="87">
        <v>2</v>
      </c>
      <c r="C581" s="110">
        <v>0.008374519407376201</v>
      </c>
      <c r="D581" s="87" t="s">
        <v>1331</v>
      </c>
      <c r="E581" s="87" t="b">
        <v>0</v>
      </c>
      <c r="F581" s="87" t="b">
        <v>0</v>
      </c>
      <c r="G581" s="87" t="b">
        <v>0</v>
      </c>
    </row>
    <row r="582" spans="1:7" ht="15">
      <c r="A582" s="88" t="s">
        <v>1831</v>
      </c>
      <c r="B582" s="87">
        <v>2</v>
      </c>
      <c r="C582" s="110">
        <v>0.008374519407376201</v>
      </c>
      <c r="D582" s="87" t="s">
        <v>1331</v>
      </c>
      <c r="E582" s="87" t="b">
        <v>0</v>
      </c>
      <c r="F582" s="87" t="b">
        <v>0</v>
      </c>
      <c r="G582" s="87" t="b">
        <v>0</v>
      </c>
    </row>
    <row r="583" spans="1:7" ht="15">
      <c r="A583" s="88" t="s">
        <v>1821</v>
      </c>
      <c r="B583" s="87">
        <v>2</v>
      </c>
      <c r="C583" s="110">
        <v>0.008374519407376201</v>
      </c>
      <c r="D583" s="87" t="s">
        <v>1331</v>
      </c>
      <c r="E583" s="87" t="b">
        <v>0</v>
      </c>
      <c r="F583" s="87" t="b">
        <v>0</v>
      </c>
      <c r="G583" s="87" t="b">
        <v>0</v>
      </c>
    </row>
    <row r="584" spans="1:7" ht="15">
      <c r="A584" s="88" t="s">
        <v>1832</v>
      </c>
      <c r="B584" s="87">
        <v>2</v>
      </c>
      <c r="C584" s="110">
        <v>0.008374519407376201</v>
      </c>
      <c r="D584" s="87" t="s">
        <v>1331</v>
      </c>
      <c r="E584" s="87" t="b">
        <v>1</v>
      </c>
      <c r="F584" s="87" t="b">
        <v>0</v>
      </c>
      <c r="G584" s="87" t="b">
        <v>0</v>
      </c>
    </row>
    <row r="585" spans="1:7" ht="15">
      <c r="A585" s="88" t="s">
        <v>1459</v>
      </c>
      <c r="B585" s="87">
        <v>2</v>
      </c>
      <c r="C585" s="110">
        <v>0.008374519407376201</v>
      </c>
      <c r="D585" s="87" t="s">
        <v>1331</v>
      </c>
      <c r="E585" s="87" t="b">
        <v>0</v>
      </c>
      <c r="F585" s="87" t="b">
        <v>0</v>
      </c>
      <c r="G585" s="87" t="b">
        <v>0</v>
      </c>
    </row>
    <row r="586" spans="1:7" ht="15">
      <c r="A586" s="88" t="s">
        <v>294</v>
      </c>
      <c r="B586" s="87">
        <v>2</v>
      </c>
      <c r="C586" s="110">
        <v>0.008374519407376201</v>
      </c>
      <c r="D586" s="87" t="s">
        <v>1331</v>
      </c>
      <c r="E586" s="87" t="b">
        <v>0</v>
      </c>
      <c r="F586" s="87" t="b">
        <v>0</v>
      </c>
      <c r="G586" s="87" t="b">
        <v>0</v>
      </c>
    </row>
    <row r="587" spans="1:7" ht="15">
      <c r="A587" s="88" t="s">
        <v>1437</v>
      </c>
      <c r="B587" s="87">
        <v>18</v>
      </c>
      <c r="C587" s="110">
        <v>0</v>
      </c>
      <c r="D587" s="87" t="s">
        <v>1332</v>
      </c>
      <c r="E587" s="87" t="b">
        <v>0</v>
      </c>
      <c r="F587" s="87" t="b">
        <v>0</v>
      </c>
      <c r="G587" s="87" t="b">
        <v>0</v>
      </c>
    </row>
    <row r="588" spans="1:7" ht="15">
      <c r="A588" s="88" t="s">
        <v>1453</v>
      </c>
      <c r="B588" s="87">
        <v>12</v>
      </c>
      <c r="C588" s="110">
        <v>0</v>
      </c>
      <c r="D588" s="87" t="s">
        <v>1332</v>
      </c>
      <c r="E588" s="87" t="b">
        <v>0</v>
      </c>
      <c r="F588" s="87" t="b">
        <v>0</v>
      </c>
      <c r="G588" s="87" t="b">
        <v>0</v>
      </c>
    </row>
    <row r="589" spans="1:7" ht="15">
      <c r="A589" s="88" t="s">
        <v>1454</v>
      </c>
      <c r="B589" s="87">
        <v>12</v>
      </c>
      <c r="C589" s="110">
        <v>0</v>
      </c>
      <c r="D589" s="87" t="s">
        <v>1332</v>
      </c>
      <c r="E589" s="87" t="b">
        <v>0</v>
      </c>
      <c r="F589" s="87" t="b">
        <v>0</v>
      </c>
      <c r="G589" s="87" t="b">
        <v>0</v>
      </c>
    </row>
    <row r="590" spans="1:7" ht="15">
      <c r="A590" s="88" t="s">
        <v>1458</v>
      </c>
      <c r="B590" s="87">
        <v>12</v>
      </c>
      <c r="C590" s="110">
        <v>0</v>
      </c>
      <c r="D590" s="87" t="s">
        <v>1332</v>
      </c>
      <c r="E590" s="87" t="b">
        <v>0</v>
      </c>
      <c r="F590" s="87" t="b">
        <v>0</v>
      </c>
      <c r="G590" s="87" t="b">
        <v>0</v>
      </c>
    </row>
    <row r="591" spans="1:7" ht="15">
      <c r="A591" s="88" t="s">
        <v>1462</v>
      </c>
      <c r="B591" s="87">
        <v>9</v>
      </c>
      <c r="C591" s="110">
        <v>0.0043752864960105034</v>
      </c>
      <c r="D591" s="87" t="s">
        <v>1332</v>
      </c>
      <c r="E591" s="87" t="b">
        <v>0</v>
      </c>
      <c r="F591" s="87" t="b">
        <v>0</v>
      </c>
      <c r="G591" s="87" t="b">
        <v>0</v>
      </c>
    </row>
    <row r="592" spans="1:7" ht="15">
      <c r="A592" s="88" t="s">
        <v>1446</v>
      </c>
      <c r="B592" s="87">
        <v>8</v>
      </c>
      <c r="C592" s="110">
        <v>0.005481439970604863</v>
      </c>
      <c r="D592" s="87" t="s">
        <v>1332</v>
      </c>
      <c r="E592" s="87" t="b">
        <v>0</v>
      </c>
      <c r="F592" s="87" t="b">
        <v>0</v>
      </c>
      <c r="G592" s="87" t="b">
        <v>0</v>
      </c>
    </row>
    <row r="593" spans="1:7" ht="15">
      <c r="A593" s="88" t="s">
        <v>1456</v>
      </c>
      <c r="B593" s="87">
        <v>7</v>
      </c>
      <c r="C593" s="110">
        <v>0.00637580716822403</v>
      </c>
      <c r="D593" s="87" t="s">
        <v>1332</v>
      </c>
      <c r="E593" s="87" t="b">
        <v>0</v>
      </c>
      <c r="F593" s="87" t="b">
        <v>0</v>
      </c>
      <c r="G593" s="87" t="b">
        <v>0</v>
      </c>
    </row>
    <row r="594" spans="1:7" ht="15">
      <c r="A594" s="88" t="s">
        <v>1455</v>
      </c>
      <c r="B594" s="87">
        <v>7</v>
      </c>
      <c r="C594" s="110">
        <v>0.00637580716822403</v>
      </c>
      <c r="D594" s="87" t="s">
        <v>1332</v>
      </c>
      <c r="E594" s="87" t="b">
        <v>0</v>
      </c>
      <c r="F594" s="87" t="b">
        <v>0</v>
      </c>
      <c r="G594" s="87" t="b">
        <v>0</v>
      </c>
    </row>
    <row r="595" spans="1:7" ht="15">
      <c r="A595" s="88" t="s">
        <v>1457</v>
      </c>
      <c r="B595" s="87">
        <v>7</v>
      </c>
      <c r="C595" s="110">
        <v>0.00637580716822403</v>
      </c>
      <c r="D595" s="87" t="s">
        <v>1332</v>
      </c>
      <c r="E595" s="87" t="b">
        <v>0</v>
      </c>
      <c r="F595" s="87" t="b">
        <v>0</v>
      </c>
      <c r="G595" s="87" t="b">
        <v>0</v>
      </c>
    </row>
    <row r="596" spans="1:7" ht="15">
      <c r="A596" s="88" t="s">
        <v>1469</v>
      </c>
      <c r="B596" s="87">
        <v>6</v>
      </c>
      <c r="C596" s="110">
        <v>0.007027937641960651</v>
      </c>
      <c r="D596" s="87" t="s">
        <v>1332</v>
      </c>
      <c r="E596" s="87" t="b">
        <v>0</v>
      </c>
      <c r="F596" s="87" t="b">
        <v>0</v>
      </c>
      <c r="G596" s="87" t="b">
        <v>0</v>
      </c>
    </row>
    <row r="597" spans="1:7" ht="15">
      <c r="A597" s="88" t="s">
        <v>1820</v>
      </c>
      <c r="B597" s="87">
        <v>5</v>
      </c>
      <c r="C597" s="110">
        <v>0.007397105869875604</v>
      </c>
      <c r="D597" s="87" t="s">
        <v>1332</v>
      </c>
      <c r="E597" s="87" t="b">
        <v>0</v>
      </c>
      <c r="F597" s="87" t="b">
        <v>0</v>
      </c>
      <c r="G597" s="87" t="b">
        <v>0</v>
      </c>
    </row>
    <row r="598" spans="1:7" ht="15">
      <c r="A598" s="88" t="s">
        <v>1819</v>
      </c>
      <c r="B598" s="87">
        <v>5</v>
      </c>
      <c r="C598" s="110">
        <v>0.007397105869875604</v>
      </c>
      <c r="D598" s="87" t="s">
        <v>1332</v>
      </c>
      <c r="E598" s="87" t="b">
        <v>0</v>
      </c>
      <c r="F598" s="87" t="b">
        <v>0</v>
      </c>
      <c r="G598" s="87" t="b">
        <v>0</v>
      </c>
    </row>
    <row r="599" spans="1:7" ht="15">
      <c r="A599" s="88" t="s">
        <v>1459</v>
      </c>
      <c r="B599" s="87">
        <v>4</v>
      </c>
      <c r="C599" s="110">
        <v>0.007426011746609533</v>
      </c>
      <c r="D599" s="87" t="s">
        <v>1332</v>
      </c>
      <c r="E599" s="87" t="b">
        <v>0</v>
      </c>
      <c r="F599" s="87" t="b">
        <v>0</v>
      </c>
      <c r="G599" s="87" t="b">
        <v>0</v>
      </c>
    </row>
    <row r="600" spans="1:7" ht="15">
      <c r="A600" s="88" t="s">
        <v>283</v>
      </c>
      <c r="B600" s="87">
        <v>3</v>
      </c>
      <c r="C600" s="110">
        <v>0.007027937641960651</v>
      </c>
      <c r="D600" s="87" t="s">
        <v>1332</v>
      </c>
      <c r="E600" s="87" t="b">
        <v>0</v>
      </c>
      <c r="F600" s="87" t="b">
        <v>0</v>
      </c>
      <c r="G600" s="87" t="b">
        <v>0</v>
      </c>
    </row>
    <row r="601" spans="1:7" ht="15">
      <c r="A601" s="88" t="s">
        <v>1490</v>
      </c>
      <c r="B601" s="87">
        <v>3</v>
      </c>
      <c r="C601" s="110">
        <v>0.007027937641960651</v>
      </c>
      <c r="D601" s="87" t="s">
        <v>1332</v>
      </c>
      <c r="E601" s="87" t="b">
        <v>0</v>
      </c>
      <c r="F601" s="87" t="b">
        <v>0</v>
      </c>
      <c r="G601" s="87" t="b">
        <v>0</v>
      </c>
    </row>
    <row r="602" spans="1:7" ht="15">
      <c r="A602" s="88" t="s">
        <v>1911</v>
      </c>
      <c r="B602" s="87">
        <v>3</v>
      </c>
      <c r="C602" s="110">
        <v>0.007027937641960651</v>
      </c>
      <c r="D602" s="87" t="s">
        <v>1332</v>
      </c>
      <c r="E602" s="87" t="b">
        <v>0</v>
      </c>
      <c r="F602" s="87" t="b">
        <v>0</v>
      </c>
      <c r="G602" s="87" t="b">
        <v>0</v>
      </c>
    </row>
    <row r="603" spans="1:7" ht="15">
      <c r="A603" s="88" t="s">
        <v>1912</v>
      </c>
      <c r="B603" s="87">
        <v>3</v>
      </c>
      <c r="C603" s="110">
        <v>0.007027937641960651</v>
      </c>
      <c r="D603" s="87" t="s">
        <v>1332</v>
      </c>
      <c r="E603" s="87" t="b">
        <v>0</v>
      </c>
      <c r="F603" s="87" t="b">
        <v>0</v>
      </c>
      <c r="G603" s="87" t="b">
        <v>0</v>
      </c>
    </row>
    <row r="604" spans="1:7" ht="15">
      <c r="A604" s="88" t="s">
        <v>1913</v>
      </c>
      <c r="B604" s="87">
        <v>3</v>
      </c>
      <c r="C604" s="110">
        <v>0.007027937641960651</v>
      </c>
      <c r="D604" s="87" t="s">
        <v>1332</v>
      </c>
      <c r="E604" s="87" t="b">
        <v>0</v>
      </c>
      <c r="F604" s="87" t="b">
        <v>0</v>
      </c>
      <c r="G604" s="87" t="b">
        <v>0</v>
      </c>
    </row>
    <row r="605" spans="1:7" ht="15">
      <c r="A605" s="88" t="s">
        <v>1857</v>
      </c>
      <c r="B605" s="87">
        <v>3</v>
      </c>
      <c r="C605" s="110">
        <v>0.007027937641960651</v>
      </c>
      <c r="D605" s="87" t="s">
        <v>1332</v>
      </c>
      <c r="E605" s="87" t="b">
        <v>0</v>
      </c>
      <c r="F605" s="87" t="b">
        <v>0</v>
      </c>
      <c r="G605" s="87" t="b">
        <v>0</v>
      </c>
    </row>
    <row r="606" spans="1:7" ht="15">
      <c r="A606" s="88" t="s">
        <v>1853</v>
      </c>
      <c r="B606" s="87">
        <v>3</v>
      </c>
      <c r="C606" s="110">
        <v>0.007027937641960651</v>
      </c>
      <c r="D606" s="87" t="s">
        <v>1332</v>
      </c>
      <c r="E606" s="87" t="b">
        <v>0</v>
      </c>
      <c r="F606" s="87" t="b">
        <v>0</v>
      </c>
      <c r="G606" s="87" t="b">
        <v>0</v>
      </c>
    </row>
    <row r="607" spans="1:7" ht="15">
      <c r="A607" s="88" t="s">
        <v>1914</v>
      </c>
      <c r="B607" s="87">
        <v>3</v>
      </c>
      <c r="C607" s="110">
        <v>0.007027937641960651</v>
      </c>
      <c r="D607" s="87" t="s">
        <v>1332</v>
      </c>
      <c r="E607" s="87" t="b">
        <v>0</v>
      </c>
      <c r="F607" s="87" t="b">
        <v>0</v>
      </c>
      <c r="G607" s="87" t="b">
        <v>0</v>
      </c>
    </row>
    <row r="608" spans="1:7" ht="15">
      <c r="A608" s="88" t="s">
        <v>1882</v>
      </c>
      <c r="B608" s="87">
        <v>3</v>
      </c>
      <c r="C608" s="110">
        <v>0.007027937641960651</v>
      </c>
      <c r="D608" s="87" t="s">
        <v>1332</v>
      </c>
      <c r="E608" s="87" t="b">
        <v>0</v>
      </c>
      <c r="F608" s="87" t="b">
        <v>0</v>
      </c>
      <c r="G608" s="87" t="b">
        <v>0</v>
      </c>
    </row>
    <row r="609" spans="1:7" ht="15">
      <c r="A609" s="88" t="s">
        <v>1915</v>
      </c>
      <c r="B609" s="87">
        <v>3</v>
      </c>
      <c r="C609" s="110">
        <v>0.007027937641960651</v>
      </c>
      <c r="D609" s="87" t="s">
        <v>1332</v>
      </c>
      <c r="E609" s="87" t="b">
        <v>0</v>
      </c>
      <c r="F609" s="87" t="b">
        <v>0</v>
      </c>
      <c r="G609" s="87" t="b">
        <v>0</v>
      </c>
    </row>
    <row r="610" spans="1:7" ht="15">
      <c r="A610" s="88" t="s">
        <v>306</v>
      </c>
      <c r="B610" s="87">
        <v>3</v>
      </c>
      <c r="C610" s="110">
        <v>0.007027937641960651</v>
      </c>
      <c r="D610" s="87" t="s">
        <v>1332</v>
      </c>
      <c r="E610" s="87" t="b">
        <v>0</v>
      </c>
      <c r="F610" s="87" t="b">
        <v>0</v>
      </c>
      <c r="G610" s="87" t="b">
        <v>0</v>
      </c>
    </row>
    <row r="611" spans="1:7" ht="15">
      <c r="A611" s="88" t="s">
        <v>1916</v>
      </c>
      <c r="B611" s="87">
        <v>3</v>
      </c>
      <c r="C611" s="110">
        <v>0.007027937641960651</v>
      </c>
      <c r="D611" s="87" t="s">
        <v>1332</v>
      </c>
      <c r="E611" s="87" t="b">
        <v>0</v>
      </c>
      <c r="F611" s="87" t="b">
        <v>0</v>
      </c>
      <c r="G611" s="87" t="b">
        <v>0</v>
      </c>
    </row>
    <row r="612" spans="1:7" ht="15">
      <c r="A612" s="88" t="s">
        <v>1844</v>
      </c>
      <c r="B612" s="87">
        <v>3</v>
      </c>
      <c r="C612" s="110">
        <v>0.007027937641960651</v>
      </c>
      <c r="D612" s="87" t="s">
        <v>1332</v>
      </c>
      <c r="E612" s="87" t="b">
        <v>1</v>
      </c>
      <c r="F612" s="87" t="b">
        <v>0</v>
      </c>
      <c r="G612" s="87" t="b">
        <v>0</v>
      </c>
    </row>
    <row r="613" spans="1:7" ht="15">
      <c r="A613" s="88" t="s">
        <v>1834</v>
      </c>
      <c r="B613" s="87">
        <v>3</v>
      </c>
      <c r="C613" s="110">
        <v>0.007027937641960651</v>
      </c>
      <c r="D613" s="87" t="s">
        <v>1332</v>
      </c>
      <c r="E613" s="87" t="b">
        <v>0</v>
      </c>
      <c r="F613" s="87" t="b">
        <v>0</v>
      </c>
      <c r="G613" s="87" t="b">
        <v>0</v>
      </c>
    </row>
    <row r="614" spans="1:7" ht="15">
      <c r="A614" s="88" t="s">
        <v>1845</v>
      </c>
      <c r="B614" s="87">
        <v>3</v>
      </c>
      <c r="C614" s="110">
        <v>0.007027937641960651</v>
      </c>
      <c r="D614" s="87" t="s">
        <v>1332</v>
      </c>
      <c r="E614" s="87" t="b">
        <v>1</v>
      </c>
      <c r="F614" s="87" t="b">
        <v>0</v>
      </c>
      <c r="G614" s="87" t="b">
        <v>0</v>
      </c>
    </row>
    <row r="615" spans="1:7" ht="15">
      <c r="A615" s="88" t="s">
        <v>1846</v>
      </c>
      <c r="B615" s="87">
        <v>3</v>
      </c>
      <c r="C615" s="110">
        <v>0.007027937641960651</v>
      </c>
      <c r="D615" s="87" t="s">
        <v>1332</v>
      </c>
      <c r="E615" s="87" t="b">
        <v>0</v>
      </c>
      <c r="F615" s="87" t="b">
        <v>0</v>
      </c>
      <c r="G615" s="87" t="b">
        <v>0</v>
      </c>
    </row>
    <row r="616" spans="1:7" ht="15">
      <c r="A616" s="88" t="s">
        <v>1847</v>
      </c>
      <c r="B616" s="87">
        <v>3</v>
      </c>
      <c r="C616" s="110">
        <v>0.007027937641960651</v>
      </c>
      <c r="D616" s="87" t="s">
        <v>1332</v>
      </c>
      <c r="E616" s="87" t="b">
        <v>0</v>
      </c>
      <c r="F616" s="87" t="b">
        <v>0</v>
      </c>
      <c r="G616" s="87" t="b">
        <v>0</v>
      </c>
    </row>
    <row r="617" spans="1:7" ht="15">
      <c r="A617" s="88" t="s">
        <v>1848</v>
      </c>
      <c r="B617" s="87">
        <v>3</v>
      </c>
      <c r="C617" s="110">
        <v>0.007027937641960651</v>
      </c>
      <c r="D617" s="87" t="s">
        <v>1332</v>
      </c>
      <c r="E617" s="87" t="b">
        <v>0</v>
      </c>
      <c r="F617" s="87" t="b">
        <v>0</v>
      </c>
      <c r="G617" s="87" t="b">
        <v>0</v>
      </c>
    </row>
    <row r="618" spans="1:7" ht="15">
      <c r="A618" s="88" t="s">
        <v>1849</v>
      </c>
      <c r="B618" s="87">
        <v>3</v>
      </c>
      <c r="C618" s="110">
        <v>0.007027937641960651</v>
      </c>
      <c r="D618" s="87" t="s">
        <v>1332</v>
      </c>
      <c r="E618" s="87" t="b">
        <v>0</v>
      </c>
      <c r="F618" s="87" t="b">
        <v>0</v>
      </c>
      <c r="G618" s="87" t="b">
        <v>0</v>
      </c>
    </row>
    <row r="619" spans="1:7" ht="15">
      <c r="A619" s="88" t="s">
        <v>1850</v>
      </c>
      <c r="B619" s="87">
        <v>3</v>
      </c>
      <c r="C619" s="110">
        <v>0.007027937641960651</v>
      </c>
      <c r="D619" s="87" t="s">
        <v>1332</v>
      </c>
      <c r="E619" s="87" t="b">
        <v>0</v>
      </c>
      <c r="F619" s="87" t="b">
        <v>0</v>
      </c>
      <c r="G619" s="87" t="b">
        <v>0</v>
      </c>
    </row>
    <row r="620" spans="1:7" ht="15">
      <c r="A620" s="88" t="s">
        <v>1851</v>
      </c>
      <c r="B620" s="87">
        <v>3</v>
      </c>
      <c r="C620" s="110">
        <v>0.007027937641960651</v>
      </c>
      <c r="D620" s="87" t="s">
        <v>1332</v>
      </c>
      <c r="E620" s="87" t="b">
        <v>0</v>
      </c>
      <c r="F620" s="87" t="b">
        <v>0</v>
      </c>
      <c r="G620" s="87" t="b">
        <v>0</v>
      </c>
    </row>
    <row r="621" spans="1:7" ht="15">
      <c r="A621" s="88" t="s">
        <v>1852</v>
      </c>
      <c r="B621" s="87">
        <v>3</v>
      </c>
      <c r="C621" s="110">
        <v>0.007027937641960651</v>
      </c>
      <c r="D621" s="87" t="s">
        <v>1332</v>
      </c>
      <c r="E621" s="87" t="b">
        <v>0</v>
      </c>
      <c r="F621" s="87" t="b">
        <v>0</v>
      </c>
      <c r="G621" s="87" t="b">
        <v>0</v>
      </c>
    </row>
    <row r="622" spans="1:7" ht="15">
      <c r="A622" s="88" t="s">
        <v>1923</v>
      </c>
      <c r="B622" s="87">
        <v>3</v>
      </c>
      <c r="C622" s="110">
        <v>0.007027937641960651</v>
      </c>
      <c r="D622" s="87" t="s">
        <v>1332</v>
      </c>
      <c r="E622" s="87" t="b">
        <v>0</v>
      </c>
      <c r="F622" s="87" t="b">
        <v>0</v>
      </c>
      <c r="G622" s="87" t="b">
        <v>0</v>
      </c>
    </row>
    <row r="623" spans="1:7" ht="15">
      <c r="A623" s="88" t="s">
        <v>1860</v>
      </c>
      <c r="B623" s="87">
        <v>3</v>
      </c>
      <c r="C623" s="110">
        <v>0.007027937641960651</v>
      </c>
      <c r="D623" s="87" t="s">
        <v>1332</v>
      </c>
      <c r="E623" s="87" t="b">
        <v>0</v>
      </c>
      <c r="F623" s="87" t="b">
        <v>0</v>
      </c>
      <c r="G623" s="87" t="b">
        <v>0</v>
      </c>
    </row>
    <row r="624" spans="1:7" ht="15">
      <c r="A624" s="88" t="s">
        <v>1924</v>
      </c>
      <c r="B624" s="87">
        <v>3</v>
      </c>
      <c r="C624" s="110">
        <v>0.007027937641960651</v>
      </c>
      <c r="D624" s="87" t="s">
        <v>1332</v>
      </c>
      <c r="E624" s="87" t="b">
        <v>1</v>
      </c>
      <c r="F624" s="87" t="b">
        <v>0</v>
      </c>
      <c r="G624" s="87" t="b">
        <v>0</v>
      </c>
    </row>
    <row r="625" spans="1:7" ht="15">
      <c r="A625" s="88" t="s">
        <v>1863</v>
      </c>
      <c r="B625" s="87">
        <v>3</v>
      </c>
      <c r="C625" s="110">
        <v>0.007027937641960651</v>
      </c>
      <c r="D625" s="87" t="s">
        <v>1332</v>
      </c>
      <c r="E625" s="87" t="b">
        <v>0</v>
      </c>
      <c r="F625" s="87" t="b">
        <v>0</v>
      </c>
      <c r="G625" s="87" t="b">
        <v>0</v>
      </c>
    </row>
    <row r="626" spans="1:7" ht="15">
      <c r="A626" s="88" t="s">
        <v>1827</v>
      </c>
      <c r="B626" s="87">
        <v>3</v>
      </c>
      <c r="C626" s="110">
        <v>0.007027937641960651</v>
      </c>
      <c r="D626" s="87" t="s">
        <v>1332</v>
      </c>
      <c r="E626" s="87" t="b">
        <v>0</v>
      </c>
      <c r="F626" s="87" t="b">
        <v>0</v>
      </c>
      <c r="G626" s="87" t="b">
        <v>0</v>
      </c>
    </row>
    <row r="627" spans="1:7" ht="15">
      <c r="A627" s="88" t="s">
        <v>272</v>
      </c>
      <c r="B627" s="87">
        <v>3</v>
      </c>
      <c r="C627" s="110">
        <v>0.007027937641960651</v>
      </c>
      <c r="D627" s="87" t="s">
        <v>1332</v>
      </c>
      <c r="E627" s="87" t="b">
        <v>0</v>
      </c>
      <c r="F627" s="87" t="b">
        <v>0</v>
      </c>
      <c r="G627" s="87" t="b">
        <v>0</v>
      </c>
    </row>
    <row r="628" spans="1:7" ht="15">
      <c r="A628" s="88" t="s">
        <v>1493</v>
      </c>
      <c r="B628" s="87">
        <v>3</v>
      </c>
      <c r="C628" s="110">
        <v>0.007027937641960651</v>
      </c>
      <c r="D628" s="87" t="s">
        <v>1332</v>
      </c>
      <c r="E628" s="87" t="b">
        <v>0</v>
      </c>
      <c r="F628" s="87" t="b">
        <v>0</v>
      </c>
      <c r="G628" s="87" t="b">
        <v>0</v>
      </c>
    </row>
    <row r="629" spans="1:7" ht="15">
      <c r="A629" s="88" t="s">
        <v>273</v>
      </c>
      <c r="B629" s="87">
        <v>3</v>
      </c>
      <c r="C629" s="110">
        <v>0.007027937641960651</v>
      </c>
      <c r="D629" s="87" t="s">
        <v>1332</v>
      </c>
      <c r="E629" s="87" t="b">
        <v>0</v>
      </c>
      <c r="F629" s="87" t="b">
        <v>0</v>
      </c>
      <c r="G629" s="87" t="b">
        <v>0</v>
      </c>
    </row>
    <row r="630" spans="1:7" ht="15">
      <c r="A630" s="88" t="s">
        <v>1880</v>
      </c>
      <c r="B630" s="87">
        <v>3</v>
      </c>
      <c r="C630" s="110">
        <v>0.007027937641960651</v>
      </c>
      <c r="D630" s="87" t="s">
        <v>1332</v>
      </c>
      <c r="E630" s="87" t="b">
        <v>0</v>
      </c>
      <c r="F630" s="87" t="b">
        <v>0</v>
      </c>
      <c r="G630" s="87" t="b">
        <v>0</v>
      </c>
    </row>
    <row r="631" spans="1:7" ht="15">
      <c r="A631" s="88" t="s">
        <v>324</v>
      </c>
      <c r="B631" s="87">
        <v>2</v>
      </c>
      <c r="C631" s="110">
        <v>0.008398297634611867</v>
      </c>
      <c r="D631" s="87" t="s">
        <v>1332</v>
      </c>
      <c r="E631" s="87" t="b">
        <v>0</v>
      </c>
      <c r="F631" s="87" t="b">
        <v>0</v>
      </c>
      <c r="G631" s="87" t="b">
        <v>0</v>
      </c>
    </row>
    <row r="632" spans="1:7" ht="15">
      <c r="A632" s="88" t="s">
        <v>1936</v>
      </c>
      <c r="B632" s="87">
        <v>2</v>
      </c>
      <c r="C632" s="110">
        <v>0.006055651753958316</v>
      </c>
      <c r="D632" s="87" t="s">
        <v>1332</v>
      </c>
      <c r="E632" s="87" t="b">
        <v>0</v>
      </c>
      <c r="F632" s="87" t="b">
        <v>0</v>
      </c>
      <c r="G632" s="87" t="b">
        <v>0</v>
      </c>
    </row>
    <row r="633" spans="1:7" ht="15">
      <c r="A633" s="88" t="s">
        <v>1937</v>
      </c>
      <c r="B633" s="87">
        <v>2</v>
      </c>
      <c r="C633" s="110">
        <v>0.006055651753958316</v>
      </c>
      <c r="D633" s="87" t="s">
        <v>1332</v>
      </c>
      <c r="E633" s="87" t="b">
        <v>0</v>
      </c>
      <c r="F633" s="87" t="b">
        <v>0</v>
      </c>
      <c r="G633" s="87" t="b">
        <v>0</v>
      </c>
    </row>
    <row r="634" spans="1:7" ht="15">
      <c r="A634" s="88" t="s">
        <v>1938</v>
      </c>
      <c r="B634" s="87">
        <v>2</v>
      </c>
      <c r="C634" s="110">
        <v>0.006055651753958316</v>
      </c>
      <c r="D634" s="87" t="s">
        <v>1332</v>
      </c>
      <c r="E634" s="87" t="b">
        <v>0</v>
      </c>
      <c r="F634" s="87" t="b">
        <v>0</v>
      </c>
      <c r="G634" s="87" t="b">
        <v>0</v>
      </c>
    </row>
    <row r="635" spans="1:7" ht="15">
      <c r="A635" s="88" t="s">
        <v>1830</v>
      </c>
      <c r="B635" s="87">
        <v>2</v>
      </c>
      <c r="C635" s="110">
        <v>0.006055651753958316</v>
      </c>
      <c r="D635" s="87" t="s">
        <v>1332</v>
      </c>
      <c r="E635" s="87" t="b">
        <v>0</v>
      </c>
      <c r="F635" s="87" t="b">
        <v>0</v>
      </c>
      <c r="G635" s="87" t="b">
        <v>0</v>
      </c>
    </row>
    <row r="636" spans="1:7" ht="15">
      <c r="A636" s="88" t="s">
        <v>2000</v>
      </c>
      <c r="B636" s="87">
        <v>2</v>
      </c>
      <c r="C636" s="110">
        <v>0.006055651753958316</v>
      </c>
      <c r="D636" s="87" t="s">
        <v>1332</v>
      </c>
      <c r="E636" s="87" t="b">
        <v>0</v>
      </c>
      <c r="F636" s="87" t="b">
        <v>0</v>
      </c>
      <c r="G636" s="87" t="b">
        <v>0</v>
      </c>
    </row>
    <row r="637" spans="1:7" ht="15">
      <c r="A637" s="88" t="s">
        <v>2001</v>
      </c>
      <c r="B637" s="87">
        <v>2</v>
      </c>
      <c r="C637" s="110">
        <v>0.006055651753958316</v>
      </c>
      <c r="D637" s="87" t="s">
        <v>1332</v>
      </c>
      <c r="E637" s="87" t="b">
        <v>0</v>
      </c>
      <c r="F637" s="87" t="b">
        <v>0</v>
      </c>
      <c r="G637" s="87" t="b">
        <v>0</v>
      </c>
    </row>
    <row r="638" spans="1:7" ht="15">
      <c r="A638" s="88" t="s">
        <v>1871</v>
      </c>
      <c r="B638" s="87">
        <v>2</v>
      </c>
      <c r="C638" s="110">
        <v>0.006055651753958316</v>
      </c>
      <c r="D638" s="87" t="s">
        <v>1332</v>
      </c>
      <c r="E638" s="87" t="b">
        <v>0</v>
      </c>
      <c r="F638" s="87" t="b">
        <v>0</v>
      </c>
      <c r="G638" s="87" t="b">
        <v>0</v>
      </c>
    </row>
    <row r="639" spans="1:7" ht="15">
      <c r="A639" s="88" t="s">
        <v>1872</v>
      </c>
      <c r="B639" s="87">
        <v>2</v>
      </c>
      <c r="C639" s="110">
        <v>0.006055651753958316</v>
      </c>
      <c r="D639" s="87" t="s">
        <v>1332</v>
      </c>
      <c r="E639" s="87" t="b">
        <v>0</v>
      </c>
      <c r="F639" s="87" t="b">
        <v>0</v>
      </c>
      <c r="G639" s="87" t="b">
        <v>0</v>
      </c>
    </row>
    <row r="640" spans="1:7" ht="15">
      <c r="A640" s="88" t="s">
        <v>2002</v>
      </c>
      <c r="B640" s="87">
        <v>2</v>
      </c>
      <c r="C640" s="110">
        <v>0.006055651753958316</v>
      </c>
      <c r="D640" s="87" t="s">
        <v>1332</v>
      </c>
      <c r="E640" s="87" t="b">
        <v>0</v>
      </c>
      <c r="F640" s="87" t="b">
        <v>0</v>
      </c>
      <c r="G640" s="87" t="b">
        <v>0</v>
      </c>
    </row>
    <row r="641" spans="1:7" ht="15">
      <c r="A641" s="88" t="s">
        <v>271</v>
      </c>
      <c r="B641" s="87">
        <v>2</v>
      </c>
      <c r="C641" s="110">
        <v>0.006055651753958316</v>
      </c>
      <c r="D641" s="87" t="s">
        <v>1332</v>
      </c>
      <c r="E641" s="87" t="b">
        <v>0</v>
      </c>
      <c r="F641" s="87" t="b">
        <v>0</v>
      </c>
      <c r="G641" s="87" t="b">
        <v>0</v>
      </c>
    </row>
    <row r="642" spans="1:7" ht="15">
      <c r="A642" s="88" t="s">
        <v>2003</v>
      </c>
      <c r="B642" s="87">
        <v>2</v>
      </c>
      <c r="C642" s="110">
        <v>0.006055651753958316</v>
      </c>
      <c r="D642" s="87" t="s">
        <v>1332</v>
      </c>
      <c r="E642" s="87" t="b">
        <v>0</v>
      </c>
      <c r="F642" s="87" t="b">
        <v>0</v>
      </c>
      <c r="G642" s="87" t="b">
        <v>0</v>
      </c>
    </row>
    <row r="643" spans="1:7" ht="15">
      <c r="A643" s="88" t="s">
        <v>2004</v>
      </c>
      <c r="B643" s="87">
        <v>2</v>
      </c>
      <c r="C643" s="110">
        <v>0.006055651753958316</v>
      </c>
      <c r="D643" s="87" t="s">
        <v>1332</v>
      </c>
      <c r="E643" s="87" t="b">
        <v>0</v>
      </c>
      <c r="F643" s="87" t="b">
        <v>0</v>
      </c>
      <c r="G643" s="87" t="b">
        <v>0</v>
      </c>
    </row>
    <row r="644" spans="1:7" ht="15">
      <c r="A644" s="88" t="s">
        <v>2005</v>
      </c>
      <c r="B644" s="87">
        <v>2</v>
      </c>
      <c r="C644" s="110">
        <v>0.006055651753958316</v>
      </c>
      <c r="D644" s="87" t="s">
        <v>1332</v>
      </c>
      <c r="E644" s="87" t="b">
        <v>0</v>
      </c>
      <c r="F644" s="87" t="b">
        <v>0</v>
      </c>
      <c r="G644" s="87" t="b">
        <v>0</v>
      </c>
    </row>
    <row r="645" spans="1:7" ht="15">
      <c r="A645" s="88" t="s">
        <v>2006</v>
      </c>
      <c r="B645" s="87">
        <v>2</v>
      </c>
      <c r="C645" s="110">
        <v>0.006055651753958316</v>
      </c>
      <c r="D645" s="87" t="s">
        <v>1332</v>
      </c>
      <c r="E645" s="87" t="b">
        <v>0</v>
      </c>
      <c r="F645" s="87" t="b">
        <v>0</v>
      </c>
      <c r="G645" s="87" t="b">
        <v>0</v>
      </c>
    </row>
    <row r="646" spans="1:7" ht="15">
      <c r="A646" s="88" t="s">
        <v>2007</v>
      </c>
      <c r="B646" s="87">
        <v>2</v>
      </c>
      <c r="C646" s="110">
        <v>0.006055651753958316</v>
      </c>
      <c r="D646" s="87" t="s">
        <v>1332</v>
      </c>
      <c r="E646" s="87" t="b">
        <v>0</v>
      </c>
      <c r="F646" s="87" t="b">
        <v>0</v>
      </c>
      <c r="G646" s="87" t="b">
        <v>0</v>
      </c>
    </row>
    <row r="647" spans="1:7" ht="15">
      <c r="A647" s="88" t="s">
        <v>2008</v>
      </c>
      <c r="B647" s="87">
        <v>2</v>
      </c>
      <c r="C647" s="110">
        <v>0.006055651753958316</v>
      </c>
      <c r="D647" s="87" t="s">
        <v>1332</v>
      </c>
      <c r="E647" s="87" t="b">
        <v>0</v>
      </c>
      <c r="F647" s="87" t="b">
        <v>0</v>
      </c>
      <c r="G647" s="87" t="b">
        <v>0</v>
      </c>
    </row>
    <row r="648" spans="1:7" ht="15">
      <c r="A648" s="88" t="s">
        <v>2009</v>
      </c>
      <c r="B648" s="87">
        <v>2</v>
      </c>
      <c r="C648" s="110">
        <v>0.006055651753958316</v>
      </c>
      <c r="D648" s="87" t="s">
        <v>1332</v>
      </c>
      <c r="E648" s="87" t="b">
        <v>0</v>
      </c>
      <c r="F648" s="87" t="b">
        <v>0</v>
      </c>
      <c r="G648" s="87" t="b">
        <v>0</v>
      </c>
    </row>
    <row r="649" spans="1:7" ht="15">
      <c r="A649" s="88" t="s">
        <v>1471</v>
      </c>
      <c r="B649" s="87">
        <v>14</v>
      </c>
      <c r="C649" s="110">
        <v>0</v>
      </c>
      <c r="D649" s="87" t="s">
        <v>1333</v>
      </c>
      <c r="E649" s="87" t="b">
        <v>1</v>
      </c>
      <c r="F649" s="87" t="b">
        <v>0</v>
      </c>
      <c r="G649" s="87" t="b">
        <v>0</v>
      </c>
    </row>
    <row r="650" spans="1:7" ht="15">
      <c r="A650" s="88" t="s">
        <v>1437</v>
      </c>
      <c r="B650" s="87">
        <v>14</v>
      </c>
      <c r="C650" s="110">
        <v>0</v>
      </c>
      <c r="D650" s="87" t="s">
        <v>1333</v>
      </c>
      <c r="E650" s="87" t="b">
        <v>0</v>
      </c>
      <c r="F650" s="87" t="b">
        <v>0</v>
      </c>
      <c r="G650" s="87" t="b">
        <v>0</v>
      </c>
    </row>
    <row r="651" spans="1:7" ht="15">
      <c r="A651" s="88" t="s">
        <v>1456</v>
      </c>
      <c r="B651" s="87">
        <v>7</v>
      </c>
      <c r="C651" s="110">
        <v>0</v>
      </c>
      <c r="D651" s="87" t="s">
        <v>1333</v>
      </c>
      <c r="E651" s="87" t="b">
        <v>0</v>
      </c>
      <c r="F651" s="87" t="b">
        <v>0</v>
      </c>
      <c r="G651" s="87" t="b">
        <v>0</v>
      </c>
    </row>
    <row r="652" spans="1:7" ht="15">
      <c r="A652" s="88" t="s">
        <v>1460</v>
      </c>
      <c r="B652" s="87">
        <v>7</v>
      </c>
      <c r="C652" s="110">
        <v>0</v>
      </c>
      <c r="D652" s="87" t="s">
        <v>1333</v>
      </c>
      <c r="E652" s="87" t="b">
        <v>0</v>
      </c>
      <c r="F652" s="87" t="b">
        <v>0</v>
      </c>
      <c r="G652" s="87" t="b">
        <v>0</v>
      </c>
    </row>
    <row r="653" spans="1:7" ht="15">
      <c r="A653" s="88" t="s">
        <v>1472</v>
      </c>
      <c r="B653" s="87">
        <v>7</v>
      </c>
      <c r="C653" s="110">
        <v>0</v>
      </c>
      <c r="D653" s="87" t="s">
        <v>1333</v>
      </c>
      <c r="E653" s="87" t="b">
        <v>0</v>
      </c>
      <c r="F653" s="87" t="b">
        <v>0</v>
      </c>
      <c r="G653" s="87" t="b">
        <v>0</v>
      </c>
    </row>
    <row r="654" spans="1:7" ht="15">
      <c r="A654" s="88" t="s">
        <v>1473</v>
      </c>
      <c r="B654" s="87">
        <v>7</v>
      </c>
      <c r="C654" s="110">
        <v>0</v>
      </c>
      <c r="D654" s="87" t="s">
        <v>1333</v>
      </c>
      <c r="E654" s="87" t="b">
        <v>0</v>
      </c>
      <c r="F654" s="87" t="b">
        <v>0</v>
      </c>
      <c r="G654" s="87" t="b">
        <v>0</v>
      </c>
    </row>
    <row r="655" spans="1:7" ht="15">
      <c r="A655" s="88" t="s">
        <v>1474</v>
      </c>
      <c r="B655" s="87">
        <v>7</v>
      </c>
      <c r="C655" s="110">
        <v>0</v>
      </c>
      <c r="D655" s="87" t="s">
        <v>1333</v>
      </c>
      <c r="E655" s="87" t="b">
        <v>0</v>
      </c>
      <c r="F655" s="87" t="b">
        <v>0</v>
      </c>
      <c r="G655" s="87" t="b">
        <v>0</v>
      </c>
    </row>
    <row r="656" spans="1:7" ht="15">
      <c r="A656" s="88" t="s">
        <v>1475</v>
      </c>
      <c r="B656" s="87">
        <v>7</v>
      </c>
      <c r="C656" s="110">
        <v>0</v>
      </c>
      <c r="D656" s="87" t="s">
        <v>1333</v>
      </c>
      <c r="E656" s="87" t="b">
        <v>0</v>
      </c>
      <c r="F656" s="87" t="b">
        <v>0</v>
      </c>
      <c r="G656" s="87" t="b">
        <v>0</v>
      </c>
    </row>
    <row r="657" spans="1:7" ht="15">
      <c r="A657" s="88" t="s">
        <v>1476</v>
      </c>
      <c r="B657" s="87">
        <v>7</v>
      </c>
      <c r="C657" s="110">
        <v>0</v>
      </c>
      <c r="D657" s="87" t="s">
        <v>1333</v>
      </c>
      <c r="E657" s="87" t="b">
        <v>0</v>
      </c>
      <c r="F657" s="87" t="b">
        <v>0</v>
      </c>
      <c r="G657" s="87" t="b">
        <v>0</v>
      </c>
    </row>
    <row r="658" spans="1:7" ht="15">
      <c r="A658" s="88" t="s">
        <v>1477</v>
      </c>
      <c r="B658" s="87">
        <v>7</v>
      </c>
      <c r="C658" s="110">
        <v>0</v>
      </c>
      <c r="D658" s="87" t="s">
        <v>1333</v>
      </c>
      <c r="E658" s="87" t="b">
        <v>0</v>
      </c>
      <c r="F658" s="87" t="b">
        <v>0</v>
      </c>
      <c r="G658" s="87" t="b">
        <v>0</v>
      </c>
    </row>
    <row r="659" spans="1:7" ht="15">
      <c r="A659" s="88" t="s">
        <v>1854</v>
      </c>
      <c r="B659" s="87">
        <v>7</v>
      </c>
      <c r="C659" s="110">
        <v>0</v>
      </c>
      <c r="D659" s="87" t="s">
        <v>1333</v>
      </c>
      <c r="E659" s="87" t="b">
        <v>0</v>
      </c>
      <c r="F659" s="87" t="b">
        <v>0</v>
      </c>
      <c r="G659" s="87" t="b">
        <v>0</v>
      </c>
    </row>
    <row r="660" spans="1:7" ht="15">
      <c r="A660" s="88" t="s">
        <v>341</v>
      </c>
      <c r="B660" s="87">
        <v>7</v>
      </c>
      <c r="C660" s="110">
        <v>0</v>
      </c>
      <c r="D660" s="87" t="s">
        <v>1333</v>
      </c>
      <c r="E660" s="87" t="b">
        <v>0</v>
      </c>
      <c r="F660" s="87" t="b">
        <v>0</v>
      </c>
      <c r="G660" s="87" t="b">
        <v>0</v>
      </c>
    </row>
    <row r="661" spans="1:7" ht="15">
      <c r="A661" s="88" t="s">
        <v>1453</v>
      </c>
      <c r="B661" s="87">
        <v>7</v>
      </c>
      <c r="C661" s="110">
        <v>0</v>
      </c>
      <c r="D661" s="87" t="s">
        <v>1333</v>
      </c>
      <c r="E661" s="87" t="b">
        <v>0</v>
      </c>
      <c r="F661" s="87" t="b">
        <v>0</v>
      </c>
      <c r="G661" s="87" t="b">
        <v>0</v>
      </c>
    </row>
    <row r="662" spans="1:7" ht="15">
      <c r="A662" s="88" t="s">
        <v>1513</v>
      </c>
      <c r="B662" s="87">
        <v>7</v>
      </c>
      <c r="C662" s="110">
        <v>0</v>
      </c>
      <c r="D662" s="87" t="s">
        <v>1333</v>
      </c>
      <c r="E662" s="87" t="b">
        <v>0</v>
      </c>
      <c r="F662" s="87" t="b">
        <v>0</v>
      </c>
      <c r="G662" s="87" t="b">
        <v>0</v>
      </c>
    </row>
    <row r="663" spans="1:7" ht="15">
      <c r="A663" s="88" t="s">
        <v>1822</v>
      </c>
      <c r="B663" s="87">
        <v>7</v>
      </c>
      <c r="C663" s="110">
        <v>0</v>
      </c>
      <c r="D663" s="87" t="s">
        <v>1333</v>
      </c>
      <c r="E663" s="87" t="b">
        <v>0</v>
      </c>
      <c r="F663" s="87" t="b">
        <v>0</v>
      </c>
      <c r="G663" s="87" t="b">
        <v>0</v>
      </c>
    </row>
    <row r="664" spans="1:7" ht="15">
      <c r="A664" s="88" t="s">
        <v>1829</v>
      </c>
      <c r="B664" s="87">
        <v>7</v>
      </c>
      <c r="C664" s="110">
        <v>0</v>
      </c>
      <c r="D664" s="87" t="s">
        <v>1333</v>
      </c>
      <c r="E664" s="87" t="b">
        <v>1</v>
      </c>
      <c r="F664" s="87" t="b">
        <v>0</v>
      </c>
      <c r="G664" s="87" t="b">
        <v>0</v>
      </c>
    </row>
    <row r="665" spans="1:7" ht="15">
      <c r="A665" s="88" t="s">
        <v>1820</v>
      </c>
      <c r="B665" s="87">
        <v>7</v>
      </c>
      <c r="C665" s="110">
        <v>0</v>
      </c>
      <c r="D665" s="87" t="s">
        <v>1333</v>
      </c>
      <c r="E665" s="87" t="b">
        <v>0</v>
      </c>
      <c r="F665" s="87" t="b">
        <v>0</v>
      </c>
      <c r="G665" s="87" t="b">
        <v>0</v>
      </c>
    </row>
    <row r="666" spans="1:7" ht="15">
      <c r="A666" s="88" t="s">
        <v>1459</v>
      </c>
      <c r="B666" s="87">
        <v>7</v>
      </c>
      <c r="C666" s="110">
        <v>0</v>
      </c>
      <c r="D666" s="87" t="s">
        <v>1333</v>
      </c>
      <c r="E666" s="87" t="b">
        <v>0</v>
      </c>
      <c r="F666" s="87" t="b">
        <v>0</v>
      </c>
      <c r="G666" s="87" t="b">
        <v>0</v>
      </c>
    </row>
    <row r="667" spans="1:7" ht="15">
      <c r="A667" s="88" t="s">
        <v>1446</v>
      </c>
      <c r="B667" s="87">
        <v>7</v>
      </c>
      <c r="C667" s="110">
        <v>0</v>
      </c>
      <c r="D667" s="87" t="s">
        <v>1333</v>
      </c>
      <c r="E667" s="87" t="b">
        <v>0</v>
      </c>
      <c r="F667" s="87" t="b">
        <v>0</v>
      </c>
      <c r="G667" s="87" t="b">
        <v>0</v>
      </c>
    </row>
    <row r="668" spans="1:7" ht="15">
      <c r="A668" s="88" t="s">
        <v>1819</v>
      </c>
      <c r="B668" s="87">
        <v>7</v>
      </c>
      <c r="C668" s="110">
        <v>0</v>
      </c>
      <c r="D668" s="87" t="s">
        <v>1333</v>
      </c>
      <c r="E668" s="87" t="b">
        <v>0</v>
      </c>
      <c r="F668" s="87" t="b">
        <v>0</v>
      </c>
      <c r="G668" s="87" t="b">
        <v>0</v>
      </c>
    </row>
    <row r="669" spans="1:7" ht="15">
      <c r="A669" s="88" t="s">
        <v>307</v>
      </c>
      <c r="B669" s="87">
        <v>7</v>
      </c>
      <c r="C669" s="110">
        <v>0</v>
      </c>
      <c r="D669" s="87" t="s">
        <v>1333</v>
      </c>
      <c r="E669" s="87" t="b">
        <v>0</v>
      </c>
      <c r="F669" s="87" t="b">
        <v>0</v>
      </c>
      <c r="G669" s="87" t="b">
        <v>0</v>
      </c>
    </row>
    <row r="670" spans="1:7" ht="15">
      <c r="A670" s="88" t="s">
        <v>1455</v>
      </c>
      <c r="B670" s="87">
        <v>7</v>
      </c>
      <c r="C670" s="110">
        <v>0</v>
      </c>
      <c r="D670" s="87" t="s">
        <v>1333</v>
      </c>
      <c r="E670" s="87" t="b">
        <v>0</v>
      </c>
      <c r="F670" s="87" t="b">
        <v>0</v>
      </c>
      <c r="G670" s="87" t="b">
        <v>0</v>
      </c>
    </row>
    <row r="671" spans="1:7" ht="15">
      <c r="A671" s="88" t="s">
        <v>1454</v>
      </c>
      <c r="B671" s="87">
        <v>7</v>
      </c>
      <c r="C671" s="110">
        <v>0</v>
      </c>
      <c r="D671" s="87" t="s">
        <v>1333</v>
      </c>
      <c r="E671" s="87" t="b">
        <v>0</v>
      </c>
      <c r="F671" s="87" t="b">
        <v>0</v>
      </c>
      <c r="G671" s="87" t="b">
        <v>0</v>
      </c>
    </row>
    <row r="672" spans="1:7" ht="15">
      <c r="A672" s="88" t="s">
        <v>1453</v>
      </c>
      <c r="B672" s="87">
        <v>4</v>
      </c>
      <c r="C672" s="110">
        <v>0</v>
      </c>
      <c r="D672" s="87" t="s">
        <v>1334</v>
      </c>
      <c r="E672" s="87" t="b">
        <v>0</v>
      </c>
      <c r="F672" s="87" t="b">
        <v>0</v>
      </c>
      <c r="G672" s="87" t="b">
        <v>0</v>
      </c>
    </row>
    <row r="673" spans="1:7" ht="15">
      <c r="A673" s="88" t="s">
        <v>1479</v>
      </c>
      <c r="B673" s="87">
        <v>4</v>
      </c>
      <c r="C673" s="110">
        <v>0</v>
      </c>
      <c r="D673" s="87" t="s">
        <v>1334</v>
      </c>
      <c r="E673" s="87" t="b">
        <v>0</v>
      </c>
      <c r="F673" s="87" t="b">
        <v>0</v>
      </c>
      <c r="G673" s="87" t="b">
        <v>0</v>
      </c>
    </row>
    <row r="674" spans="1:7" ht="15">
      <c r="A674" s="88" t="s">
        <v>1480</v>
      </c>
      <c r="B674" s="87">
        <v>3</v>
      </c>
      <c r="C674" s="110">
        <v>0.004997549464331998</v>
      </c>
      <c r="D674" s="87" t="s">
        <v>1334</v>
      </c>
      <c r="E674" s="87" t="b">
        <v>0</v>
      </c>
      <c r="F674" s="87" t="b">
        <v>0</v>
      </c>
      <c r="G674" s="87" t="b">
        <v>0</v>
      </c>
    </row>
    <row r="675" spans="1:7" ht="15">
      <c r="A675" s="88" t="s">
        <v>1481</v>
      </c>
      <c r="B675" s="87">
        <v>3</v>
      </c>
      <c r="C675" s="110">
        <v>0.004997549464331998</v>
      </c>
      <c r="D675" s="87" t="s">
        <v>1334</v>
      </c>
      <c r="E675" s="87" t="b">
        <v>1</v>
      </c>
      <c r="F675" s="87" t="b">
        <v>0</v>
      </c>
      <c r="G675" s="87" t="b">
        <v>0</v>
      </c>
    </row>
    <row r="676" spans="1:7" ht="15">
      <c r="A676" s="88" t="s">
        <v>1482</v>
      </c>
      <c r="B676" s="87">
        <v>3</v>
      </c>
      <c r="C676" s="110">
        <v>0.004997549464331998</v>
      </c>
      <c r="D676" s="87" t="s">
        <v>1334</v>
      </c>
      <c r="E676" s="87" t="b">
        <v>0</v>
      </c>
      <c r="F676" s="87" t="b">
        <v>0</v>
      </c>
      <c r="G676" s="87" t="b">
        <v>0</v>
      </c>
    </row>
    <row r="677" spans="1:7" ht="15">
      <c r="A677" s="88" t="s">
        <v>1483</v>
      </c>
      <c r="B677" s="87">
        <v>3</v>
      </c>
      <c r="C677" s="110">
        <v>0.004997549464331998</v>
      </c>
      <c r="D677" s="87" t="s">
        <v>1334</v>
      </c>
      <c r="E677" s="87" t="b">
        <v>0</v>
      </c>
      <c r="F677" s="87" t="b">
        <v>0</v>
      </c>
      <c r="G677" s="87" t="b">
        <v>0</v>
      </c>
    </row>
    <row r="678" spans="1:7" ht="15">
      <c r="A678" s="88" t="s">
        <v>1484</v>
      </c>
      <c r="B678" s="87">
        <v>3</v>
      </c>
      <c r="C678" s="110">
        <v>0.004997549464331998</v>
      </c>
      <c r="D678" s="87" t="s">
        <v>1334</v>
      </c>
      <c r="E678" s="87" t="b">
        <v>0</v>
      </c>
      <c r="F678" s="87" t="b">
        <v>0</v>
      </c>
      <c r="G678" s="87" t="b">
        <v>0</v>
      </c>
    </row>
    <row r="679" spans="1:7" ht="15">
      <c r="A679" s="88" t="s">
        <v>1485</v>
      </c>
      <c r="B679" s="87">
        <v>3</v>
      </c>
      <c r="C679" s="110">
        <v>0.004997549464331998</v>
      </c>
      <c r="D679" s="87" t="s">
        <v>1334</v>
      </c>
      <c r="E679" s="87" t="b">
        <v>0</v>
      </c>
      <c r="F679" s="87" t="b">
        <v>0</v>
      </c>
      <c r="G679" s="87" t="b">
        <v>0</v>
      </c>
    </row>
    <row r="680" spans="1:7" ht="15">
      <c r="A680" s="88" t="s">
        <v>1486</v>
      </c>
      <c r="B680" s="87">
        <v>3</v>
      </c>
      <c r="C680" s="110">
        <v>0.004997549464331998</v>
      </c>
      <c r="D680" s="87" t="s">
        <v>1334</v>
      </c>
      <c r="E680" s="87" t="b">
        <v>0</v>
      </c>
      <c r="F680" s="87" t="b">
        <v>0</v>
      </c>
      <c r="G680" s="87" t="b">
        <v>0</v>
      </c>
    </row>
    <row r="681" spans="1:7" ht="15">
      <c r="A681" s="88" t="s">
        <v>1487</v>
      </c>
      <c r="B681" s="87">
        <v>3</v>
      </c>
      <c r="C681" s="110">
        <v>0.004997549464331998</v>
      </c>
      <c r="D681" s="87" t="s">
        <v>1334</v>
      </c>
      <c r="E681" s="87" t="b">
        <v>0</v>
      </c>
      <c r="F681" s="87" t="b">
        <v>0</v>
      </c>
      <c r="G681" s="87" t="b">
        <v>0</v>
      </c>
    </row>
    <row r="682" spans="1:7" ht="15">
      <c r="A682" s="88" t="s">
        <v>1948</v>
      </c>
      <c r="B682" s="87">
        <v>3</v>
      </c>
      <c r="C682" s="110">
        <v>0.004997549464331998</v>
      </c>
      <c r="D682" s="87" t="s">
        <v>1334</v>
      </c>
      <c r="E682" s="87" t="b">
        <v>0</v>
      </c>
      <c r="F682" s="87" t="b">
        <v>0</v>
      </c>
      <c r="G682" s="87" t="b">
        <v>0</v>
      </c>
    </row>
    <row r="683" spans="1:7" ht="15">
      <c r="A683" s="88" t="s">
        <v>305</v>
      </c>
      <c r="B683" s="87">
        <v>3</v>
      </c>
      <c r="C683" s="110">
        <v>0.004997549464331998</v>
      </c>
      <c r="D683" s="87" t="s">
        <v>1334</v>
      </c>
      <c r="E683" s="87" t="b">
        <v>0</v>
      </c>
      <c r="F683" s="87" t="b">
        <v>0</v>
      </c>
      <c r="G683" s="87" t="b">
        <v>0</v>
      </c>
    </row>
    <row r="684" spans="1:7" ht="15">
      <c r="A684" s="88" t="s">
        <v>1860</v>
      </c>
      <c r="B684" s="87">
        <v>3</v>
      </c>
      <c r="C684" s="110">
        <v>0.004997549464331998</v>
      </c>
      <c r="D684" s="87" t="s">
        <v>1334</v>
      </c>
      <c r="E684" s="87" t="b">
        <v>0</v>
      </c>
      <c r="F684" s="87" t="b">
        <v>0</v>
      </c>
      <c r="G684" s="87" t="b">
        <v>0</v>
      </c>
    </row>
    <row r="685" spans="1:7" ht="15">
      <c r="A685" s="88" t="s">
        <v>1949</v>
      </c>
      <c r="B685" s="87">
        <v>3</v>
      </c>
      <c r="C685" s="110">
        <v>0.004997549464331998</v>
      </c>
      <c r="D685" s="87" t="s">
        <v>1334</v>
      </c>
      <c r="E685" s="87" t="b">
        <v>0</v>
      </c>
      <c r="F685" s="87" t="b">
        <v>0</v>
      </c>
      <c r="G685" s="87" t="b">
        <v>0</v>
      </c>
    </row>
    <row r="686" spans="1:7" ht="15">
      <c r="A686" s="88" t="s">
        <v>1950</v>
      </c>
      <c r="B686" s="87">
        <v>3</v>
      </c>
      <c r="C686" s="110">
        <v>0.004997549464331998</v>
      </c>
      <c r="D686" s="87" t="s">
        <v>1334</v>
      </c>
      <c r="E686" s="87" t="b">
        <v>0</v>
      </c>
      <c r="F686" s="87" t="b">
        <v>0</v>
      </c>
      <c r="G686" s="87" t="b">
        <v>0</v>
      </c>
    </row>
    <row r="687" spans="1:7" ht="15">
      <c r="A687" s="88" t="s">
        <v>1951</v>
      </c>
      <c r="B687" s="87">
        <v>3</v>
      </c>
      <c r="C687" s="110">
        <v>0.004997549464331998</v>
      </c>
      <c r="D687" s="87" t="s">
        <v>1334</v>
      </c>
      <c r="E687" s="87" t="b">
        <v>0</v>
      </c>
      <c r="F687" s="87" t="b">
        <v>0</v>
      </c>
      <c r="G687" s="87" t="b">
        <v>0</v>
      </c>
    </row>
    <row r="688" spans="1:7" ht="15">
      <c r="A688" s="88" t="s">
        <v>1489</v>
      </c>
      <c r="B688" s="87">
        <v>6</v>
      </c>
      <c r="C688" s="110">
        <v>0</v>
      </c>
      <c r="D688" s="87" t="s">
        <v>1335</v>
      </c>
      <c r="E688" s="87" t="b">
        <v>0</v>
      </c>
      <c r="F688" s="87" t="b">
        <v>0</v>
      </c>
      <c r="G688" s="87" t="b">
        <v>0</v>
      </c>
    </row>
    <row r="689" spans="1:7" ht="15">
      <c r="A689" s="88" t="s">
        <v>1456</v>
      </c>
      <c r="B689" s="87">
        <v>3</v>
      </c>
      <c r="C689" s="110">
        <v>0</v>
      </c>
      <c r="D689" s="87" t="s">
        <v>1335</v>
      </c>
      <c r="E689" s="87" t="b">
        <v>0</v>
      </c>
      <c r="F689" s="87" t="b">
        <v>0</v>
      </c>
      <c r="G689" s="87" t="b">
        <v>0</v>
      </c>
    </row>
    <row r="690" spans="1:7" ht="15">
      <c r="A690" s="88" t="s">
        <v>1460</v>
      </c>
      <c r="B690" s="87">
        <v>3</v>
      </c>
      <c r="C690" s="110">
        <v>0</v>
      </c>
      <c r="D690" s="87" t="s">
        <v>1335</v>
      </c>
      <c r="E690" s="87" t="b">
        <v>0</v>
      </c>
      <c r="F690" s="87" t="b">
        <v>0</v>
      </c>
      <c r="G690" s="87" t="b">
        <v>0</v>
      </c>
    </row>
    <row r="691" spans="1:7" ht="15">
      <c r="A691" s="88" t="s">
        <v>1490</v>
      </c>
      <c r="B691" s="87">
        <v>3</v>
      </c>
      <c r="C691" s="110">
        <v>0</v>
      </c>
      <c r="D691" s="87" t="s">
        <v>1335</v>
      </c>
      <c r="E691" s="87" t="b">
        <v>0</v>
      </c>
      <c r="F691" s="87" t="b">
        <v>0</v>
      </c>
      <c r="G691" s="87" t="b">
        <v>0</v>
      </c>
    </row>
    <row r="692" spans="1:7" ht="15">
      <c r="A692" s="88" t="s">
        <v>1491</v>
      </c>
      <c r="B692" s="87">
        <v>3</v>
      </c>
      <c r="C692" s="110">
        <v>0</v>
      </c>
      <c r="D692" s="87" t="s">
        <v>1335</v>
      </c>
      <c r="E692" s="87" t="b">
        <v>0</v>
      </c>
      <c r="F692" s="87" t="b">
        <v>0</v>
      </c>
      <c r="G692" s="87" t="b">
        <v>0</v>
      </c>
    </row>
    <row r="693" spans="1:7" ht="15">
      <c r="A693" s="88" t="s">
        <v>1492</v>
      </c>
      <c r="B693" s="87">
        <v>3</v>
      </c>
      <c r="C693" s="110">
        <v>0</v>
      </c>
      <c r="D693" s="87" t="s">
        <v>1335</v>
      </c>
      <c r="E693" s="87" t="b">
        <v>0</v>
      </c>
      <c r="F693" s="87" t="b">
        <v>0</v>
      </c>
      <c r="G693" s="87" t="b">
        <v>0</v>
      </c>
    </row>
    <row r="694" spans="1:7" ht="15">
      <c r="A694" s="88" t="s">
        <v>1493</v>
      </c>
      <c r="B694" s="87">
        <v>3</v>
      </c>
      <c r="C694" s="110">
        <v>0</v>
      </c>
      <c r="D694" s="87" t="s">
        <v>1335</v>
      </c>
      <c r="E694" s="87" t="b">
        <v>0</v>
      </c>
      <c r="F694" s="87" t="b">
        <v>0</v>
      </c>
      <c r="G694" s="87" t="b">
        <v>0</v>
      </c>
    </row>
    <row r="695" spans="1:7" ht="15">
      <c r="A695" s="88" t="s">
        <v>1494</v>
      </c>
      <c r="B695" s="87">
        <v>3</v>
      </c>
      <c r="C695" s="110">
        <v>0</v>
      </c>
      <c r="D695" s="87" t="s">
        <v>1335</v>
      </c>
      <c r="E695" s="87" t="b">
        <v>0</v>
      </c>
      <c r="F695" s="87" t="b">
        <v>0</v>
      </c>
      <c r="G695" s="87" t="b">
        <v>0</v>
      </c>
    </row>
    <row r="696" spans="1:7" ht="15">
      <c r="A696" s="88" t="s">
        <v>1495</v>
      </c>
      <c r="B696" s="87">
        <v>3</v>
      </c>
      <c r="C696" s="110">
        <v>0</v>
      </c>
      <c r="D696" s="87" t="s">
        <v>1335</v>
      </c>
      <c r="E696" s="87" t="b">
        <v>1</v>
      </c>
      <c r="F696" s="87" t="b">
        <v>0</v>
      </c>
      <c r="G696" s="87" t="b">
        <v>0</v>
      </c>
    </row>
    <row r="697" spans="1:7" ht="15">
      <c r="A697" s="88" t="s">
        <v>1496</v>
      </c>
      <c r="B697" s="87">
        <v>3</v>
      </c>
      <c r="C697" s="110">
        <v>0</v>
      </c>
      <c r="D697" s="87" t="s">
        <v>1335</v>
      </c>
      <c r="E697" s="87" t="b">
        <v>0</v>
      </c>
      <c r="F697" s="87" t="b">
        <v>0</v>
      </c>
      <c r="G697" s="87" t="b">
        <v>0</v>
      </c>
    </row>
    <row r="698" spans="1:7" ht="15">
      <c r="A698" s="88" t="s">
        <v>1840</v>
      </c>
      <c r="B698" s="87">
        <v>3</v>
      </c>
      <c r="C698" s="110">
        <v>0</v>
      </c>
      <c r="D698" s="87" t="s">
        <v>1335</v>
      </c>
      <c r="E698" s="87" t="b">
        <v>0</v>
      </c>
      <c r="F698" s="87" t="b">
        <v>0</v>
      </c>
      <c r="G698" s="87" t="b">
        <v>0</v>
      </c>
    </row>
    <row r="699" spans="1:7" ht="15">
      <c r="A699" s="88" t="s">
        <v>309</v>
      </c>
      <c r="B699" s="87">
        <v>3</v>
      </c>
      <c r="C699" s="110">
        <v>0</v>
      </c>
      <c r="D699" s="87" t="s">
        <v>1335</v>
      </c>
      <c r="E699" s="87" t="b">
        <v>0</v>
      </c>
      <c r="F699" s="87" t="b">
        <v>0</v>
      </c>
      <c r="G699" s="87" t="b">
        <v>0</v>
      </c>
    </row>
    <row r="700" spans="1:7" ht="15">
      <c r="A700" s="88" t="s">
        <v>1921</v>
      </c>
      <c r="B700" s="87">
        <v>3</v>
      </c>
      <c r="C700" s="110">
        <v>0</v>
      </c>
      <c r="D700" s="87" t="s">
        <v>1335</v>
      </c>
      <c r="E700" s="87" t="b">
        <v>0</v>
      </c>
      <c r="F700" s="87" t="b">
        <v>0</v>
      </c>
      <c r="G700" s="87" t="b">
        <v>0</v>
      </c>
    </row>
    <row r="701" spans="1:7" ht="15">
      <c r="A701" s="88" t="s">
        <v>341</v>
      </c>
      <c r="B701" s="87">
        <v>3</v>
      </c>
      <c r="C701" s="110">
        <v>0</v>
      </c>
      <c r="D701" s="87" t="s">
        <v>1335</v>
      </c>
      <c r="E701" s="87" t="b">
        <v>0</v>
      </c>
      <c r="F701" s="87" t="b">
        <v>0</v>
      </c>
      <c r="G701" s="87" t="b">
        <v>0</v>
      </c>
    </row>
    <row r="702" spans="1:7" ht="15">
      <c r="A702" s="88" t="s">
        <v>1453</v>
      </c>
      <c r="B702" s="87">
        <v>3</v>
      </c>
      <c r="C702" s="110">
        <v>0</v>
      </c>
      <c r="D702" s="87" t="s">
        <v>1335</v>
      </c>
      <c r="E702" s="87" t="b">
        <v>0</v>
      </c>
      <c r="F702" s="87" t="b">
        <v>0</v>
      </c>
      <c r="G702" s="87" t="b">
        <v>0</v>
      </c>
    </row>
    <row r="703" spans="1:7" ht="15">
      <c r="A703" s="88" t="s">
        <v>1513</v>
      </c>
      <c r="B703" s="87">
        <v>3</v>
      </c>
      <c r="C703" s="110">
        <v>0</v>
      </c>
      <c r="D703" s="87" t="s">
        <v>1335</v>
      </c>
      <c r="E703" s="87" t="b">
        <v>0</v>
      </c>
      <c r="F703" s="87" t="b">
        <v>0</v>
      </c>
      <c r="G703" s="87" t="b">
        <v>0</v>
      </c>
    </row>
    <row r="704" spans="1:7" ht="15">
      <c r="A704" s="88" t="s">
        <v>1822</v>
      </c>
      <c r="B704" s="87">
        <v>3</v>
      </c>
      <c r="C704" s="110">
        <v>0</v>
      </c>
      <c r="D704" s="87" t="s">
        <v>1335</v>
      </c>
      <c r="E704" s="87" t="b">
        <v>0</v>
      </c>
      <c r="F704" s="87" t="b">
        <v>0</v>
      </c>
      <c r="G704" s="87" t="b">
        <v>0</v>
      </c>
    </row>
    <row r="705" spans="1:7" ht="15">
      <c r="A705" s="88" t="s">
        <v>1823</v>
      </c>
      <c r="B705" s="87">
        <v>3</v>
      </c>
      <c r="C705" s="110">
        <v>0</v>
      </c>
      <c r="D705" s="87" t="s">
        <v>1335</v>
      </c>
      <c r="E705" s="87" t="b">
        <v>0</v>
      </c>
      <c r="F705" s="87" t="b">
        <v>0</v>
      </c>
      <c r="G705" s="87" t="b">
        <v>0</v>
      </c>
    </row>
    <row r="706" spans="1:7" ht="15">
      <c r="A706" s="88" t="s">
        <v>1462</v>
      </c>
      <c r="B706" s="87">
        <v>3</v>
      </c>
      <c r="C706" s="110">
        <v>0</v>
      </c>
      <c r="D706" s="87" t="s">
        <v>1335</v>
      </c>
      <c r="E706" s="87" t="b">
        <v>0</v>
      </c>
      <c r="F706" s="87" t="b">
        <v>0</v>
      </c>
      <c r="G706" s="87" t="b">
        <v>0</v>
      </c>
    </row>
    <row r="707" spans="1:7" ht="15">
      <c r="A707" s="88" t="s">
        <v>1459</v>
      </c>
      <c r="B707" s="87">
        <v>3</v>
      </c>
      <c r="C707" s="110">
        <v>0</v>
      </c>
      <c r="D707" s="87" t="s">
        <v>1335</v>
      </c>
      <c r="E707" s="87" t="b">
        <v>0</v>
      </c>
      <c r="F707" s="87" t="b">
        <v>0</v>
      </c>
      <c r="G707" s="87" t="b">
        <v>0</v>
      </c>
    </row>
    <row r="708" spans="1:7" ht="15">
      <c r="A708" s="88" t="s">
        <v>1437</v>
      </c>
      <c r="B708" s="87">
        <v>3</v>
      </c>
      <c r="C708" s="110">
        <v>0</v>
      </c>
      <c r="D708" s="87" t="s">
        <v>1335</v>
      </c>
      <c r="E708" s="87" t="b">
        <v>0</v>
      </c>
      <c r="F708" s="87" t="b">
        <v>0</v>
      </c>
      <c r="G708" s="87" t="b">
        <v>0</v>
      </c>
    </row>
    <row r="709" spans="1:7" ht="15">
      <c r="A709" s="88" t="s">
        <v>1446</v>
      </c>
      <c r="B709" s="87">
        <v>3</v>
      </c>
      <c r="C709" s="110">
        <v>0</v>
      </c>
      <c r="D709" s="87" t="s">
        <v>1335</v>
      </c>
      <c r="E709" s="87" t="b">
        <v>0</v>
      </c>
      <c r="F709" s="87" t="b">
        <v>0</v>
      </c>
      <c r="G709" s="87" t="b">
        <v>0</v>
      </c>
    </row>
    <row r="710" spans="1:7" ht="15">
      <c r="A710" s="88" t="s">
        <v>1819</v>
      </c>
      <c r="B710" s="87">
        <v>3</v>
      </c>
      <c r="C710" s="110">
        <v>0</v>
      </c>
      <c r="D710" s="87" t="s">
        <v>1335</v>
      </c>
      <c r="E710" s="87" t="b">
        <v>0</v>
      </c>
      <c r="F710" s="87" t="b">
        <v>0</v>
      </c>
      <c r="G710" s="87" t="b">
        <v>0</v>
      </c>
    </row>
    <row r="711" spans="1:7" ht="15">
      <c r="A711" s="88" t="s">
        <v>308</v>
      </c>
      <c r="B711" s="87">
        <v>3</v>
      </c>
      <c r="C711" s="110">
        <v>0</v>
      </c>
      <c r="D711" s="87" t="s">
        <v>1335</v>
      </c>
      <c r="E711" s="87" t="b">
        <v>0</v>
      </c>
      <c r="F711" s="87" t="b">
        <v>0</v>
      </c>
      <c r="G711" s="87" t="b">
        <v>0</v>
      </c>
    </row>
    <row r="712" spans="1:7" ht="15">
      <c r="A712" s="88" t="s">
        <v>1455</v>
      </c>
      <c r="B712" s="87">
        <v>3</v>
      </c>
      <c r="C712" s="110">
        <v>0</v>
      </c>
      <c r="D712" s="87" t="s">
        <v>1335</v>
      </c>
      <c r="E712" s="87" t="b">
        <v>0</v>
      </c>
      <c r="F712" s="87" t="b">
        <v>0</v>
      </c>
      <c r="G712" s="87" t="b">
        <v>0</v>
      </c>
    </row>
    <row r="713" spans="1:7" ht="15">
      <c r="A713" s="88" t="s">
        <v>1457</v>
      </c>
      <c r="B713" s="87">
        <v>3</v>
      </c>
      <c r="C713" s="110">
        <v>0</v>
      </c>
      <c r="D713" s="87" t="s">
        <v>1335</v>
      </c>
      <c r="E713" s="87" t="b">
        <v>0</v>
      </c>
      <c r="F713" s="87" t="b">
        <v>0</v>
      </c>
      <c r="G713" s="87" t="b">
        <v>0</v>
      </c>
    </row>
    <row r="714" spans="1:7" ht="15">
      <c r="A714" s="88" t="s">
        <v>1498</v>
      </c>
      <c r="B714" s="87">
        <v>4</v>
      </c>
      <c r="C714" s="110">
        <v>0</v>
      </c>
      <c r="D714" s="87" t="s">
        <v>1336</v>
      </c>
      <c r="E714" s="87" t="b">
        <v>0</v>
      </c>
      <c r="F714" s="87" t="b">
        <v>0</v>
      </c>
      <c r="G714" s="87" t="b">
        <v>0</v>
      </c>
    </row>
    <row r="715" spans="1:7" ht="15">
      <c r="A715" s="88" t="s">
        <v>1499</v>
      </c>
      <c r="B715" s="87">
        <v>4</v>
      </c>
      <c r="C715" s="110">
        <v>0</v>
      </c>
      <c r="D715" s="87" t="s">
        <v>1336</v>
      </c>
      <c r="E715" s="87" t="b">
        <v>0</v>
      </c>
      <c r="F715" s="87" t="b">
        <v>0</v>
      </c>
      <c r="G715" s="87" t="b">
        <v>0</v>
      </c>
    </row>
    <row r="716" spans="1:7" ht="15">
      <c r="A716" s="88" t="s">
        <v>1500</v>
      </c>
      <c r="B716" s="87">
        <v>4</v>
      </c>
      <c r="C716" s="110">
        <v>0</v>
      </c>
      <c r="D716" s="87" t="s">
        <v>1336</v>
      </c>
      <c r="E716" s="87" t="b">
        <v>0</v>
      </c>
      <c r="F716" s="87" t="b">
        <v>0</v>
      </c>
      <c r="G716" s="87" t="b">
        <v>0</v>
      </c>
    </row>
    <row r="717" spans="1:7" ht="15">
      <c r="A717" s="88" t="s">
        <v>1501</v>
      </c>
      <c r="B717" s="87">
        <v>4</v>
      </c>
      <c r="C717" s="110">
        <v>0</v>
      </c>
      <c r="D717" s="87" t="s">
        <v>1336</v>
      </c>
      <c r="E717" s="87" t="b">
        <v>1</v>
      </c>
      <c r="F717" s="87" t="b">
        <v>0</v>
      </c>
      <c r="G717" s="87" t="b">
        <v>0</v>
      </c>
    </row>
    <row r="718" spans="1:7" ht="15">
      <c r="A718" s="88" t="s">
        <v>1502</v>
      </c>
      <c r="B718" s="87">
        <v>4</v>
      </c>
      <c r="C718" s="110">
        <v>0</v>
      </c>
      <c r="D718" s="87" t="s">
        <v>1336</v>
      </c>
      <c r="E718" s="87" t="b">
        <v>0</v>
      </c>
      <c r="F718" s="87" t="b">
        <v>0</v>
      </c>
      <c r="G718" s="87" t="b">
        <v>0</v>
      </c>
    </row>
    <row r="719" spans="1:7" ht="15">
      <c r="A719" s="88" t="s">
        <v>1503</v>
      </c>
      <c r="B719" s="87">
        <v>4</v>
      </c>
      <c r="C719" s="110">
        <v>0</v>
      </c>
      <c r="D719" s="87" t="s">
        <v>1336</v>
      </c>
      <c r="E719" s="87" t="b">
        <v>0</v>
      </c>
      <c r="F719" s="87" t="b">
        <v>0</v>
      </c>
      <c r="G719" s="87" t="b">
        <v>0</v>
      </c>
    </row>
    <row r="720" spans="1:7" ht="15">
      <c r="A720" s="88" t="s">
        <v>1504</v>
      </c>
      <c r="B720" s="87">
        <v>4</v>
      </c>
      <c r="C720" s="110">
        <v>0</v>
      </c>
      <c r="D720" s="87" t="s">
        <v>1336</v>
      </c>
      <c r="E720" s="87" t="b">
        <v>0</v>
      </c>
      <c r="F720" s="87" t="b">
        <v>0</v>
      </c>
      <c r="G720" s="87" t="b">
        <v>0</v>
      </c>
    </row>
    <row r="721" spans="1:7" ht="15">
      <c r="A721" s="88" t="s">
        <v>1484</v>
      </c>
      <c r="B721" s="87">
        <v>4</v>
      </c>
      <c r="C721" s="110">
        <v>0</v>
      </c>
      <c r="D721" s="87" t="s">
        <v>1336</v>
      </c>
      <c r="E721" s="87" t="b">
        <v>0</v>
      </c>
      <c r="F721" s="87" t="b">
        <v>0</v>
      </c>
      <c r="G721" s="87" t="b">
        <v>0</v>
      </c>
    </row>
    <row r="722" spans="1:7" ht="15">
      <c r="A722" s="88" t="s">
        <v>1505</v>
      </c>
      <c r="B722" s="87">
        <v>4</v>
      </c>
      <c r="C722" s="110">
        <v>0</v>
      </c>
      <c r="D722" s="87" t="s">
        <v>1336</v>
      </c>
      <c r="E722" s="87" t="b">
        <v>0</v>
      </c>
      <c r="F722" s="87" t="b">
        <v>0</v>
      </c>
      <c r="G722" s="87" t="b">
        <v>0</v>
      </c>
    </row>
    <row r="723" spans="1:7" ht="15">
      <c r="A723" s="88" t="s">
        <v>1506</v>
      </c>
      <c r="B723" s="87">
        <v>4</v>
      </c>
      <c r="C723" s="110">
        <v>0</v>
      </c>
      <c r="D723" s="87" t="s">
        <v>1336</v>
      </c>
      <c r="E723" s="87" t="b">
        <v>1</v>
      </c>
      <c r="F723" s="87" t="b">
        <v>0</v>
      </c>
      <c r="G723" s="87" t="b">
        <v>0</v>
      </c>
    </row>
    <row r="724" spans="1:7" ht="15">
      <c r="A724" s="88" t="s">
        <v>1893</v>
      </c>
      <c r="B724" s="87">
        <v>4</v>
      </c>
      <c r="C724" s="110">
        <v>0</v>
      </c>
      <c r="D724" s="87" t="s">
        <v>1336</v>
      </c>
      <c r="E724" s="87" t="b">
        <v>0</v>
      </c>
      <c r="F724" s="87" t="b">
        <v>0</v>
      </c>
      <c r="G724" s="87" t="b">
        <v>0</v>
      </c>
    </row>
    <row r="725" spans="1:7" ht="15">
      <c r="A725" s="88" t="s">
        <v>1894</v>
      </c>
      <c r="B725" s="87">
        <v>4</v>
      </c>
      <c r="C725" s="110">
        <v>0</v>
      </c>
      <c r="D725" s="87" t="s">
        <v>1336</v>
      </c>
      <c r="E725" s="87" t="b">
        <v>0</v>
      </c>
      <c r="F725" s="87" t="b">
        <v>0</v>
      </c>
      <c r="G725" s="87" t="b">
        <v>0</v>
      </c>
    </row>
    <row r="726" spans="1:7" ht="15">
      <c r="A726" s="88" t="s">
        <v>1895</v>
      </c>
      <c r="B726" s="87">
        <v>4</v>
      </c>
      <c r="C726" s="110">
        <v>0</v>
      </c>
      <c r="D726" s="87" t="s">
        <v>1336</v>
      </c>
      <c r="E726" s="87" t="b">
        <v>0</v>
      </c>
      <c r="F726" s="87" t="b">
        <v>0</v>
      </c>
      <c r="G726" s="87" t="b">
        <v>0</v>
      </c>
    </row>
    <row r="727" spans="1:7" ht="15">
      <c r="A727" s="88" t="s">
        <v>1896</v>
      </c>
      <c r="B727" s="87">
        <v>4</v>
      </c>
      <c r="C727" s="110">
        <v>0</v>
      </c>
      <c r="D727" s="87" t="s">
        <v>1336</v>
      </c>
      <c r="E727" s="87" t="b">
        <v>0</v>
      </c>
      <c r="F727" s="87" t="b">
        <v>0</v>
      </c>
      <c r="G727" s="87" t="b">
        <v>0</v>
      </c>
    </row>
    <row r="728" spans="1:7" ht="15">
      <c r="A728" s="88" t="s">
        <v>1897</v>
      </c>
      <c r="B728" s="87">
        <v>4</v>
      </c>
      <c r="C728" s="110">
        <v>0</v>
      </c>
      <c r="D728" s="87" t="s">
        <v>1336</v>
      </c>
      <c r="E728" s="87" t="b">
        <v>0</v>
      </c>
      <c r="F728" s="87" t="b">
        <v>0</v>
      </c>
      <c r="G728" s="87" t="b">
        <v>0</v>
      </c>
    </row>
    <row r="729" spans="1:7" ht="15">
      <c r="A729" s="88" t="s">
        <v>1456</v>
      </c>
      <c r="B729" s="87">
        <v>4</v>
      </c>
      <c r="C729" s="110">
        <v>0</v>
      </c>
      <c r="D729" s="87" t="s">
        <v>1336</v>
      </c>
      <c r="E729" s="87" t="b">
        <v>0</v>
      </c>
      <c r="F729" s="87" t="b">
        <v>0</v>
      </c>
      <c r="G729" s="87" t="b">
        <v>0</v>
      </c>
    </row>
    <row r="730" spans="1:7" ht="15">
      <c r="A730" s="88" t="s">
        <v>1453</v>
      </c>
      <c r="B730" s="87">
        <v>4</v>
      </c>
      <c r="C730" s="110">
        <v>0</v>
      </c>
      <c r="D730" s="87" t="s">
        <v>1336</v>
      </c>
      <c r="E730" s="87" t="b">
        <v>0</v>
      </c>
      <c r="F730" s="87" t="b">
        <v>0</v>
      </c>
      <c r="G730" s="87" t="b">
        <v>0</v>
      </c>
    </row>
    <row r="731" spans="1:7" ht="15">
      <c r="A731" s="88" t="s">
        <v>1437</v>
      </c>
      <c r="B731" s="87">
        <v>5</v>
      </c>
      <c r="C731" s="110">
        <v>0</v>
      </c>
      <c r="D731" s="87" t="s">
        <v>1337</v>
      </c>
      <c r="E731" s="87" t="b">
        <v>0</v>
      </c>
      <c r="F731" s="87" t="b">
        <v>0</v>
      </c>
      <c r="G731" s="87" t="b">
        <v>0</v>
      </c>
    </row>
    <row r="732" spans="1:7" ht="15">
      <c r="A732" s="88" t="s">
        <v>1446</v>
      </c>
      <c r="B732" s="87">
        <v>4</v>
      </c>
      <c r="C732" s="110">
        <v>0.010062357660324641</v>
      </c>
      <c r="D732" s="87" t="s">
        <v>1337</v>
      </c>
      <c r="E732" s="87" t="b">
        <v>0</v>
      </c>
      <c r="F732" s="87" t="b">
        <v>0</v>
      </c>
      <c r="G732" s="87" t="b">
        <v>0</v>
      </c>
    </row>
    <row r="733" spans="1:7" ht="15">
      <c r="A733" s="88" t="s">
        <v>1508</v>
      </c>
      <c r="B733" s="87">
        <v>3</v>
      </c>
      <c r="C733" s="110">
        <v>0</v>
      </c>
      <c r="D733" s="87" t="s">
        <v>1337</v>
      </c>
      <c r="E733" s="87" t="b">
        <v>0</v>
      </c>
      <c r="F733" s="87" t="b">
        <v>0</v>
      </c>
      <c r="G733" s="87" t="b">
        <v>0</v>
      </c>
    </row>
    <row r="734" spans="1:7" ht="15">
      <c r="A734" s="88" t="s">
        <v>1453</v>
      </c>
      <c r="B734" s="87">
        <v>3</v>
      </c>
      <c r="C734" s="110">
        <v>0</v>
      </c>
      <c r="D734" s="87" t="s">
        <v>1337</v>
      </c>
      <c r="E734" s="87" t="b">
        <v>0</v>
      </c>
      <c r="F734" s="87" t="b">
        <v>0</v>
      </c>
      <c r="G734" s="87" t="b">
        <v>0</v>
      </c>
    </row>
    <row r="735" spans="1:7" ht="15">
      <c r="A735" s="88" t="s">
        <v>311</v>
      </c>
      <c r="B735" s="87">
        <v>2</v>
      </c>
      <c r="C735" s="110">
        <v>0.013632035849133212</v>
      </c>
      <c r="D735" s="87" t="s">
        <v>1337</v>
      </c>
      <c r="E735" s="87" t="b">
        <v>0</v>
      </c>
      <c r="F735" s="87" t="b">
        <v>0</v>
      </c>
      <c r="G735" s="87" t="b">
        <v>0</v>
      </c>
    </row>
    <row r="736" spans="1:7" ht="15">
      <c r="A736" s="88" t="s">
        <v>1509</v>
      </c>
      <c r="B736" s="87">
        <v>2</v>
      </c>
      <c r="C736" s="110">
        <v>0.005031178830162321</v>
      </c>
      <c r="D736" s="87" t="s">
        <v>1337</v>
      </c>
      <c r="E736" s="87" t="b">
        <v>1</v>
      </c>
      <c r="F736" s="87" t="b">
        <v>0</v>
      </c>
      <c r="G736" s="87" t="b">
        <v>0</v>
      </c>
    </row>
    <row r="737" spans="1:7" ht="15">
      <c r="A737" s="88" t="s">
        <v>1510</v>
      </c>
      <c r="B737" s="87">
        <v>2</v>
      </c>
      <c r="C737" s="110">
        <v>0.005031178830162321</v>
      </c>
      <c r="D737" s="87" t="s">
        <v>1337</v>
      </c>
      <c r="E737" s="87" t="b">
        <v>0</v>
      </c>
      <c r="F737" s="87" t="b">
        <v>0</v>
      </c>
      <c r="G737" s="87" t="b">
        <v>0</v>
      </c>
    </row>
    <row r="738" spans="1:7" ht="15">
      <c r="A738" s="88" t="s">
        <v>1511</v>
      </c>
      <c r="B738" s="87">
        <v>2</v>
      </c>
      <c r="C738" s="110">
        <v>0.005031178830162321</v>
      </c>
      <c r="D738" s="87" t="s">
        <v>1337</v>
      </c>
      <c r="E738" s="87" t="b">
        <v>0</v>
      </c>
      <c r="F738" s="87" t="b">
        <v>0</v>
      </c>
      <c r="G738" s="87" t="b">
        <v>0</v>
      </c>
    </row>
    <row r="739" spans="1:7" ht="15">
      <c r="A739" s="88" t="s">
        <v>1512</v>
      </c>
      <c r="B739" s="87">
        <v>2</v>
      </c>
      <c r="C739" s="110">
        <v>0.005031178830162321</v>
      </c>
      <c r="D739" s="87" t="s">
        <v>1337</v>
      </c>
      <c r="E739" s="87" t="b">
        <v>0</v>
      </c>
      <c r="F739" s="87" t="b">
        <v>0</v>
      </c>
      <c r="G739" s="87" t="b">
        <v>0</v>
      </c>
    </row>
    <row r="740" spans="1:7" ht="15">
      <c r="A740" s="88" t="s">
        <v>1513</v>
      </c>
      <c r="B740" s="87">
        <v>2</v>
      </c>
      <c r="C740" s="110">
        <v>0.005031178830162321</v>
      </c>
      <c r="D740" s="87" t="s">
        <v>1337</v>
      </c>
      <c r="E740" s="87" t="b">
        <v>0</v>
      </c>
      <c r="F740" s="87" t="b">
        <v>0</v>
      </c>
      <c r="G740" s="87" t="b">
        <v>0</v>
      </c>
    </row>
    <row r="741" spans="1:7" ht="15">
      <c r="A741" s="88" t="s">
        <v>1822</v>
      </c>
      <c r="B741" s="87">
        <v>2</v>
      </c>
      <c r="C741" s="110">
        <v>0.005031178830162321</v>
      </c>
      <c r="D741" s="87" t="s">
        <v>1337</v>
      </c>
      <c r="E741" s="87" t="b">
        <v>0</v>
      </c>
      <c r="F741" s="87" t="b">
        <v>0</v>
      </c>
      <c r="G741" s="87" t="b">
        <v>0</v>
      </c>
    </row>
    <row r="742" spans="1:7" ht="15">
      <c r="A742" s="88" t="s">
        <v>1823</v>
      </c>
      <c r="B742" s="87">
        <v>2</v>
      </c>
      <c r="C742" s="110">
        <v>0.005031178830162321</v>
      </c>
      <c r="D742" s="87" t="s">
        <v>1337</v>
      </c>
      <c r="E742" s="87" t="b">
        <v>0</v>
      </c>
      <c r="F742" s="87" t="b">
        <v>0</v>
      </c>
      <c r="G742" s="87" t="b">
        <v>0</v>
      </c>
    </row>
    <row r="743" spans="1:7" ht="15">
      <c r="A743" s="88" t="s">
        <v>1820</v>
      </c>
      <c r="B743" s="87">
        <v>2</v>
      </c>
      <c r="C743" s="110">
        <v>0.005031178830162321</v>
      </c>
      <c r="D743" s="87" t="s">
        <v>1337</v>
      </c>
      <c r="E743" s="87" t="b">
        <v>0</v>
      </c>
      <c r="F743" s="87" t="b">
        <v>0</v>
      </c>
      <c r="G743" s="87" t="b">
        <v>0</v>
      </c>
    </row>
    <row r="744" spans="1:7" ht="15">
      <c r="A744" s="88" t="s">
        <v>1830</v>
      </c>
      <c r="B744" s="87">
        <v>2</v>
      </c>
      <c r="C744" s="110">
        <v>0.005031178830162321</v>
      </c>
      <c r="D744" s="87" t="s">
        <v>1337</v>
      </c>
      <c r="E744" s="87" t="b">
        <v>0</v>
      </c>
      <c r="F744" s="87" t="b">
        <v>0</v>
      </c>
      <c r="G744" s="87" t="b">
        <v>0</v>
      </c>
    </row>
    <row r="745" spans="1:7" ht="15">
      <c r="A745" s="88" t="s">
        <v>1819</v>
      </c>
      <c r="B745" s="87">
        <v>2</v>
      </c>
      <c r="C745" s="110">
        <v>0.005031178830162321</v>
      </c>
      <c r="D745" s="87" t="s">
        <v>1337</v>
      </c>
      <c r="E745" s="87" t="b">
        <v>0</v>
      </c>
      <c r="F745" s="87" t="b">
        <v>0</v>
      </c>
      <c r="G745" s="87" t="b">
        <v>0</v>
      </c>
    </row>
    <row r="746" spans="1:7" ht="15">
      <c r="A746" s="88" t="s">
        <v>1821</v>
      </c>
      <c r="B746" s="87">
        <v>2</v>
      </c>
      <c r="C746" s="110">
        <v>0.005031178830162321</v>
      </c>
      <c r="D746" s="87" t="s">
        <v>1337</v>
      </c>
      <c r="E746" s="87" t="b">
        <v>0</v>
      </c>
      <c r="F746" s="87" t="b">
        <v>0</v>
      </c>
      <c r="G746" s="87" t="b">
        <v>0</v>
      </c>
    </row>
    <row r="747" spans="1:7" ht="15">
      <c r="A747" s="88" t="s">
        <v>1459</v>
      </c>
      <c r="B747" s="87">
        <v>2</v>
      </c>
      <c r="C747" s="110">
        <v>0.005031178830162321</v>
      </c>
      <c r="D747" s="87" t="s">
        <v>1337</v>
      </c>
      <c r="E747" s="87" t="b">
        <v>0</v>
      </c>
      <c r="F747" s="87" t="b">
        <v>0</v>
      </c>
      <c r="G747" s="87" t="b">
        <v>0</v>
      </c>
    </row>
    <row r="748" spans="1:7" ht="15">
      <c r="A748" s="88" t="s">
        <v>2034</v>
      </c>
      <c r="B748" s="87">
        <v>2</v>
      </c>
      <c r="C748" s="110">
        <v>0.005031178830162321</v>
      </c>
      <c r="D748" s="87" t="s">
        <v>1337</v>
      </c>
      <c r="E748" s="87" t="b">
        <v>0</v>
      </c>
      <c r="F748" s="87" t="b">
        <v>0</v>
      </c>
      <c r="G748" s="87" t="b">
        <v>0</v>
      </c>
    </row>
    <row r="749" spans="1:7" ht="15">
      <c r="A749" s="88" t="s">
        <v>2035</v>
      </c>
      <c r="B749" s="87">
        <v>2</v>
      </c>
      <c r="C749" s="110">
        <v>0.005031178830162321</v>
      </c>
      <c r="D749" s="87" t="s">
        <v>1337</v>
      </c>
      <c r="E749" s="87" t="b">
        <v>0</v>
      </c>
      <c r="F749" s="87" t="b">
        <v>0</v>
      </c>
      <c r="G749" s="87" t="b">
        <v>0</v>
      </c>
    </row>
    <row r="750" spans="1:7" ht="15">
      <c r="A750" s="88" t="s">
        <v>1453</v>
      </c>
      <c r="B750" s="87">
        <v>3</v>
      </c>
      <c r="C750" s="110">
        <v>0</v>
      </c>
      <c r="D750" s="87" t="s">
        <v>1338</v>
      </c>
      <c r="E750" s="87" t="b">
        <v>0</v>
      </c>
      <c r="F750" s="87" t="b">
        <v>0</v>
      </c>
      <c r="G750" s="87" t="b">
        <v>0</v>
      </c>
    </row>
    <row r="751" spans="1:7" ht="15">
      <c r="A751" s="88" t="s">
        <v>1515</v>
      </c>
      <c r="B751" s="87">
        <v>3</v>
      </c>
      <c r="C751" s="110">
        <v>0</v>
      </c>
      <c r="D751" s="87" t="s">
        <v>1338</v>
      </c>
      <c r="E751" s="87" t="b">
        <v>1</v>
      </c>
      <c r="F751" s="87" t="b">
        <v>0</v>
      </c>
      <c r="G751" s="87" t="b">
        <v>0</v>
      </c>
    </row>
    <row r="752" spans="1:7" ht="15">
      <c r="A752" s="88" t="s">
        <v>1516</v>
      </c>
      <c r="B752" s="87">
        <v>3</v>
      </c>
      <c r="C752" s="110">
        <v>0</v>
      </c>
      <c r="D752" s="87" t="s">
        <v>1338</v>
      </c>
      <c r="E752" s="87" t="b">
        <v>0</v>
      </c>
      <c r="F752" s="87" t="b">
        <v>0</v>
      </c>
      <c r="G752" s="87" t="b">
        <v>0</v>
      </c>
    </row>
    <row r="753" spans="1:7" ht="15">
      <c r="A753" s="88" t="s">
        <v>1456</v>
      </c>
      <c r="B753" s="87">
        <v>3</v>
      </c>
      <c r="C753" s="110">
        <v>0</v>
      </c>
      <c r="D753" s="87" t="s">
        <v>1338</v>
      </c>
      <c r="E753" s="87" t="b">
        <v>0</v>
      </c>
      <c r="F753" s="87" t="b">
        <v>0</v>
      </c>
      <c r="G753" s="87" t="b">
        <v>0</v>
      </c>
    </row>
    <row r="754" spans="1:7" ht="15">
      <c r="A754" s="88" t="s">
        <v>1460</v>
      </c>
      <c r="B754" s="87">
        <v>3</v>
      </c>
      <c r="C754" s="110">
        <v>0</v>
      </c>
      <c r="D754" s="87" t="s">
        <v>1338</v>
      </c>
      <c r="E754" s="87" t="b">
        <v>0</v>
      </c>
      <c r="F754" s="87" t="b">
        <v>0</v>
      </c>
      <c r="G754" s="87" t="b">
        <v>0</v>
      </c>
    </row>
    <row r="755" spans="1:7" ht="15">
      <c r="A755" s="88" t="s">
        <v>275</v>
      </c>
      <c r="B755" s="87">
        <v>3</v>
      </c>
      <c r="C755" s="110">
        <v>0</v>
      </c>
      <c r="D755" s="87" t="s">
        <v>1338</v>
      </c>
      <c r="E755" s="87" t="b">
        <v>0</v>
      </c>
      <c r="F755" s="87" t="b">
        <v>0</v>
      </c>
      <c r="G755" s="87" t="b">
        <v>0</v>
      </c>
    </row>
    <row r="756" spans="1:7" ht="15">
      <c r="A756" s="88" t="s">
        <v>1490</v>
      </c>
      <c r="B756" s="87">
        <v>3</v>
      </c>
      <c r="C756" s="110">
        <v>0</v>
      </c>
      <c r="D756" s="87" t="s">
        <v>1338</v>
      </c>
      <c r="E756" s="87" t="b">
        <v>0</v>
      </c>
      <c r="F756" s="87" t="b">
        <v>0</v>
      </c>
      <c r="G756" s="87" t="b">
        <v>0</v>
      </c>
    </row>
    <row r="757" spans="1:7" ht="15">
      <c r="A757" s="88" t="s">
        <v>1517</v>
      </c>
      <c r="B757" s="87">
        <v>3</v>
      </c>
      <c r="C757" s="110">
        <v>0</v>
      </c>
      <c r="D757" s="87" t="s">
        <v>1338</v>
      </c>
      <c r="E757" s="87" t="b">
        <v>0</v>
      </c>
      <c r="F757" s="87" t="b">
        <v>0</v>
      </c>
      <c r="G757" s="87" t="b">
        <v>0</v>
      </c>
    </row>
    <row r="758" spans="1:7" ht="15">
      <c r="A758" s="88" t="s">
        <v>1518</v>
      </c>
      <c r="B758" s="87">
        <v>3</v>
      </c>
      <c r="C758" s="110">
        <v>0</v>
      </c>
      <c r="D758" s="87" t="s">
        <v>1338</v>
      </c>
      <c r="E758" s="87" t="b">
        <v>0</v>
      </c>
      <c r="F758" s="87" t="b">
        <v>0</v>
      </c>
      <c r="G758" s="87" t="b">
        <v>0</v>
      </c>
    </row>
    <row r="759" spans="1:7" ht="15">
      <c r="A759" s="88" t="s">
        <v>1519</v>
      </c>
      <c r="B759" s="87">
        <v>3</v>
      </c>
      <c r="C759" s="110">
        <v>0</v>
      </c>
      <c r="D759" s="87" t="s">
        <v>1338</v>
      </c>
      <c r="E759" s="87" t="b">
        <v>0</v>
      </c>
      <c r="F759" s="87" t="b">
        <v>0</v>
      </c>
      <c r="G759" s="87" t="b">
        <v>0</v>
      </c>
    </row>
    <row r="760" spans="1:7" ht="15">
      <c r="A760" s="88" t="s">
        <v>1493</v>
      </c>
      <c r="B760" s="87">
        <v>3</v>
      </c>
      <c r="C760" s="110">
        <v>0</v>
      </c>
      <c r="D760" s="87" t="s">
        <v>1338</v>
      </c>
      <c r="E760" s="87" t="b">
        <v>0</v>
      </c>
      <c r="F760" s="87" t="b">
        <v>0</v>
      </c>
      <c r="G760" s="87" t="b">
        <v>0</v>
      </c>
    </row>
    <row r="761" spans="1:7" ht="15">
      <c r="A761" s="88" t="s">
        <v>310</v>
      </c>
      <c r="B761" s="87">
        <v>3</v>
      </c>
      <c r="C761" s="110">
        <v>0</v>
      </c>
      <c r="D761" s="87" t="s">
        <v>1338</v>
      </c>
      <c r="E761" s="87" t="b">
        <v>0</v>
      </c>
      <c r="F761" s="87" t="b">
        <v>0</v>
      </c>
      <c r="G761" s="87" t="b">
        <v>0</v>
      </c>
    </row>
    <row r="762" spans="1:7" ht="15">
      <c r="A762" s="88" t="s">
        <v>1918</v>
      </c>
      <c r="B762" s="87">
        <v>3</v>
      </c>
      <c r="C762" s="110">
        <v>0</v>
      </c>
      <c r="D762" s="87" t="s">
        <v>1338</v>
      </c>
      <c r="E762" s="87" t="b">
        <v>0</v>
      </c>
      <c r="F762" s="87" t="b">
        <v>0</v>
      </c>
      <c r="G762" s="87" t="b">
        <v>0</v>
      </c>
    </row>
    <row r="763" spans="1:7" ht="15">
      <c r="A763" s="88" t="s">
        <v>1919</v>
      </c>
      <c r="B763" s="87">
        <v>3</v>
      </c>
      <c r="C763" s="110">
        <v>0</v>
      </c>
      <c r="D763" s="87" t="s">
        <v>1338</v>
      </c>
      <c r="E763" s="87" t="b">
        <v>0</v>
      </c>
      <c r="F763" s="87" t="b">
        <v>0</v>
      </c>
      <c r="G763" s="87" t="b">
        <v>0</v>
      </c>
    </row>
    <row r="764" spans="1:7" ht="15">
      <c r="A764" s="88" t="s">
        <v>1920</v>
      </c>
      <c r="B764" s="87">
        <v>3</v>
      </c>
      <c r="C764" s="110">
        <v>0</v>
      </c>
      <c r="D764" s="87" t="s">
        <v>1338</v>
      </c>
      <c r="E764" s="87" t="b">
        <v>0</v>
      </c>
      <c r="F764" s="87" t="b">
        <v>0</v>
      </c>
      <c r="G764" s="87" t="b">
        <v>0</v>
      </c>
    </row>
    <row r="765" spans="1:7" ht="15">
      <c r="A765" s="88" t="s">
        <v>1513</v>
      </c>
      <c r="B765" s="87">
        <v>3</v>
      </c>
      <c r="C765" s="110">
        <v>0</v>
      </c>
      <c r="D765" s="87" t="s">
        <v>1338</v>
      </c>
      <c r="E765" s="87" t="b">
        <v>0</v>
      </c>
      <c r="F765" s="87" t="b">
        <v>0</v>
      </c>
      <c r="G765" s="87" t="b">
        <v>0</v>
      </c>
    </row>
    <row r="766" spans="1:7" ht="15">
      <c r="A766" s="88" t="s">
        <v>1822</v>
      </c>
      <c r="B766" s="87">
        <v>3</v>
      </c>
      <c r="C766" s="110">
        <v>0</v>
      </c>
      <c r="D766" s="87" t="s">
        <v>1338</v>
      </c>
      <c r="E766" s="87" t="b">
        <v>0</v>
      </c>
      <c r="F766" s="87" t="b">
        <v>0</v>
      </c>
      <c r="G766" s="87" t="b">
        <v>0</v>
      </c>
    </row>
    <row r="767" spans="1:7" ht="15">
      <c r="A767" s="88" t="s">
        <v>1829</v>
      </c>
      <c r="B767" s="87">
        <v>3</v>
      </c>
      <c r="C767" s="110">
        <v>0</v>
      </c>
      <c r="D767" s="87" t="s">
        <v>1338</v>
      </c>
      <c r="E767" s="87" t="b">
        <v>1</v>
      </c>
      <c r="F767" s="87" t="b">
        <v>0</v>
      </c>
      <c r="G767" s="87" t="b">
        <v>0</v>
      </c>
    </row>
    <row r="768" spans="1:7" ht="15">
      <c r="A768" s="88" t="s">
        <v>1820</v>
      </c>
      <c r="B768" s="87">
        <v>3</v>
      </c>
      <c r="C768" s="110">
        <v>0</v>
      </c>
      <c r="D768" s="87" t="s">
        <v>1338</v>
      </c>
      <c r="E768" s="87" t="b">
        <v>0</v>
      </c>
      <c r="F768" s="87" t="b">
        <v>0</v>
      </c>
      <c r="G768" s="87" t="b">
        <v>0</v>
      </c>
    </row>
    <row r="769" spans="1:7" ht="15">
      <c r="A769" s="88" t="s">
        <v>1459</v>
      </c>
      <c r="B769" s="87">
        <v>3</v>
      </c>
      <c r="C769" s="110">
        <v>0</v>
      </c>
      <c r="D769" s="87" t="s">
        <v>1338</v>
      </c>
      <c r="E769" s="87" t="b">
        <v>0</v>
      </c>
      <c r="F769" s="87" t="b">
        <v>0</v>
      </c>
      <c r="G769" s="87" t="b">
        <v>0</v>
      </c>
    </row>
    <row r="770" spans="1:7" ht="15">
      <c r="A770" s="88" t="s">
        <v>1437</v>
      </c>
      <c r="B770" s="87">
        <v>3</v>
      </c>
      <c r="C770" s="110">
        <v>0</v>
      </c>
      <c r="D770" s="87" t="s">
        <v>1338</v>
      </c>
      <c r="E770" s="87" t="b">
        <v>0</v>
      </c>
      <c r="F770" s="87" t="b">
        <v>0</v>
      </c>
      <c r="G770" s="87" t="b">
        <v>0</v>
      </c>
    </row>
    <row r="771" spans="1:7" ht="15">
      <c r="A771" s="88" t="s">
        <v>1446</v>
      </c>
      <c r="B771" s="87">
        <v>3</v>
      </c>
      <c r="C771" s="110">
        <v>0</v>
      </c>
      <c r="D771" s="87" t="s">
        <v>1338</v>
      </c>
      <c r="E771" s="87" t="b">
        <v>0</v>
      </c>
      <c r="F771" s="87" t="b">
        <v>0</v>
      </c>
      <c r="G771" s="87" t="b">
        <v>0</v>
      </c>
    </row>
    <row r="772" spans="1:7" ht="15">
      <c r="A772" s="88" t="s">
        <v>1819</v>
      </c>
      <c r="B772" s="87">
        <v>3</v>
      </c>
      <c r="C772" s="110">
        <v>0</v>
      </c>
      <c r="D772" s="87" t="s">
        <v>1338</v>
      </c>
      <c r="E772" s="87" t="b">
        <v>0</v>
      </c>
      <c r="F772" s="87" t="b">
        <v>0</v>
      </c>
      <c r="G772" s="87" t="b">
        <v>0</v>
      </c>
    </row>
    <row r="773" spans="1:7" ht="15">
      <c r="A773" s="88" t="s">
        <v>1455</v>
      </c>
      <c r="B773" s="87">
        <v>3</v>
      </c>
      <c r="C773" s="110">
        <v>0</v>
      </c>
      <c r="D773" s="87" t="s">
        <v>1338</v>
      </c>
      <c r="E773" s="87" t="b">
        <v>0</v>
      </c>
      <c r="F773" s="87" t="b">
        <v>0</v>
      </c>
      <c r="G773" s="87" t="b">
        <v>0</v>
      </c>
    </row>
    <row r="774" spans="1:7" ht="15">
      <c r="A774" s="88" t="s">
        <v>1457</v>
      </c>
      <c r="B774" s="87">
        <v>3</v>
      </c>
      <c r="C774" s="110">
        <v>0</v>
      </c>
      <c r="D774" s="87" t="s">
        <v>1338</v>
      </c>
      <c r="E774" s="87" t="b">
        <v>0</v>
      </c>
      <c r="F774" s="87" t="b">
        <v>0</v>
      </c>
      <c r="G774" s="87" t="b">
        <v>0</v>
      </c>
    </row>
    <row r="775" spans="1:7" ht="15">
      <c r="A775" s="88" t="s">
        <v>1454</v>
      </c>
      <c r="B775" s="87">
        <v>3</v>
      </c>
      <c r="C775" s="110">
        <v>0</v>
      </c>
      <c r="D775" s="87" t="s">
        <v>1338</v>
      </c>
      <c r="E775" s="87" t="b">
        <v>0</v>
      </c>
      <c r="F775" s="87" t="b">
        <v>0</v>
      </c>
      <c r="G775" s="87" t="b">
        <v>0</v>
      </c>
    </row>
    <row r="776" spans="1:7" ht="15">
      <c r="A776" s="88" t="s">
        <v>1454</v>
      </c>
      <c r="B776" s="87">
        <v>6</v>
      </c>
      <c r="C776" s="110">
        <v>0</v>
      </c>
      <c r="D776" s="87" t="s">
        <v>1339</v>
      </c>
      <c r="E776" s="87" t="b">
        <v>0</v>
      </c>
      <c r="F776" s="87" t="b">
        <v>0</v>
      </c>
      <c r="G776" s="87" t="b">
        <v>0</v>
      </c>
    </row>
    <row r="777" spans="1:7" ht="15">
      <c r="A777" s="88" t="s">
        <v>1458</v>
      </c>
      <c r="B777" s="87">
        <v>6</v>
      </c>
      <c r="C777" s="110">
        <v>0</v>
      </c>
      <c r="D777" s="87" t="s">
        <v>1339</v>
      </c>
      <c r="E777" s="87" t="b">
        <v>0</v>
      </c>
      <c r="F777" s="87" t="b">
        <v>0</v>
      </c>
      <c r="G777" s="87" t="b">
        <v>0</v>
      </c>
    </row>
    <row r="778" spans="1:7" ht="15">
      <c r="A778" s="88" t="s">
        <v>1521</v>
      </c>
      <c r="B778" s="87">
        <v>3</v>
      </c>
      <c r="C778" s="110">
        <v>0</v>
      </c>
      <c r="D778" s="87" t="s">
        <v>1339</v>
      </c>
      <c r="E778" s="87" t="b">
        <v>0</v>
      </c>
      <c r="F778" s="87" t="b">
        <v>0</v>
      </c>
      <c r="G778" s="87" t="b">
        <v>0</v>
      </c>
    </row>
    <row r="779" spans="1:7" ht="15">
      <c r="A779" s="88" t="s">
        <v>1522</v>
      </c>
      <c r="B779" s="87">
        <v>3</v>
      </c>
      <c r="C779" s="110">
        <v>0</v>
      </c>
      <c r="D779" s="87" t="s">
        <v>1339</v>
      </c>
      <c r="E779" s="87" t="b">
        <v>1</v>
      </c>
      <c r="F779" s="87" t="b">
        <v>0</v>
      </c>
      <c r="G779" s="87" t="b">
        <v>0</v>
      </c>
    </row>
    <row r="780" spans="1:7" ht="15">
      <c r="A780" s="88" t="s">
        <v>1523</v>
      </c>
      <c r="B780" s="87">
        <v>3</v>
      </c>
      <c r="C780" s="110">
        <v>0</v>
      </c>
      <c r="D780" s="87" t="s">
        <v>1339</v>
      </c>
      <c r="E780" s="87" t="b">
        <v>0</v>
      </c>
      <c r="F780" s="87" t="b">
        <v>0</v>
      </c>
      <c r="G780" s="87" t="b">
        <v>0</v>
      </c>
    </row>
    <row r="781" spans="1:7" ht="15">
      <c r="A781" s="88" t="s">
        <v>1453</v>
      </c>
      <c r="B781" s="87">
        <v>3</v>
      </c>
      <c r="C781" s="110">
        <v>0</v>
      </c>
      <c r="D781" s="87" t="s">
        <v>1339</v>
      </c>
      <c r="E781" s="87" t="b">
        <v>0</v>
      </c>
      <c r="F781" s="87" t="b">
        <v>0</v>
      </c>
      <c r="G781" s="87" t="b">
        <v>0</v>
      </c>
    </row>
    <row r="782" spans="1:7" ht="15">
      <c r="A782" s="88" t="s">
        <v>1456</v>
      </c>
      <c r="B782" s="87">
        <v>3</v>
      </c>
      <c r="C782" s="110">
        <v>0</v>
      </c>
      <c r="D782" s="87" t="s">
        <v>1339</v>
      </c>
      <c r="E782" s="87" t="b">
        <v>0</v>
      </c>
      <c r="F782" s="87" t="b">
        <v>0</v>
      </c>
      <c r="G782" s="87" t="b">
        <v>0</v>
      </c>
    </row>
    <row r="783" spans="1:7" ht="15">
      <c r="A783" s="88" t="s">
        <v>1460</v>
      </c>
      <c r="B783" s="87">
        <v>3</v>
      </c>
      <c r="C783" s="110">
        <v>0</v>
      </c>
      <c r="D783" s="87" t="s">
        <v>1339</v>
      </c>
      <c r="E783" s="87" t="b">
        <v>0</v>
      </c>
      <c r="F783" s="87" t="b">
        <v>0</v>
      </c>
      <c r="G783" s="87" t="b">
        <v>0</v>
      </c>
    </row>
    <row r="784" spans="1:7" ht="15">
      <c r="A784" s="88" t="s">
        <v>1490</v>
      </c>
      <c r="B784" s="87">
        <v>3</v>
      </c>
      <c r="C784" s="110">
        <v>0</v>
      </c>
      <c r="D784" s="87" t="s">
        <v>1339</v>
      </c>
      <c r="E784" s="87" t="b">
        <v>0</v>
      </c>
      <c r="F784" s="87" t="b">
        <v>0</v>
      </c>
      <c r="G784" s="87" t="b">
        <v>0</v>
      </c>
    </row>
    <row r="785" spans="1:7" ht="15">
      <c r="A785" s="88" t="s">
        <v>1524</v>
      </c>
      <c r="B785" s="87">
        <v>3</v>
      </c>
      <c r="C785" s="110">
        <v>0</v>
      </c>
      <c r="D785" s="87" t="s">
        <v>1339</v>
      </c>
      <c r="E785" s="87" t="b">
        <v>0</v>
      </c>
      <c r="F785" s="87" t="b">
        <v>0</v>
      </c>
      <c r="G785" s="87" t="b">
        <v>0</v>
      </c>
    </row>
    <row r="786" spans="1:7" ht="15">
      <c r="A786" s="88" t="s">
        <v>1900</v>
      </c>
      <c r="B786" s="87">
        <v>3</v>
      </c>
      <c r="C786" s="110">
        <v>0</v>
      </c>
      <c r="D786" s="87" t="s">
        <v>1339</v>
      </c>
      <c r="E786" s="87" t="b">
        <v>0</v>
      </c>
      <c r="F786" s="87" t="b">
        <v>0</v>
      </c>
      <c r="G786" s="87" t="b">
        <v>0</v>
      </c>
    </row>
    <row r="787" spans="1:7" ht="15">
      <c r="A787" s="88" t="s">
        <v>1493</v>
      </c>
      <c r="B787" s="87">
        <v>3</v>
      </c>
      <c r="C787" s="110">
        <v>0</v>
      </c>
      <c r="D787" s="87" t="s">
        <v>1339</v>
      </c>
      <c r="E787" s="87" t="b">
        <v>0</v>
      </c>
      <c r="F787" s="87" t="b">
        <v>0</v>
      </c>
      <c r="G787" s="87" t="b">
        <v>0</v>
      </c>
    </row>
    <row r="788" spans="1:7" ht="15">
      <c r="A788" s="88" t="s">
        <v>324</v>
      </c>
      <c r="B788" s="87">
        <v>3</v>
      </c>
      <c r="C788" s="110">
        <v>0</v>
      </c>
      <c r="D788" s="87" t="s">
        <v>1339</v>
      </c>
      <c r="E788" s="87" t="b">
        <v>0</v>
      </c>
      <c r="F788" s="87" t="b">
        <v>0</v>
      </c>
      <c r="G788" s="87" t="b">
        <v>0</v>
      </c>
    </row>
    <row r="789" spans="1:7" ht="15">
      <c r="A789" s="88" t="s">
        <v>1821</v>
      </c>
      <c r="B789" s="87">
        <v>3</v>
      </c>
      <c r="C789" s="110">
        <v>0</v>
      </c>
      <c r="D789" s="87" t="s">
        <v>1339</v>
      </c>
      <c r="E789" s="87" t="b">
        <v>0</v>
      </c>
      <c r="F789" s="87" t="b">
        <v>0</v>
      </c>
      <c r="G789" s="87" t="b">
        <v>0</v>
      </c>
    </row>
    <row r="790" spans="1:7" ht="15">
      <c r="A790" s="88" t="s">
        <v>1874</v>
      </c>
      <c r="B790" s="87">
        <v>3</v>
      </c>
      <c r="C790" s="110">
        <v>0</v>
      </c>
      <c r="D790" s="87" t="s">
        <v>1339</v>
      </c>
      <c r="E790" s="87" t="b">
        <v>0</v>
      </c>
      <c r="F790" s="87" t="b">
        <v>0</v>
      </c>
      <c r="G790" s="87" t="b">
        <v>0</v>
      </c>
    </row>
    <row r="791" spans="1:7" ht="15">
      <c r="A791" s="88" t="s">
        <v>1437</v>
      </c>
      <c r="B791" s="87">
        <v>3</v>
      </c>
      <c r="C791" s="110">
        <v>0</v>
      </c>
      <c r="D791" s="87" t="s">
        <v>1339</v>
      </c>
      <c r="E791" s="87" t="b">
        <v>0</v>
      </c>
      <c r="F791" s="87" t="b">
        <v>0</v>
      </c>
      <c r="G791" s="87" t="b">
        <v>0</v>
      </c>
    </row>
    <row r="792" spans="1:7" ht="15">
      <c r="A792" s="88" t="s">
        <v>1875</v>
      </c>
      <c r="B792" s="87">
        <v>3</v>
      </c>
      <c r="C792" s="110">
        <v>0</v>
      </c>
      <c r="D792" s="87" t="s">
        <v>1339</v>
      </c>
      <c r="E792" s="87" t="b">
        <v>0</v>
      </c>
      <c r="F792" s="87" t="b">
        <v>0</v>
      </c>
      <c r="G792" s="87" t="b">
        <v>0</v>
      </c>
    </row>
    <row r="793" spans="1:7" ht="15">
      <c r="A793" s="88" t="s">
        <v>1455</v>
      </c>
      <c r="B793" s="87">
        <v>3</v>
      </c>
      <c r="C793" s="110">
        <v>0</v>
      </c>
      <c r="D793" s="87" t="s">
        <v>1339</v>
      </c>
      <c r="E793" s="87" t="b">
        <v>0</v>
      </c>
      <c r="F793" s="87" t="b">
        <v>0</v>
      </c>
      <c r="G793" s="87" t="b">
        <v>0</v>
      </c>
    </row>
    <row r="794" spans="1:7" ht="15">
      <c r="A794" s="88" t="s">
        <v>1457</v>
      </c>
      <c r="B794" s="87">
        <v>3</v>
      </c>
      <c r="C794" s="110">
        <v>0</v>
      </c>
      <c r="D794" s="87" t="s">
        <v>1339</v>
      </c>
      <c r="E794" s="87" t="b">
        <v>0</v>
      </c>
      <c r="F794" s="87" t="b">
        <v>0</v>
      </c>
      <c r="G794" s="87" t="b">
        <v>0</v>
      </c>
    </row>
    <row r="795" spans="1:7" ht="15">
      <c r="A795" s="88" t="s">
        <v>289</v>
      </c>
      <c r="B795" s="87">
        <v>3</v>
      </c>
      <c r="C795" s="110">
        <v>0</v>
      </c>
      <c r="D795" s="87" t="s">
        <v>1339</v>
      </c>
      <c r="E795" s="87" t="b">
        <v>0</v>
      </c>
      <c r="F795" s="87" t="b">
        <v>0</v>
      </c>
      <c r="G795" s="87" t="b">
        <v>0</v>
      </c>
    </row>
    <row r="796" spans="1:7" ht="15">
      <c r="A796" s="88" t="s">
        <v>290</v>
      </c>
      <c r="B796" s="87">
        <v>3</v>
      </c>
      <c r="C796" s="110">
        <v>0</v>
      </c>
      <c r="D796" s="87" t="s">
        <v>1339</v>
      </c>
      <c r="E796" s="87" t="b">
        <v>0</v>
      </c>
      <c r="F796" s="87" t="b">
        <v>0</v>
      </c>
      <c r="G796" s="87" t="b">
        <v>0</v>
      </c>
    </row>
    <row r="797" spans="1:7" ht="15">
      <c r="A797" s="88" t="s">
        <v>1821</v>
      </c>
      <c r="B797" s="87">
        <v>4</v>
      </c>
      <c r="C797" s="110">
        <v>0</v>
      </c>
      <c r="D797" s="87" t="s">
        <v>1340</v>
      </c>
      <c r="E797" s="87" t="b">
        <v>0</v>
      </c>
      <c r="F797" s="87" t="b">
        <v>0</v>
      </c>
      <c r="G797" s="87" t="b">
        <v>0</v>
      </c>
    </row>
    <row r="798" spans="1:7" ht="15">
      <c r="A798" s="88" t="s">
        <v>1437</v>
      </c>
      <c r="B798" s="87">
        <v>4</v>
      </c>
      <c r="C798" s="110">
        <v>0</v>
      </c>
      <c r="D798" s="87" t="s">
        <v>1340</v>
      </c>
      <c r="E798" s="87" t="b">
        <v>0</v>
      </c>
      <c r="F798" s="87" t="b">
        <v>0</v>
      </c>
      <c r="G798" s="87" t="b">
        <v>0</v>
      </c>
    </row>
    <row r="799" spans="1:7" ht="15">
      <c r="A799" s="88" t="s">
        <v>1453</v>
      </c>
      <c r="B799" s="87">
        <v>2</v>
      </c>
      <c r="C799" s="110">
        <v>0</v>
      </c>
      <c r="D799" s="87" t="s">
        <v>1340</v>
      </c>
      <c r="E799" s="87" t="b">
        <v>0</v>
      </c>
      <c r="F799" s="87" t="b">
        <v>0</v>
      </c>
      <c r="G799" s="87" t="b">
        <v>0</v>
      </c>
    </row>
    <row r="800" spans="1:7" ht="15">
      <c r="A800" s="88" t="s">
        <v>1825</v>
      </c>
      <c r="B800" s="87">
        <v>2</v>
      </c>
      <c r="C800" s="110">
        <v>0</v>
      </c>
      <c r="D800" s="87" t="s">
        <v>1340</v>
      </c>
      <c r="E800" s="87" t="b">
        <v>0</v>
      </c>
      <c r="F800" s="87" t="b">
        <v>0</v>
      </c>
      <c r="G800" s="87" t="b">
        <v>0</v>
      </c>
    </row>
    <row r="801" spans="1:7" ht="15">
      <c r="A801" s="88" t="s">
        <v>1490</v>
      </c>
      <c r="B801" s="87">
        <v>2</v>
      </c>
      <c r="C801" s="110">
        <v>0</v>
      </c>
      <c r="D801" s="87" t="s">
        <v>1340</v>
      </c>
      <c r="E801" s="87" t="b">
        <v>0</v>
      </c>
      <c r="F801" s="87" t="b">
        <v>0</v>
      </c>
      <c r="G801" s="87" t="b">
        <v>0</v>
      </c>
    </row>
    <row r="802" spans="1:7" ht="15">
      <c r="A802" s="88" t="s">
        <v>1952</v>
      </c>
      <c r="B802" s="87">
        <v>2</v>
      </c>
      <c r="C802" s="110">
        <v>0</v>
      </c>
      <c r="D802" s="87" t="s">
        <v>1340</v>
      </c>
      <c r="E802" s="87" t="b">
        <v>0</v>
      </c>
      <c r="F802" s="87" t="b">
        <v>0</v>
      </c>
      <c r="G802" s="87" t="b">
        <v>0</v>
      </c>
    </row>
    <row r="803" spans="1:7" ht="15">
      <c r="A803" s="88" t="s">
        <v>1953</v>
      </c>
      <c r="B803" s="87">
        <v>2</v>
      </c>
      <c r="C803" s="110">
        <v>0</v>
      </c>
      <c r="D803" s="87" t="s">
        <v>1340</v>
      </c>
      <c r="E803" s="87" t="b">
        <v>0</v>
      </c>
      <c r="F803" s="87" t="b">
        <v>0</v>
      </c>
      <c r="G803" s="87" t="b">
        <v>0</v>
      </c>
    </row>
    <row r="804" spans="1:7" ht="15">
      <c r="A804" s="88" t="s">
        <v>1954</v>
      </c>
      <c r="B804" s="87">
        <v>2</v>
      </c>
      <c r="C804" s="110">
        <v>0</v>
      </c>
      <c r="D804" s="87" t="s">
        <v>1340</v>
      </c>
      <c r="E804" s="87" t="b">
        <v>1</v>
      </c>
      <c r="F804" s="87" t="b">
        <v>0</v>
      </c>
      <c r="G804" s="87" t="b">
        <v>0</v>
      </c>
    </row>
    <row r="805" spans="1:7" ht="15">
      <c r="A805" s="88" t="s">
        <v>1955</v>
      </c>
      <c r="B805" s="87">
        <v>2</v>
      </c>
      <c r="C805" s="110">
        <v>0</v>
      </c>
      <c r="D805" s="87" t="s">
        <v>1340</v>
      </c>
      <c r="E805" s="87" t="b">
        <v>0</v>
      </c>
      <c r="F805" s="87" t="b">
        <v>1</v>
      </c>
      <c r="G805" s="87" t="b">
        <v>0</v>
      </c>
    </row>
    <row r="806" spans="1:7" ht="15">
      <c r="A806" s="88" t="s">
        <v>1495</v>
      </c>
      <c r="B806" s="87">
        <v>2</v>
      </c>
      <c r="C806" s="110">
        <v>0</v>
      </c>
      <c r="D806" s="87" t="s">
        <v>1340</v>
      </c>
      <c r="E806" s="87" t="b">
        <v>1</v>
      </c>
      <c r="F806" s="87" t="b">
        <v>0</v>
      </c>
      <c r="G806" s="87" t="b">
        <v>0</v>
      </c>
    </row>
    <row r="807" spans="1:7" ht="15">
      <c r="A807" s="88" t="s">
        <v>1956</v>
      </c>
      <c r="B807" s="87">
        <v>2</v>
      </c>
      <c r="C807" s="110">
        <v>0</v>
      </c>
      <c r="D807" s="87" t="s">
        <v>1340</v>
      </c>
      <c r="E807" s="87" t="b">
        <v>0</v>
      </c>
      <c r="F807" s="87" t="b">
        <v>0</v>
      </c>
      <c r="G807" s="87" t="b">
        <v>0</v>
      </c>
    </row>
    <row r="808" spans="1:7" ht="15">
      <c r="A808" s="88" t="s">
        <v>1957</v>
      </c>
      <c r="B808" s="87">
        <v>2</v>
      </c>
      <c r="C808" s="110">
        <v>0</v>
      </c>
      <c r="D808" s="87" t="s">
        <v>1340</v>
      </c>
      <c r="E808" s="87" t="b">
        <v>0</v>
      </c>
      <c r="F808" s="87" t="b">
        <v>0</v>
      </c>
      <c r="G808" s="87" t="b">
        <v>0</v>
      </c>
    </row>
    <row r="809" spans="1:7" ht="15">
      <c r="A809" s="88" t="s">
        <v>304</v>
      </c>
      <c r="B809" s="87">
        <v>2</v>
      </c>
      <c r="C809" s="110">
        <v>0</v>
      </c>
      <c r="D809" s="87" t="s">
        <v>1340</v>
      </c>
      <c r="E809" s="87" t="b">
        <v>0</v>
      </c>
      <c r="F809" s="87" t="b">
        <v>0</v>
      </c>
      <c r="G809" s="87" t="b">
        <v>0</v>
      </c>
    </row>
    <row r="810" spans="1:7" ht="15">
      <c r="A810" s="88" t="s">
        <v>1824</v>
      </c>
      <c r="B810" s="87">
        <v>2</v>
      </c>
      <c r="C810" s="110">
        <v>0</v>
      </c>
      <c r="D810" s="87" t="s">
        <v>1340</v>
      </c>
      <c r="E810" s="87" t="b">
        <v>0</v>
      </c>
      <c r="F810" s="87" t="b">
        <v>0</v>
      </c>
      <c r="G810" s="87" t="b">
        <v>0</v>
      </c>
    </row>
    <row r="811" spans="1:7" ht="15">
      <c r="A811" s="88" t="s">
        <v>451</v>
      </c>
      <c r="B811" s="87">
        <v>2</v>
      </c>
      <c r="C811" s="110">
        <v>0</v>
      </c>
      <c r="D811" s="87" t="s">
        <v>1340</v>
      </c>
      <c r="E811" s="87" t="b">
        <v>0</v>
      </c>
      <c r="F811" s="87" t="b">
        <v>0</v>
      </c>
      <c r="G811" s="87" t="b">
        <v>0</v>
      </c>
    </row>
    <row r="812" spans="1:7" ht="15">
      <c r="A812" s="88" t="s">
        <v>1513</v>
      </c>
      <c r="B812" s="87">
        <v>2</v>
      </c>
      <c r="C812" s="110">
        <v>0</v>
      </c>
      <c r="D812" s="87" t="s">
        <v>1340</v>
      </c>
      <c r="E812" s="87" t="b">
        <v>0</v>
      </c>
      <c r="F812" s="87" t="b">
        <v>0</v>
      </c>
      <c r="G812" s="87" t="b">
        <v>0</v>
      </c>
    </row>
    <row r="813" spans="1:7" ht="15">
      <c r="A813" s="88" t="s">
        <v>1822</v>
      </c>
      <c r="B813" s="87">
        <v>2</v>
      </c>
      <c r="C813" s="110">
        <v>0</v>
      </c>
      <c r="D813" s="87" t="s">
        <v>1340</v>
      </c>
      <c r="E813" s="87" t="b">
        <v>0</v>
      </c>
      <c r="F813" s="87" t="b">
        <v>0</v>
      </c>
      <c r="G813" s="87" t="b">
        <v>0</v>
      </c>
    </row>
    <row r="814" spans="1:7" ht="15">
      <c r="A814" s="88" t="s">
        <v>1823</v>
      </c>
      <c r="B814" s="87">
        <v>2</v>
      </c>
      <c r="C814" s="110">
        <v>0</v>
      </c>
      <c r="D814" s="87" t="s">
        <v>1340</v>
      </c>
      <c r="E814" s="87" t="b">
        <v>0</v>
      </c>
      <c r="F814" s="87" t="b">
        <v>0</v>
      </c>
      <c r="G814" s="87" t="b">
        <v>0</v>
      </c>
    </row>
    <row r="815" spans="1:7" ht="15">
      <c r="A815" s="88" t="s">
        <v>1820</v>
      </c>
      <c r="B815" s="87">
        <v>2</v>
      </c>
      <c r="C815" s="110">
        <v>0</v>
      </c>
      <c r="D815" s="87" t="s">
        <v>1340</v>
      </c>
      <c r="E815" s="87" t="b">
        <v>0</v>
      </c>
      <c r="F815" s="87" t="b">
        <v>0</v>
      </c>
      <c r="G815" s="87" t="b">
        <v>0</v>
      </c>
    </row>
    <row r="816" spans="1:7" ht="15">
      <c r="A816" s="88" t="s">
        <v>1459</v>
      </c>
      <c r="B816" s="87">
        <v>2</v>
      </c>
      <c r="C816" s="110">
        <v>0</v>
      </c>
      <c r="D816" s="87" t="s">
        <v>1340</v>
      </c>
      <c r="E816" s="87" t="b">
        <v>0</v>
      </c>
      <c r="F816" s="87" t="b">
        <v>0</v>
      </c>
      <c r="G816" s="87" t="b">
        <v>0</v>
      </c>
    </row>
    <row r="817" spans="1:7" ht="15">
      <c r="A817" s="88" t="s">
        <v>1455</v>
      </c>
      <c r="B817" s="87">
        <v>2</v>
      </c>
      <c r="C817" s="110">
        <v>0</v>
      </c>
      <c r="D817" s="87" t="s">
        <v>1340</v>
      </c>
      <c r="E817" s="87" t="b">
        <v>0</v>
      </c>
      <c r="F817" s="87" t="b">
        <v>0</v>
      </c>
      <c r="G817" s="87" t="b">
        <v>0</v>
      </c>
    </row>
    <row r="818" spans="1:7" ht="15">
      <c r="A818" s="88" t="s">
        <v>1457</v>
      </c>
      <c r="B818" s="87">
        <v>2</v>
      </c>
      <c r="C818" s="110">
        <v>0</v>
      </c>
      <c r="D818" s="87" t="s">
        <v>1340</v>
      </c>
      <c r="E818" s="87" t="b">
        <v>0</v>
      </c>
      <c r="F818" s="87" t="b">
        <v>0</v>
      </c>
      <c r="G818" s="87" t="b">
        <v>0</v>
      </c>
    </row>
    <row r="819" spans="1:7" ht="15">
      <c r="A819" s="88" t="s">
        <v>1454</v>
      </c>
      <c r="B819" s="87">
        <v>2</v>
      </c>
      <c r="C819" s="110">
        <v>0</v>
      </c>
      <c r="D819" s="87" t="s">
        <v>1340</v>
      </c>
      <c r="E819" s="87" t="b">
        <v>0</v>
      </c>
      <c r="F819" s="87" t="b">
        <v>0</v>
      </c>
      <c r="G819" s="87" t="b">
        <v>0</v>
      </c>
    </row>
    <row r="820" spans="1:7" ht="15">
      <c r="A820" s="88" t="s">
        <v>1458</v>
      </c>
      <c r="B820" s="87">
        <v>2</v>
      </c>
      <c r="C820" s="110">
        <v>0</v>
      </c>
      <c r="D820" s="87" t="s">
        <v>1340</v>
      </c>
      <c r="E820" s="87" t="b">
        <v>0</v>
      </c>
      <c r="F820" s="87" t="b">
        <v>0</v>
      </c>
      <c r="G820" s="87" t="b">
        <v>0</v>
      </c>
    </row>
    <row r="821" spans="1:7" ht="15">
      <c r="A821" s="88" t="s">
        <v>1437</v>
      </c>
      <c r="B821" s="87">
        <v>13</v>
      </c>
      <c r="C821" s="110">
        <v>0</v>
      </c>
      <c r="D821" s="87" t="s">
        <v>1341</v>
      </c>
      <c r="E821" s="87" t="b">
        <v>0</v>
      </c>
      <c r="F821" s="87" t="b">
        <v>0</v>
      </c>
      <c r="G821" s="87" t="b">
        <v>0</v>
      </c>
    </row>
    <row r="822" spans="1:7" ht="15">
      <c r="A822" s="88" t="s">
        <v>1453</v>
      </c>
      <c r="B822" s="87">
        <v>5</v>
      </c>
      <c r="C822" s="110">
        <v>0</v>
      </c>
      <c r="D822" s="87" t="s">
        <v>1341</v>
      </c>
      <c r="E822" s="87" t="b">
        <v>0</v>
      </c>
      <c r="F822" s="87" t="b">
        <v>0</v>
      </c>
      <c r="G822" s="87" t="b">
        <v>0</v>
      </c>
    </row>
    <row r="823" spans="1:7" ht="15">
      <c r="A823" s="88" t="s">
        <v>1462</v>
      </c>
      <c r="B823" s="87">
        <v>5</v>
      </c>
      <c r="C823" s="110">
        <v>0</v>
      </c>
      <c r="D823" s="87" t="s">
        <v>1341</v>
      </c>
      <c r="E823" s="87" t="b">
        <v>0</v>
      </c>
      <c r="F823" s="87" t="b">
        <v>0</v>
      </c>
      <c r="G823" s="87" t="b">
        <v>0</v>
      </c>
    </row>
    <row r="824" spans="1:7" ht="15">
      <c r="A824" s="88" t="s">
        <v>1469</v>
      </c>
      <c r="B824" s="87">
        <v>5</v>
      </c>
      <c r="C824" s="110">
        <v>0</v>
      </c>
      <c r="D824" s="87" t="s">
        <v>1341</v>
      </c>
      <c r="E824" s="87" t="b">
        <v>0</v>
      </c>
      <c r="F824" s="87" t="b">
        <v>0</v>
      </c>
      <c r="G824" s="87" t="b">
        <v>0</v>
      </c>
    </row>
    <row r="825" spans="1:7" ht="15">
      <c r="A825" s="88" t="s">
        <v>1838</v>
      </c>
      <c r="B825" s="87">
        <v>5</v>
      </c>
      <c r="C825" s="110">
        <v>0</v>
      </c>
      <c r="D825" s="87" t="s">
        <v>1341</v>
      </c>
      <c r="E825" s="87" t="b">
        <v>0</v>
      </c>
      <c r="F825" s="87" t="b">
        <v>0</v>
      </c>
      <c r="G825" s="87" t="b">
        <v>0</v>
      </c>
    </row>
    <row r="826" spans="1:7" ht="15">
      <c r="A826" s="88" t="s">
        <v>1464</v>
      </c>
      <c r="B826" s="87">
        <v>5</v>
      </c>
      <c r="C826" s="110">
        <v>0</v>
      </c>
      <c r="D826" s="87" t="s">
        <v>1341</v>
      </c>
      <c r="E826" s="87" t="b">
        <v>0</v>
      </c>
      <c r="F826" s="87" t="b">
        <v>0</v>
      </c>
      <c r="G826" s="87" t="b">
        <v>0</v>
      </c>
    </row>
    <row r="827" spans="1:7" ht="15">
      <c r="A827" s="88" t="s">
        <v>1454</v>
      </c>
      <c r="B827" s="87">
        <v>5</v>
      </c>
      <c r="C827" s="110">
        <v>0</v>
      </c>
      <c r="D827" s="87" t="s">
        <v>1341</v>
      </c>
      <c r="E827" s="87" t="b">
        <v>0</v>
      </c>
      <c r="F827" s="87" t="b">
        <v>0</v>
      </c>
      <c r="G827" s="87" t="b">
        <v>0</v>
      </c>
    </row>
    <row r="828" spans="1:7" ht="15">
      <c r="A828" s="88" t="s">
        <v>1876</v>
      </c>
      <c r="B828" s="87">
        <v>3</v>
      </c>
      <c r="C828" s="110">
        <v>0.005688429477342471</v>
      </c>
      <c r="D828" s="87" t="s">
        <v>1341</v>
      </c>
      <c r="E828" s="87" t="b">
        <v>0</v>
      </c>
      <c r="F828" s="87" t="b">
        <v>0</v>
      </c>
      <c r="G828" s="87" t="b">
        <v>0</v>
      </c>
    </row>
    <row r="829" spans="1:7" ht="15">
      <c r="A829" s="88" t="s">
        <v>1823</v>
      </c>
      <c r="B829" s="87">
        <v>3</v>
      </c>
      <c r="C829" s="110">
        <v>0.005688429477342471</v>
      </c>
      <c r="D829" s="87" t="s">
        <v>1341</v>
      </c>
      <c r="E829" s="87" t="b">
        <v>0</v>
      </c>
      <c r="F829" s="87" t="b">
        <v>0</v>
      </c>
      <c r="G829" s="87" t="b">
        <v>0</v>
      </c>
    </row>
    <row r="830" spans="1:7" ht="15">
      <c r="A830" s="88" t="s">
        <v>1820</v>
      </c>
      <c r="B830" s="87">
        <v>3</v>
      </c>
      <c r="C830" s="110">
        <v>0.005688429477342471</v>
      </c>
      <c r="D830" s="87" t="s">
        <v>1341</v>
      </c>
      <c r="E830" s="87" t="b">
        <v>0</v>
      </c>
      <c r="F830" s="87" t="b">
        <v>0</v>
      </c>
      <c r="G830" s="87" t="b">
        <v>0</v>
      </c>
    </row>
    <row r="831" spans="1:7" ht="15">
      <c r="A831" s="88" t="s">
        <v>1830</v>
      </c>
      <c r="B831" s="87">
        <v>3</v>
      </c>
      <c r="C831" s="110">
        <v>0.005688429477342471</v>
      </c>
      <c r="D831" s="87" t="s">
        <v>1341</v>
      </c>
      <c r="E831" s="87" t="b">
        <v>0</v>
      </c>
      <c r="F831" s="87" t="b">
        <v>0</v>
      </c>
      <c r="G831" s="87" t="b">
        <v>0</v>
      </c>
    </row>
    <row r="832" spans="1:7" ht="15">
      <c r="A832" s="88" t="s">
        <v>1446</v>
      </c>
      <c r="B832" s="87">
        <v>3</v>
      </c>
      <c r="C832" s="110">
        <v>0.005688429477342471</v>
      </c>
      <c r="D832" s="87" t="s">
        <v>1341</v>
      </c>
      <c r="E832" s="87" t="b">
        <v>0</v>
      </c>
      <c r="F832" s="87" t="b">
        <v>0</v>
      </c>
      <c r="G832" s="87" t="b">
        <v>0</v>
      </c>
    </row>
    <row r="833" spans="1:7" ht="15">
      <c r="A833" s="88" t="s">
        <v>1819</v>
      </c>
      <c r="B833" s="87">
        <v>3</v>
      </c>
      <c r="C833" s="110">
        <v>0.005688429477342471</v>
      </c>
      <c r="D833" s="87" t="s">
        <v>1341</v>
      </c>
      <c r="E833" s="87" t="b">
        <v>0</v>
      </c>
      <c r="F833" s="87" t="b">
        <v>0</v>
      </c>
      <c r="G833" s="87" t="b">
        <v>0</v>
      </c>
    </row>
    <row r="834" spans="1:7" ht="15">
      <c r="A834" s="88" t="s">
        <v>1877</v>
      </c>
      <c r="B834" s="87">
        <v>3</v>
      </c>
      <c r="C834" s="110">
        <v>0.005688429477342471</v>
      </c>
      <c r="D834" s="87" t="s">
        <v>1341</v>
      </c>
      <c r="E834" s="87" t="b">
        <v>0</v>
      </c>
      <c r="F834" s="87" t="b">
        <v>0</v>
      </c>
      <c r="G834" s="87" t="b">
        <v>0</v>
      </c>
    </row>
    <row r="835" spans="1:7" ht="15">
      <c r="A835" s="88" t="s">
        <v>1878</v>
      </c>
      <c r="B835" s="87">
        <v>3</v>
      </c>
      <c r="C835" s="110">
        <v>0.005688429477342471</v>
      </c>
      <c r="D835" s="87" t="s">
        <v>1341</v>
      </c>
      <c r="E835" s="87" t="b">
        <v>0</v>
      </c>
      <c r="F835" s="87" t="b">
        <v>0</v>
      </c>
      <c r="G835" s="87" t="b">
        <v>0</v>
      </c>
    </row>
    <row r="836" spans="1:7" ht="15">
      <c r="A836" s="88" t="s">
        <v>1842</v>
      </c>
      <c r="B836" s="87">
        <v>3</v>
      </c>
      <c r="C836" s="110">
        <v>0.005688429477342471</v>
      </c>
      <c r="D836" s="87" t="s">
        <v>1341</v>
      </c>
      <c r="E836" s="87" t="b">
        <v>1</v>
      </c>
      <c r="F836" s="87" t="b">
        <v>0</v>
      </c>
      <c r="G836" s="87" t="b">
        <v>0</v>
      </c>
    </row>
    <row r="837" spans="1:7" ht="15">
      <c r="A837" s="88" t="s">
        <v>1843</v>
      </c>
      <c r="B837" s="87">
        <v>3</v>
      </c>
      <c r="C837" s="110">
        <v>0.005688429477342471</v>
      </c>
      <c r="D837" s="87" t="s">
        <v>1341</v>
      </c>
      <c r="E837" s="87" t="b">
        <v>0</v>
      </c>
      <c r="F837" s="87" t="b">
        <v>0</v>
      </c>
      <c r="G837" s="87" t="b">
        <v>0</v>
      </c>
    </row>
    <row r="838" spans="1:7" ht="15">
      <c r="A838" s="88" t="s">
        <v>1879</v>
      </c>
      <c r="B838" s="87">
        <v>3</v>
      </c>
      <c r="C838" s="110">
        <v>0.005688429477342471</v>
      </c>
      <c r="D838" s="87" t="s">
        <v>1341</v>
      </c>
      <c r="E838" s="87" t="b">
        <v>0</v>
      </c>
      <c r="F838" s="87" t="b">
        <v>0</v>
      </c>
      <c r="G838" s="87" t="b">
        <v>0</v>
      </c>
    </row>
    <row r="839" spans="1:7" ht="15">
      <c r="A839" s="88" t="s">
        <v>1455</v>
      </c>
      <c r="B839" s="87">
        <v>3</v>
      </c>
      <c r="C839" s="110">
        <v>0.005688429477342471</v>
      </c>
      <c r="D839" s="87" t="s">
        <v>1341</v>
      </c>
      <c r="E839" s="87" t="b">
        <v>0</v>
      </c>
      <c r="F839" s="87" t="b">
        <v>0</v>
      </c>
      <c r="G839" s="87" t="b">
        <v>0</v>
      </c>
    </row>
    <row r="840" spans="1:7" ht="15">
      <c r="A840" s="88" t="s">
        <v>1457</v>
      </c>
      <c r="B840" s="87">
        <v>3</v>
      </c>
      <c r="C840" s="110">
        <v>0.005688429477342471</v>
      </c>
      <c r="D840" s="87" t="s">
        <v>1341</v>
      </c>
      <c r="E840" s="87" t="b">
        <v>0</v>
      </c>
      <c r="F840" s="87" t="b">
        <v>0</v>
      </c>
      <c r="G840" s="87" t="b">
        <v>0</v>
      </c>
    </row>
    <row r="841" spans="1:7" ht="15">
      <c r="A841" s="88" t="s">
        <v>1844</v>
      </c>
      <c r="B841" s="87">
        <v>2</v>
      </c>
      <c r="C841" s="110">
        <v>0.006802393310633122</v>
      </c>
      <c r="D841" s="87" t="s">
        <v>1341</v>
      </c>
      <c r="E841" s="87" t="b">
        <v>1</v>
      </c>
      <c r="F841" s="87" t="b">
        <v>0</v>
      </c>
      <c r="G841" s="87" t="b">
        <v>0</v>
      </c>
    </row>
    <row r="842" spans="1:7" ht="15">
      <c r="A842" s="88" t="s">
        <v>1834</v>
      </c>
      <c r="B842" s="87">
        <v>2</v>
      </c>
      <c r="C842" s="110">
        <v>0.006802393310633122</v>
      </c>
      <c r="D842" s="87" t="s">
        <v>1341</v>
      </c>
      <c r="E842" s="87" t="b">
        <v>0</v>
      </c>
      <c r="F842" s="87" t="b">
        <v>0</v>
      </c>
      <c r="G842" s="87" t="b">
        <v>0</v>
      </c>
    </row>
    <row r="843" spans="1:7" ht="15">
      <c r="A843" s="88" t="s">
        <v>1845</v>
      </c>
      <c r="B843" s="87">
        <v>2</v>
      </c>
      <c r="C843" s="110">
        <v>0.006802393310633122</v>
      </c>
      <c r="D843" s="87" t="s">
        <v>1341</v>
      </c>
      <c r="E843" s="87" t="b">
        <v>1</v>
      </c>
      <c r="F843" s="87" t="b">
        <v>0</v>
      </c>
      <c r="G843" s="87" t="b">
        <v>0</v>
      </c>
    </row>
    <row r="844" spans="1:7" ht="15">
      <c r="A844" s="88" t="s">
        <v>1825</v>
      </c>
      <c r="B844" s="87">
        <v>2</v>
      </c>
      <c r="C844" s="110">
        <v>0.006802393310633122</v>
      </c>
      <c r="D844" s="87" t="s">
        <v>1341</v>
      </c>
      <c r="E844" s="87" t="b">
        <v>0</v>
      </c>
      <c r="F844" s="87" t="b">
        <v>0</v>
      </c>
      <c r="G844" s="87" t="b">
        <v>0</v>
      </c>
    </row>
    <row r="845" spans="1:7" ht="15">
      <c r="A845" s="88" t="s">
        <v>1864</v>
      </c>
      <c r="B845" s="87">
        <v>2</v>
      </c>
      <c r="C845" s="110">
        <v>0.006802393310633122</v>
      </c>
      <c r="D845" s="87" t="s">
        <v>1341</v>
      </c>
      <c r="E845" s="87" t="b">
        <v>0</v>
      </c>
      <c r="F845" s="87" t="b">
        <v>0</v>
      </c>
      <c r="G845" s="87" t="b">
        <v>0</v>
      </c>
    </row>
    <row r="846" spans="1:7" ht="15">
      <c r="A846" s="88" t="s">
        <v>1846</v>
      </c>
      <c r="B846" s="87">
        <v>2</v>
      </c>
      <c r="C846" s="110">
        <v>0.006802393310633122</v>
      </c>
      <c r="D846" s="87" t="s">
        <v>1341</v>
      </c>
      <c r="E846" s="87" t="b">
        <v>0</v>
      </c>
      <c r="F846" s="87" t="b">
        <v>0</v>
      </c>
      <c r="G846" s="87" t="b">
        <v>0</v>
      </c>
    </row>
    <row r="847" spans="1:7" ht="15">
      <c r="A847" s="88" t="s">
        <v>1847</v>
      </c>
      <c r="B847" s="87">
        <v>2</v>
      </c>
      <c r="C847" s="110">
        <v>0.006802393310633122</v>
      </c>
      <c r="D847" s="87" t="s">
        <v>1341</v>
      </c>
      <c r="E847" s="87" t="b">
        <v>0</v>
      </c>
      <c r="F847" s="87" t="b">
        <v>0</v>
      </c>
      <c r="G847" s="87" t="b">
        <v>0</v>
      </c>
    </row>
    <row r="848" spans="1:7" ht="15">
      <c r="A848" s="88" t="s">
        <v>1848</v>
      </c>
      <c r="B848" s="87">
        <v>2</v>
      </c>
      <c r="C848" s="110">
        <v>0.006802393310633122</v>
      </c>
      <c r="D848" s="87" t="s">
        <v>1341</v>
      </c>
      <c r="E848" s="87" t="b">
        <v>0</v>
      </c>
      <c r="F848" s="87" t="b">
        <v>0</v>
      </c>
      <c r="G848" s="87" t="b">
        <v>0</v>
      </c>
    </row>
    <row r="849" spans="1:7" ht="15">
      <c r="A849" s="88" t="s">
        <v>1849</v>
      </c>
      <c r="B849" s="87">
        <v>2</v>
      </c>
      <c r="C849" s="110">
        <v>0.006802393310633122</v>
      </c>
      <c r="D849" s="87" t="s">
        <v>1341</v>
      </c>
      <c r="E849" s="87" t="b">
        <v>0</v>
      </c>
      <c r="F849" s="87" t="b">
        <v>0</v>
      </c>
      <c r="G849" s="87" t="b">
        <v>0</v>
      </c>
    </row>
    <row r="850" spans="1:7" ht="15">
      <c r="A850" s="88" t="s">
        <v>1850</v>
      </c>
      <c r="B850" s="87">
        <v>2</v>
      </c>
      <c r="C850" s="110">
        <v>0.006802393310633122</v>
      </c>
      <c r="D850" s="87" t="s">
        <v>1341</v>
      </c>
      <c r="E850" s="87" t="b">
        <v>0</v>
      </c>
      <c r="F850" s="87" t="b">
        <v>0</v>
      </c>
      <c r="G850" s="87" t="b">
        <v>0</v>
      </c>
    </row>
    <row r="851" spans="1:7" ht="15">
      <c r="A851" s="88" t="s">
        <v>1851</v>
      </c>
      <c r="B851" s="87">
        <v>2</v>
      </c>
      <c r="C851" s="110">
        <v>0.006802393310633122</v>
      </c>
      <c r="D851" s="87" t="s">
        <v>1341</v>
      </c>
      <c r="E851" s="87" t="b">
        <v>0</v>
      </c>
      <c r="F851" s="87" t="b">
        <v>0</v>
      </c>
      <c r="G851" s="87" t="b">
        <v>0</v>
      </c>
    </row>
    <row r="852" spans="1:7" ht="15">
      <c r="A852" s="88" t="s">
        <v>1852</v>
      </c>
      <c r="B852" s="87">
        <v>2</v>
      </c>
      <c r="C852" s="110">
        <v>0.006802393310633122</v>
      </c>
      <c r="D852" s="87" t="s">
        <v>1341</v>
      </c>
      <c r="E852" s="87" t="b">
        <v>0</v>
      </c>
      <c r="F852" s="87" t="b">
        <v>0</v>
      </c>
      <c r="G852" s="87" t="b">
        <v>0</v>
      </c>
    </row>
    <row r="853" spans="1:7" ht="15">
      <c r="A853" s="88" t="s">
        <v>1865</v>
      </c>
      <c r="B853" s="87">
        <v>2</v>
      </c>
      <c r="C853" s="110">
        <v>0.006802393310633122</v>
      </c>
      <c r="D853" s="87" t="s">
        <v>1341</v>
      </c>
      <c r="E853" s="87" t="b">
        <v>0</v>
      </c>
      <c r="F853" s="87" t="b">
        <v>0</v>
      </c>
      <c r="G853" s="87" t="b">
        <v>0</v>
      </c>
    </row>
    <row r="854" spans="1:7" ht="15">
      <c r="A854" s="88" t="s">
        <v>1458</v>
      </c>
      <c r="B854" s="87">
        <v>2</v>
      </c>
      <c r="C854" s="110">
        <v>0.006802393310633122</v>
      </c>
      <c r="D854" s="87" t="s">
        <v>1341</v>
      </c>
      <c r="E854" s="87" t="b">
        <v>0</v>
      </c>
      <c r="F854" s="87" t="b">
        <v>0</v>
      </c>
      <c r="G854" s="87" t="b">
        <v>0</v>
      </c>
    </row>
    <row r="855" spans="1:7" ht="15">
      <c r="A855" s="88" t="s">
        <v>1871</v>
      </c>
      <c r="B855" s="87">
        <v>2</v>
      </c>
      <c r="C855" s="110">
        <v>0</v>
      </c>
      <c r="D855" s="87" t="s">
        <v>1342</v>
      </c>
      <c r="E855" s="87" t="b">
        <v>0</v>
      </c>
      <c r="F855" s="87" t="b">
        <v>0</v>
      </c>
      <c r="G855" s="87" t="b">
        <v>0</v>
      </c>
    </row>
    <row r="856" spans="1:7" ht="15">
      <c r="A856" s="88" t="s">
        <v>1872</v>
      </c>
      <c r="B856" s="87">
        <v>2</v>
      </c>
      <c r="C856" s="110">
        <v>0</v>
      </c>
      <c r="D856" s="87" t="s">
        <v>1342</v>
      </c>
      <c r="E856" s="87" t="b">
        <v>0</v>
      </c>
      <c r="F856" s="87" t="b">
        <v>0</v>
      </c>
      <c r="G856" s="87" t="b">
        <v>0</v>
      </c>
    </row>
    <row r="857" spans="1:7" ht="15">
      <c r="A857" s="88" t="s">
        <v>1482</v>
      </c>
      <c r="B857" s="87">
        <v>2</v>
      </c>
      <c r="C857" s="110">
        <v>0</v>
      </c>
      <c r="D857" s="87" t="s">
        <v>1342</v>
      </c>
      <c r="E857" s="87" t="b">
        <v>0</v>
      </c>
      <c r="F857" s="87" t="b">
        <v>0</v>
      </c>
      <c r="G857" s="87" t="b">
        <v>0</v>
      </c>
    </row>
    <row r="858" spans="1:7" ht="15">
      <c r="A858" s="88" t="s">
        <v>2039</v>
      </c>
      <c r="B858" s="87">
        <v>2</v>
      </c>
      <c r="C858" s="110">
        <v>0</v>
      </c>
      <c r="D858" s="87" t="s">
        <v>1342</v>
      </c>
      <c r="E858" s="87" t="b">
        <v>0</v>
      </c>
      <c r="F858" s="87" t="b">
        <v>0</v>
      </c>
      <c r="G858" s="87" t="b">
        <v>0</v>
      </c>
    </row>
    <row r="859" spans="1:7" ht="15">
      <c r="A859" s="88" t="s">
        <v>1453</v>
      </c>
      <c r="B859" s="87">
        <v>2</v>
      </c>
      <c r="C859" s="110">
        <v>0</v>
      </c>
      <c r="D859" s="87" t="s">
        <v>1342</v>
      </c>
      <c r="E859" s="87" t="b">
        <v>0</v>
      </c>
      <c r="F859" s="87" t="b">
        <v>0</v>
      </c>
      <c r="G859" s="87" t="b">
        <v>0</v>
      </c>
    </row>
    <row r="860" spans="1:7" ht="15">
      <c r="A860" s="88" t="s">
        <v>1483</v>
      </c>
      <c r="B860" s="87">
        <v>2</v>
      </c>
      <c r="C860" s="110">
        <v>0</v>
      </c>
      <c r="D860" s="87" t="s">
        <v>1342</v>
      </c>
      <c r="E860" s="87" t="b">
        <v>0</v>
      </c>
      <c r="F860" s="87" t="b">
        <v>0</v>
      </c>
      <c r="G860" s="87" t="b">
        <v>0</v>
      </c>
    </row>
    <row r="861" spans="1:7" ht="15">
      <c r="A861" s="88" t="s">
        <v>1484</v>
      </c>
      <c r="B861" s="87">
        <v>2</v>
      </c>
      <c r="C861" s="110">
        <v>0</v>
      </c>
      <c r="D861" s="87" t="s">
        <v>1342</v>
      </c>
      <c r="E861" s="87" t="b">
        <v>0</v>
      </c>
      <c r="F861" s="87" t="b">
        <v>0</v>
      </c>
      <c r="G861" s="87" t="b">
        <v>0</v>
      </c>
    </row>
    <row r="862" spans="1:7" ht="15">
      <c r="A862" s="88" t="s">
        <v>1455</v>
      </c>
      <c r="B862" s="87">
        <v>2</v>
      </c>
      <c r="C862" s="110">
        <v>0</v>
      </c>
      <c r="D862" s="87" t="s">
        <v>1342</v>
      </c>
      <c r="E862" s="87" t="b">
        <v>0</v>
      </c>
      <c r="F862" s="87" t="b">
        <v>0</v>
      </c>
      <c r="G862" s="87" t="b">
        <v>0</v>
      </c>
    </row>
    <row r="863" spans="1:7" ht="15">
      <c r="A863" s="88" t="s">
        <v>1457</v>
      </c>
      <c r="B863" s="87">
        <v>2</v>
      </c>
      <c r="C863" s="110">
        <v>0</v>
      </c>
      <c r="D863" s="87" t="s">
        <v>1342</v>
      </c>
      <c r="E863" s="87" t="b">
        <v>0</v>
      </c>
      <c r="F863" s="87" t="b">
        <v>0</v>
      </c>
      <c r="G863" s="87" t="b">
        <v>0</v>
      </c>
    </row>
    <row r="864" spans="1:7" ht="15">
      <c r="A864" s="88" t="s">
        <v>1454</v>
      </c>
      <c r="B864" s="87">
        <v>2</v>
      </c>
      <c r="C864" s="110">
        <v>0</v>
      </c>
      <c r="D864" s="87" t="s">
        <v>1342</v>
      </c>
      <c r="E864" s="87" t="b">
        <v>0</v>
      </c>
      <c r="F864" s="87" t="b">
        <v>0</v>
      </c>
      <c r="G864" s="87" t="b">
        <v>0</v>
      </c>
    </row>
    <row r="865" spans="1:7" ht="15">
      <c r="A865" s="88" t="s">
        <v>1458</v>
      </c>
      <c r="B865" s="87">
        <v>2</v>
      </c>
      <c r="C865" s="110">
        <v>0</v>
      </c>
      <c r="D865" s="87" t="s">
        <v>1342</v>
      </c>
      <c r="E865" s="87" t="b">
        <v>0</v>
      </c>
      <c r="F865" s="87" t="b">
        <v>0</v>
      </c>
      <c r="G8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73546A0-4976-4BC2-823E-C1F1B20B4B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2021-01-27T02:10:22Z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