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9480" windowHeight="501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 name="Time Series Edges" sheetId="16" state="hidden" r:id="rId14"/>
    <sheet name="Time Series" sheetId="17" r:id="rId15"/>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7" r:id="rId16"/>
  </pivotCaches>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<sst xmlns="http://schemas.openxmlformats.org/spreadsheetml/2006/main" count="16497" uniqueCount="2708">
  <si>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</si>
  <si>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</si>
  <si>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</si>
  <si>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</si>
  <si>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</si>
  <si>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</si>
  <si>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</si>
  <si>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</si>
  <si>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</si>
  <si>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</si>
  <si>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</si>
  <si>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</si>
  <si>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</si>
  <si>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</si>
  <si>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</si>
  <si>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</si>
  <si>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</si>
  <si>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</si>
  <si>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</si>
  <si>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</si>
  <si>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</si>
  <si>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</si>
  <si>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</si>
  <si>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</si>
  <si>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</si>
  <si>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</si>
  <si>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</si>
  <si>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</si>
  <si>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</si>
  <si>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</si>
  <si>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</si>
  <si>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</si>
  <si>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</si>
  <si>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</si>
  <si>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</si>
  <si>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</si>
  <si>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</si>
  <si>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</si>
  <si>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</si>
  <si>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</si>
  <si>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</si>
  <si>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</si>
  <si>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</si>
  <si>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</si>
  <si>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</si>
  <si>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</si>
  <si>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</si>
  <si>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</si>
  <si>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</si>
  <si>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</si>
  <si>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</si>
  <si>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</si>
  <si>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</si>
  <si>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</si>
  <si>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</si>
  <si>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</si>
  <si>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</si>
  <si>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</si>
  <si>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</si>
  <si>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</si>
  <si>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</si>
  <si>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</si>
  <si>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</si>
  <si>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</si>
  <si>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</si>
  <si>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</si>
  <si>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</si>
  <si>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</si>
  <si>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</si>
  <si>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</si>
  <si>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</si>
  <si>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</si>
  <si>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</si>
  <si>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</si>
  <si>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</si>
  <si>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</si>
  <si>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</si>
  <si>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</si>
  <si>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</si>
  <si>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</si>
  <si>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</si>
  <si>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</si>
  <si>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</si>
  <si>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</si>
  <si>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</si>
  <si>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</si>
  <si>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</si>
  <si>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</si>
  <si>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</si>
  <si>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</si>
  <si>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</si>
  <si>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</si>
  <si>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</si>
  <si>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</si>
  <si>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</si>
  <si>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</si>
  <si>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</si>
  <si>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</si>
  <si>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</si>
  <si>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</si>
  <si>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</si>
  <si>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</si>
  <si>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</si>
  <si>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</si>
  <si>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</si>
  <si>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</si>
  <si>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</si>
  <si>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</si>
  <si>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</si>
  <si>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</si>
  <si>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</si>
  <si>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</si>
  <si>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</si>
  <si>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</si>
  <si>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</si>
  <si>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</si>
  <si>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</si>
  <si>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</si>
  <si>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</si>
  <si>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</si>
  <si>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</si>
  <si>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</si>
  <si>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</si>
  <si>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</si>
  <si>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</si>
  <si>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</si>
  <si>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</si>
  <si>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</si>
  <si>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</si>
  <si>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</si>
  <si>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</si>
  <si>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</si>
  <si>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</si>
  <si>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</si>
  <si>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</si>
  <si>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</si>
  <si>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</si>
  <si>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</si>
  <si>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</si>
  <si>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</si>
  <si>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</si>
  <si>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</si>
  <si>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</si>
  <si>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</si>
  <si>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</si>
  <si>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</si>
  <si>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</si>
  <si>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</si>
  <si>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</si>
  <si>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</si>
  <si>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</si>
  <si>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</si>
  <si>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</si>
  <si>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</si>
  <si>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</si>
  <si>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</si>
  <si>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</si>
  <si>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</si>
  <si>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</si>
  <si>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</si>
  <si>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</si>
  <si>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</si>
  <si>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</si>
  <si>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</si>
  <si>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</si>
  <si>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</si>
  <si>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</si>
  <si>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</si>
  <si>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</si>
  <si>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</si>
  <si>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</si>
  <si>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</si>
  <si>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</si>
  <si>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</si>
  <si>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</si>
  <si>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</si>
  <si>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</si>
  <si>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</si>
  <si>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</si>
  <si>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</si>
  <si>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</si>
  <si>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</si>
  <si>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</si>
  <si>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</si>
  <si>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</si>
  <si>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</si>
  <si>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</si>
  <si>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</si>
  <si>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</si>
  <si>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</si>
  <si>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</si>
  <si>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</si>
  <si>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</si>
  <si>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</si>
  <si>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</si>
  <si>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</si>
  <si>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</si>
  <si>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</si>
  <si>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</si>
  <si>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</si>
  <si>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</si>
  <si>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</si>
  <si>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</si>
  <si>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</si>
  <si>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</si>
  <si>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</si>
  <si>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</si>
  <si>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</si>
  <si>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</si>
  <si>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</si>
  <si>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</si>
  <si>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</si>
  <si>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</si>
  <si>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</si>
  <si>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</si>
  <si>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</si>
  <si>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xxiperiodismo</t>
  </si>
  <si>
    <t>vim_media</t>
  </si>
  <si>
    <t>dontreadthis97</t>
  </si>
  <si>
    <t>julioastillero</t>
  </si>
  <si>
    <t>gcorreacabrera</t>
  </si>
  <si>
    <t>rravelo27</t>
  </si>
  <si>
    <t>comoleerenbici</t>
  </si>
  <si>
    <t>carminamontesi2</t>
  </si>
  <si>
    <t>cbarrachina1</t>
  </si>
  <si>
    <t>annamaribel4</t>
  </si>
  <si>
    <t>svirgola2</t>
  </si>
  <si>
    <t>cokteleria</t>
  </si>
  <si>
    <t>bauzaoficial</t>
  </si>
  <si>
    <t>obritob</t>
  </si>
  <si>
    <t>mexnewztam</t>
  </si>
  <si>
    <t>albypiero</t>
  </si>
  <si>
    <t>actingcbp</t>
  </si>
  <si>
    <t>infomediamx4</t>
  </si>
  <si>
    <t>cesar_alonso__</t>
  </si>
  <si>
    <t>agendamigrante</t>
  </si>
  <si>
    <t>viral_mx</t>
  </si>
  <si>
    <t>real_marquis</t>
  </si>
  <si>
    <t>eunicerendon</t>
  </si>
  <si>
    <t>luisglez33</t>
  </si>
  <si>
    <t>rmilell66</t>
  </si>
  <si>
    <t>jcmnuevoleon</t>
  </si>
  <si>
    <t>eliphaleth</t>
  </si>
  <si>
    <t>gardenpeace9</t>
  </si>
  <si>
    <t>pdpagina</t>
  </si>
  <si>
    <t>pepepareja</t>
  </si>
  <si>
    <t>isain</t>
  </si>
  <si>
    <t>dalealplaymx</t>
  </si>
  <si>
    <t>foforo99</t>
  </si>
  <si>
    <t>palabritadepape</t>
  </si>
  <si>
    <t>cheguevararoma</t>
  </si>
  <si>
    <t>fraespoesposito</t>
  </si>
  <si>
    <t>pmcdonnelllat</t>
  </si>
  <si>
    <t>gopnik_slavic</t>
  </si>
  <si>
    <t>mexnewz</t>
  </si>
  <si>
    <t>anaschwarz</t>
  </si>
  <si>
    <t>dianadi58</t>
  </si>
  <si>
    <t>gabinetemex</t>
  </si>
  <si>
    <t>kaleydoscopio1</t>
  </si>
  <si>
    <t>azteca_tamps</t>
  </si>
  <si>
    <t>alexvalan</t>
  </si>
  <si>
    <t>leav_11</t>
  </si>
  <si>
    <t>gaboku_hirako</t>
  </si>
  <si>
    <t>danielascalante</t>
  </si>
  <si>
    <t>ccc9012</t>
  </si>
  <si>
    <t>adriana_yafa</t>
  </si>
  <si>
    <t>gclementej</t>
  </si>
  <si>
    <t>samuelspl</t>
  </si>
  <si>
    <t>meltingpoteu</t>
  </si>
  <si>
    <t>chrispeverieri</t>
  </si>
  <si>
    <t>rodrigezthayri</t>
  </si>
  <si>
    <t>morgantux91</t>
  </si>
  <si>
    <t>surpulso</t>
  </si>
  <si>
    <t>educhiapas</t>
  </si>
  <si>
    <t>pirubruja</t>
  </si>
  <si>
    <t>belicejp</t>
  </si>
  <si>
    <t>antonio69111557</t>
  </si>
  <si>
    <t>joel_fm_</t>
  </si>
  <si>
    <t>artemioac</t>
  </si>
  <si>
    <t>amerigospot</t>
  </si>
  <si>
    <t>jay00291440</t>
  </si>
  <si>
    <t>irvin_212</t>
  </si>
  <si>
    <t>prensagiff</t>
  </si>
  <si>
    <t>est_bian</t>
  </si>
  <si>
    <t>rebekgonzalez</t>
  </si>
  <si>
    <t>jorge_navarro</t>
  </si>
  <si>
    <t>isela_mr</t>
  </si>
  <si>
    <t>acquadragon</t>
  </si>
  <si>
    <t>pasillasmmtv</t>
  </si>
  <si>
    <t>gallofuego</t>
  </si>
  <si>
    <t>loveyogurtlowfa</t>
  </si>
  <si>
    <t>minyon23625591</t>
  </si>
  <si>
    <t>jlgc0505</t>
  </si>
  <si>
    <t>apoloniovaldez</t>
  </si>
  <si>
    <t>jorge2t23</t>
  </si>
  <si>
    <t>el7vicio</t>
  </si>
  <si>
    <t>jorgeberna</t>
  </si>
  <si>
    <t>janethsot</t>
  </si>
  <si>
    <t>javierazua7</t>
  </si>
  <si>
    <t>selvita_sil</t>
  </si>
  <si>
    <t>gabhiy_oh</t>
  </si>
  <si>
    <t>agustin60803348</t>
  </si>
  <si>
    <t>tigre_ttn2</t>
  </si>
  <si>
    <t>digitalixmx</t>
  </si>
  <si>
    <t>maragua15777373</t>
  </si>
  <si>
    <t>feregio74</t>
  </si>
  <si>
    <t>alexcarreonmty</t>
  </si>
  <si>
    <t>gosimai</t>
  </si>
  <si>
    <t>samantha_ortg</t>
  </si>
  <si>
    <t>alitasibarita</t>
  </si>
  <si>
    <t>mikk_hdz</t>
  </si>
  <si>
    <t>jesuscuatra</t>
  </si>
  <si>
    <t>uca97mx</t>
  </si>
  <si>
    <t>comunicador2022</t>
  </si>
  <si>
    <t>lajornadaonline</t>
  </si>
  <si>
    <t>thegreatceir</t>
  </si>
  <si>
    <t>nancygrdz</t>
  </si>
  <si>
    <t>argelmoren</t>
  </si>
  <si>
    <t>febl</t>
  </si>
  <si>
    <t>jan_aguileram</t>
  </si>
  <si>
    <t>caracas0057</t>
  </si>
  <si>
    <t>victorvola</t>
  </si>
  <si>
    <t>voyagercosmic85</t>
  </si>
  <si>
    <t>_riverasergio</t>
  </si>
  <si>
    <t>juanocanasr</t>
  </si>
  <si>
    <t>ejecentral</t>
  </si>
  <si>
    <t>ferdapartida</t>
  </si>
  <si>
    <t>cusaru68</t>
  </si>
  <si>
    <t>eliszpta</t>
  </si>
  <si>
    <t>monroygar</t>
  </si>
  <si>
    <t>vdmmty</t>
  </si>
  <si>
    <t>javierffrankie1</t>
  </si>
  <si>
    <t>nelvaldez</t>
  </si>
  <si>
    <t>libraryadd</t>
  </si>
  <si>
    <t>itelloarista</t>
  </si>
  <si>
    <t>c1frankietheone</t>
  </si>
  <si>
    <t>borgestom</t>
  </si>
  <si>
    <t>alertachiapas</t>
  </si>
  <si>
    <t>atzihualibre</t>
  </si>
  <si>
    <t>elbagutierrez</t>
  </si>
  <si>
    <t>jorgeluisveve</t>
  </si>
  <si>
    <t>tapabav</t>
  </si>
  <si>
    <t>rolobss1</t>
  </si>
  <si>
    <t>smolninalia</t>
  </si>
  <si>
    <t>algaraba8</t>
  </si>
  <si>
    <t>uriluisni</t>
  </si>
  <si>
    <t>lostejemedios</t>
  </si>
  <si>
    <t>jclopezlee</t>
  </si>
  <si>
    <t>saraeli62035609</t>
  </si>
  <si>
    <t>p3drohz45</t>
  </si>
  <si>
    <t>adrianoespa</t>
  </si>
  <si>
    <t>avispa_midia</t>
  </si>
  <si>
    <t>miradsalmargen1</t>
  </si>
  <si>
    <t>the_watcher_man</t>
  </si>
  <si>
    <t>atenea_cb</t>
  </si>
  <si>
    <t>doculqqeec</t>
  </si>
  <si>
    <t>vrodriguezphd</t>
  </si>
  <si>
    <t>chefbaez</t>
  </si>
  <si>
    <t>roncoblu</t>
  </si>
  <si>
    <t>darinelzacarias</t>
  </si>
  <si>
    <t>catturd2</t>
  </si>
  <si>
    <t>realjameswoods</t>
  </si>
  <si>
    <t>angelesmariscal</t>
  </si>
  <si>
    <t>gn_mexico_</t>
  </si>
  <si>
    <t>youtube</t>
  </si>
  <si>
    <t>onu_derechos</t>
  </si>
  <si>
    <t>onudhmexico</t>
  </si>
  <si>
    <t>cndh</t>
  </si>
  <si>
    <t>inami_mx</t>
  </si>
  <si>
    <t>sedenamx</t>
  </si>
  <si>
    <t>gobiernomx</t>
  </si>
  <si>
    <t>speakerpelosi</t>
  </si>
  <si>
    <t>gopleader</t>
  </si>
  <si>
    <t>dnc</t>
  </si>
  <si>
    <t>gop</t>
  </si>
  <si>
    <t>potus</t>
  </si>
  <si>
    <t>giffmx</t>
  </si>
  <si>
    <t>cartoncamacho</t>
  </si>
  <si>
    <t>temoris</t>
  </si>
  <si>
    <t>mlopezsanmartin</t>
  </si>
  <si>
    <t>actualidadrt</t>
  </si>
  <si>
    <t>versusmex</t>
  </si>
  <si>
    <t>MentionsInRetweet</t>
  </si>
  <si>
    <t>Retweet</t>
  </si>
  <si>
    <t>Mentions</t>
  </si>
  <si>
    <t>Replies to</t>
  </si>
  <si>
    <t>͏
͏
͏
╭╮
┋┋
┣_xD83C__xDF0E_#AstilleroINFORMA✅
┋┋_xD83D__xDC49_@julioastillero_xD83D__xDEA2_
┛┗ _xD83D__xDFE5_1a3pm_xD83D__xDFEA_LUN_xD83C__xDD70_️VIE
͏
H⭕️Y_xD83D__xDC49_JUEVES
#MesaSEGURA 
_xD83D__xDDE3_
_xD83D__xDC47_
_xD83D__xDDE3_@GCorreaCabrera
_xD83D__xDDE3_@roncoblu
_xD83D__xDDE3_@RRAvelo27
_xD83D__xDFE2_#ENvivo✅
_xD83D__xDC49_YT▶️https://t.co/YgayeW4Xp6
#MIGRACION
#caravanamigrante
 _xD83D__xDC49_https://t.co/DszHKZiwM9_xD83D__xDC48_
͏
͏
. https://t.co/Kkzuxn8LmK https://t.co/PadyPYAdxL</t>
  </si>
  <si>
    <t>“We are migrants, we are not criminals!” Central American, Venezuelan &amp;amp; Haitian migrants continue to make their way through #Chiapas, Mexico as the Mexican National Guard attempts to stop them. Solidarity with all migrants! ✊_xD83C__xDFFF_❤️_xD83C__xDFA5_: @Darinelzacarias #CaravanaMigrante https://t.co/sJWMRlCBln</t>
  </si>
  <si>
    <t>La reflexión sobre #migrantes, #caravanamigrante y #crimenorganizado acaba de ser publicado en el medio venezolano Tal Cual.
https://t.co/S8vriLMe7y</t>
  </si>
  <si>
    <t>#Messico | Ciò che sta succedendo nei pressi di Tapachula è inquietante: dopo aver dissolto con violenze e deportazioni le #caravanamigrante, GN e INM danno la caccia ai migranti, negli hotel, per strada, nei taxi. È una spietata caccia all’uomo!
https://t.co/wGSkrwiZXG</t>
  </si>
  <si>
    <t>El club rotario y rotaract  Por amor a las calles #PozaRica entregó 1788 comidas calientes entre la población de #PozaRica #Tihuatlan #Papantla #Coatzintla #Cazones #Distrito4185 #HuracanGrace #CaravanaMigrante #ServirParaCambiarVida https://t.co/RWJmJsS0m6</t>
  </si>
  <si>
    <t>Realizan velada migrantes en Tapachula, para pedir a Dios que las autoridades los dejen seguir su camino a EU. Colocaron velas a los pies de Benito Juárez en el centro de este municipio de Chiapas... #caravanamigrante https://t.co/av4wo2KmoX</t>
  </si>
  <si>
    <t>Detectan #COVID en 20% de pruebas realizadas a #Migrantes | #Estados #Nacional #México #COVID19 #CaravanaMigrante #COVIDMigrantes https://t.co/Bhc5A2NVuW https://t.co/oqEag6OZtv</t>
  </si>
  <si>
    <t>#FronteraSur | «Il flusso migratorio è straripato, cercano di evitare di cadere nelle mani delle autorità migratorie messicane che li obbligano a fermarsi a Tapachula, ribattezzata città-carcere».
#Messico #CaravanaMigrante 
https://t.co/Mx5YCbGU2Z</t>
  </si>
  <si>
    <t>Detectan #COVID en 20% de pruebas realizadas a #Migrantes | #Estados #Nacional #México #COVID19 #CaravanaMigrante #COVIDMigrantes https://t.co/zVk92VcRAc https://t.co/whuK65bvZb</t>
  </si>
  <si>
    <t>#Nacionales #CaravanaMigrante
Muere atropellada una menor que viajaba con un grupo de migrantes
▶️  https://t.co/tJ2E5vfRKz https://t.co/QnMKoy2mVI</t>
  </si>
  <si>
    <t>Cientos de #migrantes en lugar de seguir la ruta de la costa, hacia Huixtla y Mapastepec, donde al menos cuatro caravanas fueron disueltas con #violencia a principios de este mes, ahora optan por rutas más riesgosas como el de la Frailesca de #Chiapas. #CaravanaMigrante 
_xD83E__xDDF5__xD83D__xDC47__xD83C__xDFFB_ https://t.co/MuBpDZByBo</t>
  </si>
  <si>
    <t>#USA #Haitians #GeorgeSoros #globalism #BorderCrisis #migrants #GeoFence #caravanamigrante #Invasion 
@catturd2 https://t.co/VbsQ3oDFjG</t>
  </si>
  <si>
    <t>“Muchos somos extorsionados por #policías estatales y municipales, choferes de mototaxis, colectivos, incluso, en los hoteles nos suben el costo por los servicios” migrante haitiano. #CaravanaMigrante</t>
  </si>
  <si>
    <t>#FronteraSur | Migliaia di migranti e richiedenti asilo intrappolati dal fallimento del sistema di asilo.
Qui la mia intervista per @MeltingPotEU a Nimsi Arroyo, albergue Hospitalidad y Solidaridad di #Tapachula
#Mexico #CaravanaMigrante
https://t.co/TaTf4yw6VC</t>
  </si>
  <si>
    <t>La migración es natural, no ilegal. Defendamos el derecho de nuestrxs hermanxs a una vida plena y libre de violencia #CaravanaMigrante
Adelante!
https://t.co/q4iNlzb7OT</t>
  </si>
  <si>
    <t>#JoeBiden has already killed more kids than #COVID19 
... and it's Week #28 in Delaware ...
#USA #Haitians #GeorgeSoros #globalism #BorderCrisis #migrants #GeoFence #caravanamigrante #Invasion 
@RealJamesWoods https://t.co/wJjVujAYkU</t>
  </si>
  <si>
    <t>_xD83D__xDD38_ 1. AL inicio de la semana, la #CaravanaMigrante se topó no solo con el cerco de la @GN_MEXICO_, sino con un sistema migratorio corrupto y colapsado. 
Aquí una #crónica de @AngelesMariscal 
https://t.co/I3UUzeaxeO</t>
  </si>
  <si>
    <t>#Tapachula #Chiapas #FronteraSur #Migrantes #Migración #CaravanaMigrante #CaravanaDeMigrantes https://t.co/VzKlZuJjTn</t>
  </si>
  <si>
    <t>#Migrantes #CaravanaMigrante #Noticias #Tamaulipas #Zacatecas #EstadosUnidos #Muro #Reynosa Migrantes haitianos desafían peligro y llegan a Tamaulipas https://t.co/yNcqvzU11K a través de @YouTube</t>
  </si>
  <si>
    <t>#Pregunta seria para @CNDH:
¿SERVIDORES PUBLICOS del @INAMI_mx tiene AUTORIZADO el uso de ARMAS (no letales como pistolas de descarga eléctrica) para el cumplimiento de sus funciones y obligaciones ❓_xD83E__xDD14__xD83D__xDE44_
#CaravanaMigrante
cc. @ONUDHmexico @ONU_derechos
https://t.co/nHDqnz80Dg</t>
  </si>
  <si>
    <t>#FronteraSur | Migliaia di migranti e richiedenti asilo intrappolati dal fallimento del sistema di asilo.
Qui la mia intervista per @MeltingPotEU a Nimsi Arroyo, albergue Hospitalidad y Solidaridad di #Tapachula
#Mexico #CaravanaMigrante 
https://t.co/in5nQy2nk6</t>
  </si>
  <si>
    <t>#CaravanaMigrante Buses of migrants arrive wait to get into shelter in #Tijuana. Video: Liliana Nieto Del Río. https://t.co/pAgdEui47u</t>
  </si>
  <si>
    <t>#México y #Haití establecen mesa de #Diálogo por #Migrantes | #Nacional #Internacional #Migración #CaravanaMigrante https://t.co/28EUVZ14sU https://t.co/9XeI1lYcts</t>
  </si>
  <si>
    <t>36% tiene una buena opinión de los migrantes centroamericanos; 39.9% tiene una mala opinión. https://t.co/jmErc3Ilec 
#CaravanaMigrante https://t.co/PEiPTn8LRO</t>
  </si>
  <si>
    <t>56.1% está de acuerdo en que se les impida el paso a los migrantes centroamericanos que encabezan la #CaravanaMigrante; 36.5% en desacuerdo. https://t.co/jmErc3Ilec https://t.co/xMyUw1UFXd</t>
  </si>
  <si>
    <t>78% tiene conocimiento sobre la #CaravanaMigrante en la frontera sur de México; 21.7% desconoce el tema. https://t.co/jmErc3Ilec https://t.co/HirOuWIwKK</t>
  </si>
  <si>
    <t>31.5% opina que las autoridades mexicanas actúan con exceso de violencia ante la #CaravanaMigrante y los migrantes centroamericanos. https://t.co/jmErc3Ilec https://t.co/W1pPD23d00</t>
  </si>
  <si>
    <t>#CaravanaMigrante
En su afán por lograr el sueño americano, migrantes haitianos y cubanos llegaron a #Tampico #Tamaulipas, donde se apostaron en la Central de Autobuses en espera de continuar con su trayecto https://t.co/Wqp3JSk4qW</t>
  </si>
  <si>
    <t>#CaravanaMigrante
Este fin de semana más de 200 haitianos que pernoctaron en #SanFernando #Tamaulipas iniciaron su travesía en caravana hacia la frontera de #Reynosa https://t.co/FdqMwIn2sV</t>
  </si>
  <si>
    <t>1. Durante esta madrugada la @SEDENAmx detuvo el paso de la #CaravanaMigrante en Tamaulipas. Los migrantes fueron bajados de los camiones en que viajaban y fueron obligados a caminar ni más ni menos que en San Fernando, Tamaulipas.</t>
  </si>
  <si>
    <t>#CaravanaMigrante #TravesiaPorLaVida #EZLN https://t.co/mVMVtm2qT4</t>
  </si>
  <si>
    <t>Repugnante, están violentando DH y AMLO diciendo que sólo eran dos.
#caravanamigrante 
#haitianos https://t.co/SLaSOb7NTc</t>
  </si>
  <si>
    <t>Un salvoconducto por 20 días está otorgando el @GobiernoMX por medio del @INAMI_mx, a personas que han llegado a #TuxtlaGutiérrez procedentes principalmente de #Haití. #CaravanaMigrante https://t.co/5SsgItFE7z</t>
  </si>
  <si>
    <t>https://t.co/JzJNWeiB7b
#Migrantes #Migracion #MigrantesHaitianos #CaravanaMigrante</t>
  </si>
  <si>
    <t>#FronteraSur | Dopo il fallimento delle #caravanamigrante dissolte con la forza dalle autorità, i migranti centro americani e haitiani cominciano a percorrere altri itinerari per arrivare negli USA. Diminuisce la presenza di migranti a Tapachula
#Mexico
https://t.co/lZfaaUCHGb</t>
  </si>
  <si>
    <t>#EstadosUnidos cierra su #frontera para frenar el cruce de más #migrantes.
#MigrationEU #Migrantes #Haiti #Haitianmigrants #haitianos #caravanamigrante 
https://t.co/aDJ8zRwRor</t>
  </si>
  <si>
    <t>Las tamaulipecas ya empezaron a presumir sus noviazgos con los #haitianos. Esto se va a descontrolar. _xD83D__xDC76__xD83C__xDFFF_
#Reynosa #Acuña #Haití #Migrantes #Viral #Tamaulipas #Golosas #CaravanaMigrante https://t.co/uJ0F5qljQI</t>
  </si>
  <si>
    <t>.@INAMI_mx envió a #Chiapas, por avión, a 120 #migrantes originarios de #Haití que formaron parte de la #CaravanaMigrante que llegó durante la semana y el pasado fin de semana a Acuña, en la frontera con Del Río, Texas.
https://t.co/biPBr8C9hS</t>
  </si>
  <si>
    <t>@POTUS 
WHAT HAPPENDED NO WORDS FOR CHINA???
CHASTISING ISRAEL, TALK WITH HAMAS???
FAILURE  You are already a LAME DUCK President
We Democrats will be run out in 2022. FAILED
@GOP
@DNC 
@GOPLeader 
@SpeakerPelosi 
#DelRioBridge 
#BorderCrisis 
#CaravanaMigrante</t>
  </si>
  <si>
    <t>Tremenda fotografía de EL PAÍS donde se aprecia al guardia fronterizo a caballo usando un látigo contra los haitianos que intentan cruzar la frontera.
Los propios haitianos mencionaron a un reportero "Biden nos trata como animales"
#Haiti #CaravanaMigrante https://t.co/n7TD4zrKwN</t>
  </si>
  <si>
    <t>Ayer vivimos nuestro estreno mundial en el @giffmx   ¡Gracias a todos los que nos acompañaron! #loquequedaenelcamino #giff #migración #caravanamigrante #guatemala #cine #documental https://t.co/HAAJonSA3e</t>
  </si>
  <si>
    <t>Si el #CAPITALISMO es “tan malo” y el #SOCIALISMO es “lo mejor” …
Porque la caravana de migrantes se dirige a #USA _xD83C__xDDFA__xD83C__xDDF8_ y no hacia #VENEZUELA _xD83C__xDDFB__xD83C__xDDEA_ ❓❓
#Kamalaharris #Haiti #CaravanaMigrante</t>
  </si>
  <si>
    <t>120 #migrantes de #Haití que llegaron a la frontera norte de #México en la #caravanamigrante fueron llevados a Chiapas por el @INAMI_mx https://t.co/04D83tFwEy</t>
  </si>
  <si>
    <t>120 #migrantes de #Haití que llegaron a la frontera norte de #México en la #caravanamigrante fueron llevados a Chiapas por el @INAMI_mx https://t.co/arEQJx3UZT</t>
  </si>
  <si>
    <t>Aprovechando la empatía por la #CaravanaMigrante, algunas precisiones legales (ya sé, qué floreja) de suma importancia para entender el fenómeno de movilidad y por qué es tan pinche en nuestro país:</t>
  </si>
  <si>
    <t>@temoris @CartonCamacho Si las fronteras no fueran necesarias, no existirían!
La #Migracion irregular es un mal que aqueja a #Mexico desde hace lustros, aunado a las #CaravanaMigrante que so pretexto de ir a #EEUU quedan varados en #Mexico donde terminan exigiendo lo que en sus países no hicieron</t>
  </si>
  <si>
    <t>La brutal cacería del @INAMI_mx y la @GN_MEXICO_ contra los migrantes que huyeron de su país y de #Tapachula en el sur de #Mexico donde les encarcelan sin acceso a documentos ni a trabajos. La #CaravanaMigrante ha mermado pero avanza hacia el norte 1/1 https://t.co/WLGGCRLYRo</t>
  </si>
  <si>
    <t>_xD83D__xDCCC_Durante las semanas previas, los colectivos han recabado testimonios de personas y familias con niñ@s pequeños que fueron detenidas durante los desplazamientos colectivos en el corredor de la costa pacífica.
▶️ https://t.co/81AosRJeP8◀️
#CaravanaMigrante #Haiti #Haitianos</t>
  </si>
  <si>
    <t>una muestra para los que buscan el #suenoamericano 
y no se les convierta en pesadilla #CaravanaMigrante 
#FronteraSur #coyotes #crusingenbaños 
#Mornings in #VeniceBeach: Hampton ave #Homeless  #encampment sweep https://t.co/vIegplV3l0 via #YouTube</t>
  </si>
  <si>
    <t>#UltimasNoticias  #EEUU , ¡#URGENTE! #TEXAS CIERRA SU #FRONTERA POR CRUZES #caravanamigrante #ImmigrationReform #immigrants #Biden  https://t.co/txgh5jPcpf via #YouTube</t>
  </si>
  <si>
    <t>La #Caravana #Migrante de #Haiti Cruzan La #Frontera En #Matamoros a #US... #caravanamigrante #CaravanaDeLaDignidad 
https://t.co/M3QYeeNMHl via #YouTube</t>
  </si>
  <si>
    <t>#California  #Homeless #BLM #americandream
#ElSuenoAmericano #caravanamigrante 
Venice Beach Homeless Encampment 09.23.2021 https://t.co/Uwz2wVMRFN via #YouTube</t>
  </si>
  <si>
    <t>https://t.co/7FsmHnmjuD
Todo gracias a la apertura de fronteras, la ausencia de contrles migratorios y la #CaravanaMigrante</t>
  </si>
  <si>
    <t>@MLopezSanMartin Antes #campamento en apoyo a la #Caravanamigrante, hoy Elementos de #INM a la caza de #migrantes en centrales de Autobuses #CDMXyEDOMEX , ojalá así contra la #Delincuencia https://t.co/4gpdjTSKIC</t>
  </si>
  <si>
    <t>@ActualidadRT _xD83D__xDE02__xD83D__xDE02__xD83D__xDE02__xD83D__xDE02__xD83D__xDE02__xD83D__xDE02__xD83D__xDE02__xD83D__xDE02_ sigan migrando.
#haitianos #Haiti #caravanamigrante #migrantes #migrante</t>
  </si>
  <si>
    <t>La verdadera cara del oportunismo y victimismo de inmigrantes ilegales de #Haiti incomoda a las #ONGs #Politicos y #TrataDePersonas que se aprovechan de la #caravanamigrante https://t.co/XWmf44Ucf2</t>
  </si>
  <si>
    <t>Muchas gracias @VersusMex https://t.co/kKxGL9BNZC
#giff #migración #guatemala #loquequedadocu #gif21 #cine #documental #CaravanaMigrante</t>
  </si>
  <si>
    <t>Así fue nuestro paso por la alfombra roja en la premier que tuvimos gracias al @giffmx en #irapuato #GIFF2021 #caravanamigrante #Guatemala #migracion #loquequedaenelcamino https://t.co/eQIvi3O8NF</t>
  </si>
  <si>
    <t>De la mejores experiencias que hemos tenido, @giffmx todo se resume en un ¡GRACIAS! #loquequedaenelcamino #migracion #documental #caravanamigrante #cine #giff2021 https://t.co/RqigOw71R8</t>
  </si>
  <si>
    <t>Cinta sobre caravana migrante se estrena en el GIFF, gracias a el siglo de durango por esta nota https://t.co/ZN2nXmPRh3 #giff #migración #guatemala #loquequedadocu #gif21 #cine #documental #caravanamigrante</t>
  </si>
  <si>
    <t>Gracias a todos los que nos han regalado uno minutos para hablar de nuestra película #giff2021 #migración #caravanamigrante #cine #documental #loquequedaenelcamino #máscineporfavor https://t.co/a5moFnKEeL</t>
  </si>
  <si>
    <t>Amotinados: Haitianos secuestran y conducen el autobús que los llevaba al aeropuerto para ser deportados, el cuál había partido del puente internacional #DelRío, en Texas, EEUU.
#migrantes #InmigracionIlegal #CaravanaMigrante
https://t.co/p7QxqK1aFT</t>
  </si>
  <si>
    <t>https://www.youtube.com/channel/UCRja7nxirrJ4yEUa9pPkFmw https://www.youtube.com/watch?v=SAkyfdQhNLw&amp;feature=youtu.be https://twitter.com/GCorreaCabrera/status/1438536476061491211</t>
  </si>
  <si>
    <t>youtube.com youtube.com twitter.com</t>
  </si>
  <si>
    <t>talcualdigital.com</t>
  </si>
  <si>
    <t>com.mx</t>
  </si>
  <si>
    <t>mexnewz.mx</t>
  </si>
  <si>
    <t>movimientomigrantemesoamericano.org</t>
  </si>
  <si>
    <t>infomediamx.com</t>
  </si>
  <si>
    <t>meltingpot.org</t>
  </si>
  <si>
    <t>jucomex.com</t>
  </si>
  <si>
    <t>piedepagina.mx</t>
  </si>
  <si>
    <t>youtube.com</t>
  </si>
  <si>
    <t>gabinete.mx</t>
  </si>
  <si>
    <t>twitter.com</t>
  </si>
  <si>
    <t>pulsosur.com</t>
  </si>
  <si>
    <t>cutt.ly</t>
  </si>
  <si>
    <t>avispa.org</t>
  </si>
  <si>
    <t>diariodemorelos.com</t>
  </si>
  <si>
    <t>versusmedia.mx</t>
  </si>
  <si>
    <t>laopinion.com</t>
  </si>
  <si>
    <t>astilleroinforma mesasegura envivo migracion caravanamigrante</t>
  </si>
  <si>
    <t>chiapas caravanamigrante</t>
  </si>
  <si>
    <t>migrantes caravanamigrante crimenorganizado</t>
  </si>
  <si>
    <t>messico caravanamigrante</t>
  </si>
  <si>
    <t>pozarica pozarica tihuatlan papantla coatzintla cazones distrito4185 huracangrace caravanamigrante servirparacambiarvida</t>
  </si>
  <si>
    <t>caravanamigrante</t>
  </si>
  <si>
    <t>covid migrantes estados nacional méxico covid19 caravanamigrante covidmigrantes</t>
  </si>
  <si>
    <t>fronterasur messico caravanamigrante</t>
  </si>
  <si>
    <t>nacionales caravanamigrante</t>
  </si>
  <si>
    <t>migrantes violencia chiapas caravanamigrante</t>
  </si>
  <si>
    <t>usa haitians georgesoros globalism bordercrisis migrants geofence caravanamigrante invasion</t>
  </si>
  <si>
    <t>policías caravanamigrante</t>
  </si>
  <si>
    <t>fronterasur tapachula mexico caravanamigrante</t>
  </si>
  <si>
    <t>joebiden covid19 usa haitians georgesoros globalism bordercrisis migrants geofence caravanamigrante invasion</t>
  </si>
  <si>
    <t>caravanamigrante crónica</t>
  </si>
  <si>
    <t>tapachula chiapas fronterasur migrantes migración caravanamigrante caravanademigrantes</t>
  </si>
  <si>
    <t>migrantes caravanamigrante noticias tamaulipas zacatecas estadosunidos muro reynosa</t>
  </si>
  <si>
    <t>pregunta caravanamigrante</t>
  </si>
  <si>
    <t>caravanamigrante tijuana</t>
  </si>
  <si>
    <t>méxico haití diálogo migrantes nacional internacional migración caravanamigrante</t>
  </si>
  <si>
    <t>caravanamigrante tampico tamaulipas</t>
  </si>
  <si>
    <t>caravanamigrante sanfernando tamaulipas reynosa</t>
  </si>
  <si>
    <t>caravanamigrante travesiaporlavida ezln</t>
  </si>
  <si>
    <t>caravanamigrante haitianos</t>
  </si>
  <si>
    <t>tuxtlagutiérrez haití caravanamigrante</t>
  </si>
  <si>
    <t>migrantes migracion migranteshaitianos caravanamigrante</t>
  </si>
  <si>
    <t>fronterasur caravanamigrante mexico</t>
  </si>
  <si>
    <t>estadosunidos frontera migrantes migrationeu migrantes haiti haitianmigrants haitianos caravanamigrante</t>
  </si>
  <si>
    <t>haitianos reynosa acuña haití migrantes viral tamaulipas golosas caravanamigrante</t>
  </si>
  <si>
    <t>chiapas migrantes haití caravanamigrante</t>
  </si>
  <si>
    <t>delriobridge bordercrisis caravanamigrante</t>
  </si>
  <si>
    <t>haiti caravanamigrante</t>
  </si>
  <si>
    <t>loquequedaenelcamino giff migración caravanamigrante guatemala cine documental</t>
  </si>
  <si>
    <t>capitalismo socialismo usa venezuela kamalaharris haiti caravanamigrante</t>
  </si>
  <si>
    <t>migrantes haití méxico caravanamigrante</t>
  </si>
  <si>
    <t>migracion mexico caravanamigrante eeuu mexico</t>
  </si>
  <si>
    <t>tapachula mexico caravanamigrante</t>
  </si>
  <si>
    <t>caravanamigrante haiti haitianos</t>
  </si>
  <si>
    <t>suenoamericano caravanamigrante fronterasur coyotes crusingenbaños mornings venicebeach homeless encampment youtube</t>
  </si>
  <si>
    <t>ultimasnoticias eeuu urgente texas frontera caravanamigrante immigrationreform immigrants biden youtube</t>
  </si>
  <si>
    <t>caravana migrante haiti frontera matamoros us caravanamigrante caravanadeladignidad youtube</t>
  </si>
  <si>
    <t>california homeless blm americandream elsuenoamericano caravanamigrante youtube</t>
  </si>
  <si>
    <t>campamento caravanamigrante inm migrantes cdmxyedomex delincuencia</t>
  </si>
  <si>
    <t>haitianos haiti caravanamigrante migrantes migrante</t>
  </si>
  <si>
    <t>haiti ongs politicos tratadepersonas caravanamigrante</t>
  </si>
  <si>
    <t>giff migración guatemala loquequedadocu gif21 cine documental caravanamigrante</t>
  </si>
  <si>
    <t>irapuato giff2021 caravanamigrante guatemala migracion loquequedaenelcamino</t>
  </si>
  <si>
    <t>loquequedaenelcamino migracion documental caravanamigrante cine giff2021</t>
  </si>
  <si>
    <t>giff2021 migración caravanamigrante cine documental loquequedaenelcamino máscineporfavor</t>
  </si>
  <si>
    <t>delrío migrantes inmigracionilegal caravanamigrante</t>
  </si>
  <si>
    <t>17:40:12</t>
  </si>
  <si>
    <t>06:28:13</t>
  </si>
  <si>
    <t>19:17:50</t>
  </si>
  <si>
    <t>17:39:03</t>
  </si>
  <si>
    <t>17:46:41</t>
  </si>
  <si>
    <t>17:53:51</t>
  </si>
  <si>
    <t>17:31:32</t>
  </si>
  <si>
    <t>18:11:55</t>
  </si>
  <si>
    <t>21:04:19</t>
  </si>
  <si>
    <t>13:01:25</t>
  </si>
  <si>
    <t>13:31:09</t>
  </si>
  <si>
    <t>13:39:24</t>
  </si>
  <si>
    <t>13:57:56</t>
  </si>
  <si>
    <t>14:17:34</t>
  </si>
  <si>
    <t>15:08:55</t>
  </si>
  <si>
    <t>15:21:39</t>
  </si>
  <si>
    <t>21:45:08</t>
  </si>
  <si>
    <t>21:51:07</t>
  </si>
  <si>
    <t>22:01:01</t>
  </si>
  <si>
    <t>23:32:35</t>
  </si>
  <si>
    <t>23:35:01</t>
  </si>
  <si>
    <t>00:22:34</t>
  </si>
  <si>
    <t>10:25:20</t>
  </si>
  <si>
    <t>23:17:17</t>
  </si>
  <si>
    <t>23:19:10</t>
  </si>
  <si>
    <t>12:19:57</t>
  </si>
  <si>
    <t>12:20:17</t>
  </si>
  <si>
    <t>15:09:39</t>
  </si>
  <si>
    <t>16:44:36</t>
  </si>
  <si>
    <t>10:43:53</t>
  </si>
  <si>
    <t>18:05:22</t>
  </si>
  <si>
    <t>15:15:20</t>
  </si>
  <si>
    <t>18:29:55</t>
  </si>
  <si>
    <t>04:20:36</t>
  </si>
  <si>
    <t>18:30:02</t>
  </si>
  <si>
    <t>21:02:03</t>
  </si>
  <si>
    <t>20:35:05</t>
  </si>
  <si>
    <t>22:58:01</t>
  </si>
  <si>
    <t>12:52:15</t>
  </si>
  <si>
    <t>00:02:30</t>
  </si>
  <si>
    <t>00:02:41</t>
  </si>
  <si>
    <t>09:19:50</t>
  </si>
  <si>
    <t>09:43:46</t>
  </si>
  <si>
    <t>12:34:51</t>
  </si>
  <si>
    <t>03:07:09</t>
  </si>
  <si>
    <t>14:15:48</t>
  </si>
  <si>
    <t>15:02:06</t>
  </si>
  <si>
    <t>15:30:12</t>
  </si>
  <si>
    <t>17:04:20</t>
  </si>
  <si>
    <t>17:07:04</t>
  </si>
  <si>
    <t>20:14:49</t>
  </si>
  <si>
    <t>15:00:39</t>
  </si>
  <si>
    <t>17:01:41</t>
  </si>
  <si>
    <t>20:00:31</t>
  </si>
  <si>
    <t>23:00:44</t>
  </si>
  <si>
    <t>14:01:12</t>
  </si>
  <si>
    <t>14:01:20</t>
  </si>
  <si>
    <t>14:01:26</t>
  </si>
  <si>
    <t>14:01:37</t>
  </si>
  <si>
    <t>18:10:38</t>
  </si>
  <si>
    <t>18:15:52</t>
  </si>
  <si>
    <t>16:34:13</t>
  </si>
  <si>
    <t>21:06:42</t>
  </si>
  <si>
    <t>01:43:31</t>
  </si>
  <si>
    <t>23:05:26</t>
  </si>
  <si>
    <t>02:49:39</t>
  </si>
  <si>
    <t>03:18:02</t>
  </si>
  <si>
    <t>03:20:28</t>
  </si>
  <si>
    <t>03:49:10</t>
  </si>
  <si>
    <t>04:31:52</t>
  </si>
  <si>
    <t>05:55:09</t>
  </si>
  <si>
    <t>21:08:11</t>
  </si>
  <si>
    <t>08:07:47</t>
  </si>
  <si>
    <t>12:06:30</t>
  </si>
  <si>
    <t>12:47:44</t>
  </si>
  <si>
    <t>15:10:07</t>
  </si>
  <si>
    <t>17:54:04</t>
  </si>
  <si>
    <t>18:02:56</t>
  </si>
  <si>
    <t>19:04:05</t>
  </si>
  <si>
    <t>19:04:26</t>
  </si>
  <si>
    <t>19:05:16</t>
  </si>
  <si>
    <t>19:12:19</t>
  </si>
  <si>
    <t>13:35:48</t>
  </si>
  <si>
    <t>19:13:42</t>
  </si>
  <si>
    <t>19:37:04</t>
  </si>
  <si>
    <t>19:46:34</t>
  </si>
  <si>
    <t>19:47:03</t>
  </si>
  <si>
    <t>19:51:05</t>
  </si>
  <si>
    <t>19:59:31</t>
  </si>
  <si>
    <t>20:00:00</t>
  </si>
  <si>
    <t>20:01:35</t>
  </si>
  <si>
    <t>20:02:18</t>
  </si>
  <si>
    <t>20:07:47</t>
  </si>
  <si>
    <t>20:08:12</t>
  </si>
  <si>
    <t>20:09:09</t>
  </si>
  <si>
    <t>20:19:33</t>
  </si>
  <si>
    <t>20:27:33</t>
  </si>
  <si>
    <t>20:29:44</t>
  </si>
  <si>
    <t>20:31:10</t>
  </si>
  <si>
    <t>20:39:33</t>
  </si>
  <si>
    <t>20:40:51</t>
  </si>
  <si>
    <t>20:49:20</t>
  </si>
  <si>
    <t>21:15:29</t>
  </si>
  <si>
    <t>12:27:53</t>
  </si>
  <si>
    <t>21:03:57</t>
  </si>
  <si>
    <t>11:59:12</t>
  </si>
  <si>
    <t>21:22:47</t>
  </si>
  <si>
    <t>21:31:16</t>
  </si>
  <si>
    <t>22:10:26</t>
  </si>
  <si>
    <t>22:25:45</t>
  </si>
  <si>
    <t>22:25:48</t>
  </si>
  <si>
    <t>22:26:28</t>
  </si>
  <si>
    <t>22:30:19</t>
  </si>
  <si>
    <t>22:31:28</t>
  </si>
  <si>
    <t>22:35:54</t>
  </si>
  <si>
    <t>22:36:39</t>
  </si>
  <si>
    <t>23:09:47</t>
  </si>
  <si>
    <t>23:41:55</t>
  </si>
  <si>
    <t>00:05:56</t>
  </si>
  <si>
    <t>00:14:06</t>
  </si>
  <si>
    <t>00:37:09</t>
  </si>
  <si>
    <t>19:03:45</t>
  </si>
  <si>
    <t>01:56:05</t>
  </si>
  <si>
    <t>02:05:43</t>
  </si>
  <si>
    <t>03:22:34</t>
  </si>
  <si>
    <t>04:14:06</t>
  </si>
  <si>
    <t>04:49:00</t>
  </si>
  <si>
    <t>04:58:47</t>
  </si>
  <si>
    <t>05:31:31</t>
  </si>
  <si>
    <t>06:04:05</t>
  </si>
  <si>
    <t>06:19:19</t>
  </si>
  <si>
    <t>06:25:27</t>
  </si>
  <si>
    <t>22:11:00</t>
  </si>
  <si>
    <t>11:41:00</t>
  </si>
  <si>
    <t>14:19:38</t>
  </si>
  <si>
    <t>14:20:44</t>
  </si>
  <si>
    <t>14:22:34</t>
  </si>
  <si>
    <t>14:36:55</t>
  </si>
  <si>
    <t>14:49:00</t>
  </si>
  <si>
    <t>19:41:12</t>
  </si>
  <si>
    <t>15:20:15</t>
  </si>
  <si>
    <t>17:18:42</t>
  </si>
  <si>
    <t>17:57:02</t>
  </si>
  <si>
    <t>01:33:01</t>
  </si>
  <si>
    <t>03:15:39</t>
  </si>
  <si>
    <t>02:46:01</t>
  </si>
  <si>
    <t>21:25:46</t>
  </si>
  <si>
    <t>03:06:08</t>
  </si>
  <si>
    <t>17:21:50</t>
  </si>
  <si>
    <t>04:21:32</t>
  </si>
  <si>
    <t>21:46:28</t>
  </si>
  <si>
    <t>21:53:07</t>
  </si>
  <si>
    <t>18:47:41</t>
  </si>
  <si>
    <t>18:26:47</t>
  </si>
  <si>
    <t>03:04:24</t>
  </si>
  <si>
    <t>22:21:33</t>
  </si>
  <si>
    <t>22:34:01</t>
  </si>
  <si>
    <t>16:54:42</t>
  </si>
  <si>
    <t>22:46:59</t>
  </si>
  <si>
    <t>02:01:26</t>
  </si>
  <si>
    <t>02:48:16</t>
  </si>
  <si>
    <t>21:43:00</t>
  </si>
  <si>
    <t>02:50:31</t>
  </si>
  <si>
    <t>17:42:29</t>
  </si>
  <si>
    <t>01:13:28</t>
  </si>
  <si>
    <t>19:10:20</t>
  </si>
  <si>
    <t>19:15:53</t>
  </si>
  <si>
    <t>05:12:08</t>
  </si>
  <si>
    <t>05:22:53</t>
  </si>
  <si>
    <t>19:12:16</t>
  </si>
  <si>
    <t>05:51:04</t>
  </si>
  <si>
    <t>13:31:36</t>
  </si>
  <si>
    <t>13:38:09</t>
  </si>
  <si>
    <t>1438558348778016771</t>
  </si>
  <si>
    <t>1432953423612321797</t>
  </si>
  <si>
    <t>1438582920277594118</t>
  </si>
  <si>
    <t>1438558061103394818</t>
  </si>
  <si>
    <t>1438559983176671240</t>
  </si>
  <si>
    <t>1438561786739953665</t>
  </si>
  <si>
    <t>1438556169916796930</t>
  </si>
  <si>
    <t>1438566333629751299</t>
  </si>
  <si>
    <t>1438609715932631051</t>
  </si>
  <si>
    <t>1438850579279843333</t>
  </si>
  <si>
    <t>1438858063910408194</t>
  </si>
  <si>
    <t>1438860137213616128</t>
  </si>
  <si>
    <t>1438864803720830986</t>
  </si>
  <si>
    <t>1438869745651048459</t>
  </si>
  <si>
    <t>1438882664564633602</t>
  </si>
  <si>
    <t>1438885869801418753</t>
  </si>
  <si>
    <t>1438982377213153283</t>
  </si>
  <si>
    <t>1438983884474142723</t>
  </si>
  <si>
    <t>1438986376070975489</t>
  </si>
  <si>
    <t>1439009417240920066</t>
  </si>
  <si>
    <t>1439010030880059392</t>
  </si>
  <si>
    <t>1439021998135398401</t>
  </si>
  <si>
    <t>1439173686284668929</t>
  </si>
  <si>
    <t>1439005569382162434</t>
  </si>
  <si>
    <t>1439006042470289408</t>
  </si>
  <si>
    <t>1439202532954312705</t>
  </si>
  <si>
    <t>1439202617477971978</t>
  </si>
  <si>
    <t>1439245237071777799</t>
  </si>
  <si>
    <t>1439269135138050053</t>
  </si>
  <si>
    <t>1439178357644611584</t>
  </si>
  <si>
    <t>1439289459481141250</t>
  </si>
  <si>
    <t>1437072342056935430</t>
  </si>
  <si>
    <t>1439295636759883777</t>
  </si>
  <si>
    <t>1436907573949706240</t>
  </si>
  <si>
    <t>1439295666082271238</t>
  </si>
  <si>
    <t>1439333923004223491</t>
  </si>
  <si>
    <t>1439327136096169987</t>
  </si>
  <si>
    <t>1439363109328769028</t>
  </si>
  <si>
    <t>1438848273142493192</t>
  </si>
  <si>
    <t>1439016947455307778</t>
  </si>
  <si>
    <t>1439016992732860421</t>
  </si>
  <si>
    <t>1439519591949025281</t>
  </si>
  <si>
    <t>1439525614130802689</t>
  </si>
  <si>
    <t>1439568671635017730</t>
  </si>
  <si>
    <t>1063267200788848641</t>
  </si>
  <si>
    <t>1439594075917783045</t>
  </si>
  <si>
    <t>1438880952873361413</t>
  </si>
  <si>
    <t>1439612798552657920</t>
  </si>
  <si>
    <t>1439636489340473346</t>
  </si>
  <si>
    <t>1439637173905600512</t>
  </si>
  <si>
    <t>1439684423197380615</t>
  </si>
  <si>
    <t>1439605362630422534</t>
  </si>
  <si>
    <t>1439635821565341698</t>
  </si>
  <si>
    <t>1439680825524580354</t>
  </si>
  <si>
    <t>1439726178273677315</t>
  </si>
  <si>
    <t>1439952787828207619</t>
  </si>
  <si>
    <t>1439952820573065217</t>
  </si>
  <si>
    <t>1439952848159064064</t>
  </si>
  <si>
    <t>1439952892559904770</t>
  </si>
  <si>
    <t>1440015561694461954</t>
  </si>
  <si>
    <t>1440016875908337665</t>
  </si>
  <si>
    <t>1439991295007617028</t>
  </si>
  <si>
    <t>1440059868187017229</t>
  </si>
  <si>
    <t>1434331326149271552</t>
  </si>
  <si>
    <t>1439727363185577985</t>
  </si>
  <si>
    <t>1440146177274507272</t>
  </si>
  <si>
    <t>1440153316810391556</t>
  </si>
  <si>
    <t>1440153930126688260</t>
  </si>
  <si>
    <t>1440161154945327112</t>
  </si>
  <si>
    <t>1440171900265648129</t>
  </si>
  <si>
    <t>1439105692657496065</t>
  </si>
  <si>
    <t>1438973080861356033</t>
  </si>
  <si>
    <t>1439501459356360704</t>
  </si>
  <si>
    <t>1440286311869399050</t>
  </si>
  <si>
    <t>1440296686316703744</t>
  </si>
  <si>
    <t>1440332520634007566</t>
  </si>
  <si>
    <t>1440373779725635597</t>
  </si>
  <si>
    <t>1440376009992257539</t>
  </si>
  <si>
    <t>1440391400944590865</t>
  </si>
  <si>
    <t>1440391487183679488</t>
  </si>
  <si>
    <t>1440391699428102144</t>
  </si>
  <si>
    <t>1440393471257288706</t>
  </si>
  <si>
    <t>1438859233165025280</t>
  </si>
  <si>
    <t>1440393819866894348</t>
  </si>
  <si>
    <t>1440399700444672001</t>
  </si>
  <si>
    <t>1440402092129017859</t>
  </si>
  <si>
    <t>1440402214074281996</t>
  </si>
  <si>
    <t>1440403226726043664</t>
  </si>
  <si>
    <t>1440405347940716552</t>
  </si>
  <si>
    <t>1440405472675127297</t>
  </si>
  <si>
    <t>1440405869129134083</t>
  </si>
  <si>
    <t>1440406051233226753</t>
  </si>
  <si>
    <t>1440407431310311430</t>
  </si>
  <si>
    <t>1440407536390205441</t>
  </si>
  <si>
    <t>1440407772533723147</t>
  </si>
  <si>
    <t>1440410389808697347</t>
  </si>
  <si>
    <t>1440412406002245646</t>
  </si>
  <si>
    <t>1440412955930099715</t>
  </si>
  <si>
    <t>1440413316212408329</t>
  </si>
  <si>
    <t>1440415426370949124</t>
  </si>
  <si>
    <t>1440415752335466511</t>
  </si>
  <si>
    <t>1440417885805965312</t>
  </si>
  <si>
    <t>1440424468191481858</t>
  </si>
  <si>
    <t>1438842141804056579</t>
  </si>
  <si>
    <t>1438972013033529344</t>
  </si>
  <si>
    <t>1440284475644993555</t>
  </si>
  <si>
    <t>1440426302670921730</t>
  </si>
  <si>
    <t>1440428439522070548</t>
  </si>
  <si>
    <t>1440438296014843912</t>
  </si>
  <si>
    <t>1440442149976219656</t>
  </si>
  <si>
    <t>1440442161950953472</t>
  </si>
  <si>
    <t>1440442330717118473</t>
  </si>
  <si>
    <t>1440443299249078273</t>
  </si>
  <si>
    <t>1440443590899953667</t>
  </si>
  <si>
    <t>1440444705360072719</t>
  </si>
  <si>
    <t>1440444892719706119</t>
  </si>
  <si>
    <t>1440453231499362318</t>
  </si>
  <si>
    <t>1440461318704693263</t>
  </si>
  <si>
    <t>1440467362105348097</t>
  </si>
  <si>
    <t>1440469417977024519</t>
  </si>
  <si>
    <t>1440475219672530947</t>
  </si>
  <si>
    <t>1440391314235822089</t>
  </si>
  <si>
    <t>1440495083522957314</t>
  </si>
  <si>
    <t>1440497508262633472</t>
  </si>
  <si>
    <t>1440516846831038474</t>
  </si>
  <si>
    <t>1440529817766555649</t>
  </si>
  <si>
    <t>1440538598973980680</t>
  </si>
  <si>
    <t>1440541062267740163</t>
  </si>
  <si>
    <t>1440549299348140035</t>
  </si>
  <si>
    <t>1440557495370407941</t>
  </si>
  <si>
    <t>1440561329320775682</t>
  </si>
  <si>
    <t>1440562871897755648</t>
  </si>
  <si>
    <t>1440438437618716677</t>
  </si>
  <si>
    <t>1440642280998666251</t>
  </si>
  <si>
    <t>1440682205047504913</t>
  </si>
  <si>
    <t>1440682478008627202</t>
  </si>
  <si>
    <t>1440682943563792398</t>
  </si>
  <si>
    <t>1440686552934326289</t>
  </si>
  <si>
    <t>1440689594073161735</t>
  </si>
  <si>
    <t>1440694789914054659</t>
  </si>
  <si>
    <t>1440400738719440904</t>
  </si>
  <si>
    <t>1440697458019889163</t>
  </si>
  <si>
    <t>1440727265583632396</t>
  </si>
  <si>
    <t>1440736911933337607</t>
  </si>
  <si>
    <t>1440851665301745664</t>
  </si>
  <si>
    <t>1440152719369539592</t>
  </si>
  <si>
    <t>1440870038110720002</t>
  </si>
  <si>
    <t>1054483977690640385</t>
  </si>
  <si>
    <t>1440875098643251200</t>
  </si>
  <si>
    <t>1432030746986831881</t>
  </si>
  <si>
    <t>1440894072634347521</t>
  </si>
  <si>
    <t>1441157039695171585</t>
  </si>
  <si>
    <t>1441158713406943234</t>
  </si>
  <si>
    <t>1438937719883776008</t>
  </si>
  <si>
    <t>1439294848473829382</t>
  </si>
  <si>
    <t>1439425109660372998</t>
  </si>
  <si>
    <t>1441165870697385988</t>
  </si>
  <si>
    <t>1441169006501695489</t>
  </si>
  <si>
    <t>1226187612332773376</t>
  </si>
  <si>
    <t>1441172271628914696</t>
  </si>
  <si>
    <t>1441221205059510274</t>
  </si>
  <si>
    <t>1441232989686427652</t>
  </si>
  <si>
    <t>1441156166898176006</t>
  </si>
  <si>
    <t>1441233557582540804</t>
  </si>
  <si>
    <t>1441458026611838977</t>
  </si>
  <si>
    <t>1441571521466494978</t>
  </si>
  <si>
    <t>1440030585229959172</t>
  </si>
  <si>
    <t>1440394370226667525</t>
  </si>
  <si>
    <t>1441631582436028418</t>
  </si>
  <si>
    <t>1441634288500449282</t>
  </si>
  <si>
    <t>1440031072331259909</t>
  </si>
  <si>
    <t>1441641380644749316</t>
  </si>
  <si>
    <t>1441757280681218048</t>
  </si>
  <si>
    <t>1441758925989154816</t>
  </si>
  <si>
    <t>1439005878011654145</t>
  </si>
  <si>
    <t>1437070944707678210</t>
  </si>
  <si>
    <t>1063266912354873344</t>
  </si>
  <si>
    <t>1439991293183102981</t>
  </si>
  <si>
    <t>1440800357022457864</t>
  </si>
  <si>
    <t>1441174402213761026</t>
  </si>
  <si>
    <t>1441428422509608962</t>
  </si>
  <si>
    <t/>
  </si>
  <si>
    <t>137104854</t>
  </si>
  <si>
    <t>3087410276</t>
  </si>
  <si>
    <t>797932608</t>
  </si>
  <si>
    <t>754224450</t>
  </si>
  <si>
    <t>1349149096909668363</t>
  </si>
  <si>
    <t>46904887</t>
  </si>
  <si>
    <t>80124284</t>
  </si>
  <si>
    <t>100731315</t>
  </si>
  <si>
    <t>vi</t>
  </si>
  <si>
    <t>en</t>
  </si>
  <si>
    <t>es</t>
  </si>
  <si>
    <t>it</t>
  </si>
  <si>
    <t>und</t>
  </si>
  <si>
    <t>1438536476061491211</t>
  </si>
  <si>
    <t>1434305633826844675</t>
  </si>
  <si>
    <t>1439027984120299520</t>
  </si>
  <si>
    <t>1441559222328647687</t>
  </si>
  <si>
    <t>Twitter for Android</t>
  </si>
  <si>
    <t>Twitter for iPhone</t>
  </si>
  <si>
    <t>Twitter Web App</t>
  </si>
  <si>
    <t>Hootsuite Inc.</t>
  </si>
  <si>
    <t>TweetDeck</t>
  </si>
  <si>
    <t>Emplifi</t>
  </si>
  <si>
    <t>numerorespuestas</t>
  </si>
  <si>
    <t>Twitter Web Client</t>
  </si>
  <si>
    <t>-100.421037,25.4805381 
-100.166146,25.4805381 
-100.166146,25.802899 
-100.421037,25.802899</t>
  </si>
  <si>
    <t>-93.243094,16.645909 
-93.036225,16.645909 
-93.036225,16.838962 
-93.243094,16.838962</t>
  </si>
  <si>
    <t>Mexico</t>
  </si>
  <si>
    <t>MX</t>
  </si>
  <si>
    <t>Monterrey, Nuevo León</t>
  </si>
  <si>
    <t>Tuxtla Gutiérrez, Chiapas</t>
  </si>
  <si>
    <t>b19e24ce42ccd6aa</t>
  </si>
  <si>
    <t>b462c87ea2b4ff26</t>
  </si>
  <si>
    <t>Monterrey</t>
  </si>
  <si>
    <t>Tuxtla Gutiérrez</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</si>
  <si>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</si>
  <si>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</si>
  <si>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</si>
  <si>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</si>
  <si>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</si>
  <si>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</si>
  <si>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</si>
  <si>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</si>
  <si>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</si>
  <si>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</si>
  <si>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</si>
  <si>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</si>
  <si>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</si>
  <si>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</si>
  <si>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</si>
  <si>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</si>
  <si>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</si>
  <si>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</si>
  <si>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</si>
  <si>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</si>
  <si>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</si>
  <si>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</si>
  <si>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</si>
  <si>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Ricardo Ravelo Galo</t>
  </si>
  <si>
    <t>Victor Ronquillo</t>
  </si>
  <si>
    <t>Guadalupe Correa</t>
  </si>
  <si>
    <t>Julio Astillero</t>
  </si>
  <si>
    <t>ㅤㅤㅤㅤㅤㅤㅤㅤㅤ</t>
  </si>
  <si>
    <t>Voices in Movement</t>
  </si>
  <si>
    <t>Darinel Zacarias</t>
  </si>
  <si>
    <t>RadhaKrishna247</t>
  </si>
  <si>
    <t>Carmina Montesinos L</t>
  </si>
  <si>
    <t>carlos barrachina</t>
  </si>
  <si>
    <t>Annamaria Pontoglio</t>
  </si>
  <si>
    <t>Christian Peverieri</t>
  </si>
  <si>
    <t>diadà</t>
  </si>
  <si>
    <t>muelle82</t>
  </si>
  <si>
    <t>Carlos M. Bauza C.</t>
  </si>
  <si>
    <t>Omar Brito</t>
  </si>
  <si>
    <t>MexnewzTam</t>
  </si>
  <si>
    <t>MexNews Digital </t>
  </si>
  <si>
    <t>Daniele Fiorenza</t>
  </si>
  <si>
    <t>ACTING CBP</t>
  </si>
  <si>
    <t>@infomediamx__</t>
  </si>
  <si>
    <t>César Daniel</t>
  </si>
  <si>
    <t>Eunice Rendón</t>
  </si>
  <si>
    <t>Agenda Migrante</t>
  </si>
  <si>
    <t>RED VIRAL NACIONAL</t>
  </si>
  <si>
    <t>UNSCARED</t>
  </si>
  <si>
    <t>Catturd ™</t>
  </si>
  <si>
    <t>Luis González</t>
  </si>
  <si>
    <t>Roberta Milella</t>
  </si>
  <si>
    <t>Melting Pot Europa</t>
  </si>
  <si>
    <t>Juventud Comunista Nuevo León</t>
  </si>
  <si>
    <t>Eliphaleth Carmona</t>
  </si>
  <si>
    <t>James Woods</t>
  </si>
  <si>
    <t>GardenPeace</t>
  </si>
  <si>
    <t>Pie de Página</t>
  </si>
  <si>
    <t>Ángeles Mariscal</t>
  </si>
  <si>
    <t>Guardia Nacional</t>
  </si>
  <si>
    <t>Isaín Mandujano</t>
  </si>
  <si>
    <t>DALEALPLAY</t>
  </si>
  <si>
    <t>YouTube</t>
  </si>
  <si>
    <t>ΛLΞX ΞSPIИΘZΛ M. Æ☺_xD83D__xDE37_</t>
  </si>
  <si>
    <t>ONU Derechos Humanos - América del Sur</t>
  </si>
  <si>
    <t>ONU-DH México</t>
  </si>
  <si>
    <t>CNDH en México</t>
  </si>
  <si>
    <t>INM</t>
  </si>
  <si>
    <t>gaia capogna</t>
  </si>
  <si>
    <t>CheGuevara Roma</t>
  </si>
  <si>
    <t>Francesco Esposito</t>
  </si>
  <si>
    <t>Patrick J. McDonnell</t>
  </si>
  <si>
    <t>Gopnik_Slav</t>
  </si>
  <si>
    <t>Ana Schwarz</t>
  </si>
  <si>
    <t>Gabinete de Comunicación Estratégica</t>
  </si>
  <si>
    <t>Diana Alvarez Delgad</t>
  </si>
  <si>
    <t>Kaleydoscopio</t>
  </si>
  <si>
    <t>Azteca Tamaulipas</t>
  </si>
  <si>
    <t>Jano Valenzuela</t>
  </si>
  <si>
    <t>@SEDENAmx</t>
  </si>
  <si>
    <t>Leav10</t>
  </si>
  <si>
    <t>Compa Gabriper Pines</t>
  </si>
  <si>
    <t>DanielaScalante</t>
  </si>
  <si>
    <t>Erick C _xD83D__xDEF8_</t>
  </si>
  <si>
    <t>Gobierno de México</t>
  </si>
  <si>
    <t>Alerta Chiapas</t>
  </si>
  <si>
    <t>Galathea Fuentes</t>
  </si>
  <si>
    <t>German Clemente</t>
  </si>
  <si>
    <t>Samuel Santiago</t>
  </si>
  <si>
    <t>Thayri Rodrigez</t>
  </si>
  <si>
    <t>German</t>
  </si>
  <si>
    <t>Pulso Sur Noticias_xD83D__xDCE3_</t>
  </si>
  <si>
    <t>Alfimx2</t>
  </si>
  <si>
    <t>Bruja del Mar</t>
  </si>
  <si>
    <t>Antonio P. Armenta</t>
  </si>
  <si>
    <t>La Jornada</t>
  </si>
  <si>
    <t>Antonio</t>
  </si>
  <si>
    <t>Dr. Joel F.M.</t>
  </si>
  <si>
    <t>ArroyoAC</t>
  </si>
  <si>
    <t>Jay</t>
  </si>
  <si>
    <t>Nancy Pelosi</t>
  </si>
  <si>
    <t>Kevin McCarthy</t>
  </si>
  <si>
    <t>Democratic Party</t>
  </si>
  <si>
    <t>GOP</t>
  </si>
  <si>
    <t>President Biden</t>
  </si>
  <si>
    <t>irvin</t>
  </si>
  <si>
    <t>⚡ Nelson Valdez ⚡</t>
  </si>
  <si>
    <t>PRENSA GIFF</t>
  </si>
  <si>
    <t>Guanajuato Film Fest</t>
  </si>
  <si>
    <t>DocuLQQEEC</t>
  </si>
  <si>
    <t>νєѕт18</t>
  </si>
  <si>
    <t>REBECA GZZ</t>
  </si>
  <si>
    <t>Yo soy celeesteee _xD83C__xDFB5__xD83C__xDFB6__xD83E__xDD80_</t>
  </si>
  <si>
    <t>Isela Maldonado</t>
  </si>
  <si>
    <t>Flying</t>
  </si>
  <si>
    <t>PASILLASMULTIMEDIOS</t>
  </si>
  <si>
    <t>Mr. Couburn</t>
  </si>
  <si>
    <t>Claudia Lozano Garcí</t>
  </si>
  <si>
    <t>min yoongi</t>
  </si>
  <si>
    <t>Luis Garcia.</t>
  </si>
  <si>
    <t>Apolonio Valdez M.</t>
  </si>
  <si>
    <t>El Séptimo Vicio</t>
  </si>
  <si>
    <t>Jorge Berna</t>
  </si>
  <si>
    <t>HANNA</t>
  </si>
  <si>
    <t>Javier Azua</t>
  </si>
  <si>
    <t>SelvitaSil</t>
  </si>
  <si>
    <t>_xD835__xDC6E__xD835__xDC82__xD835__xDC83__xD835__xDC89__xD835__xDC8A__xD835__xDC9A_ _xD835__xDC76__xD835__xDC93__xD835__xDC95__xD835__xDC8A__xD835__xDC9B_</t>
  </si>
  <si>
    <t>Pepe</t>
  </si>
  <si>
    <t>Tigre_TTN</t>
  </si>
  <si>
    <t>Servicios Digitales en Cancún</t>
  </si>
  <si>
    <t>María Guadalupe Salazar</t>
  </si>
  <si>
    <t>fernando</t>
  </si>
  <si>
    <t>Alejandro Carreón</t>
  </si>
  <si>
    <t>María Idalia Gómez</t>
  </si>
  <si>
    <t>EjeCentral</t>
  </si>
  <si>
    <t>Sam OC</t>
  </si>
  <si>
    <t>Ale _xD83C__xDDF2__xD83C__xDDFD__xD83D__xDC99_</t>
  </si>
  <si>
    <t>Mike Hdz</t>
  </si>
  <si>
    <t>Jesús Cuatra X</t>
  </si>
  <si>
    <t>Uriel Cristobal</t>
  </si>
  <si>
    <t>Israel PérezGonzález</t>
  </si>
  <si>
    <t>ThegreatCEIR OFC</t>
  </si>
  <si>
    <t>Nancy</t>
  </si>
  <si>
    <t>argelina Moreno</t>
  </si>
  <si>
    <t>Fr@nci$c0</t>
  </si>
  <si>
    <t>Juan Aguilera</t>
  </si>
  <si>
    <t>Venezolano..</t>
  </si>
  <si>
    <t>Victor Ríos</t>
  </si>
  <si>
    <t>Tolentino Antonino</t>
  </si>
  <si>
    <t>Sergio Ariel</t>
  </si>
  <si>
    <t>Juan Ocañas</t>
  </si>
  <si>
    <t>FerDa Partida Gonzalez</t>
  </si>
  <si>
    <t>cuau</t>
  </si>
  <si>
    <t>elis  zpata</t>
  </si>
  <si>
    <t>Jorge Monroy</t>
  </si>
  <si>
    <t>V. dmtz</t>
  </si>
  <si>
    <t>Javier Flores</t>
  </si>
  <si>
    <t>✚cдmΣlΘt±</t>
  </si>
  <si>
    <t>Irene Tello Arista</t>
  </si>
  <si>
    <t>Elba Gutiérrez</t>
  </si>
  <si>
    <t>@FrankietheoneCorp</t>
  </si>
  <si>
    <t>Tomás Borges</t>
  </si>
  <si>
    <t>Daniel Camacho Cartones</t>
  </si>
  <si>
    <t>Témoris Grecko</t>
  </si>
  <si>
    <t>VALENTINA.</t>
  </si>
  <si>
    <t>Jorge Luis Velasco</t>
  </si>
  <si>
    <t>Benjamin Alfaro</t>
  </si>
  <si>
    <t>Rolo B@SS_Mexico</t>
  </si>
  <si>
    <t>Conscript Nina Lia</t>
  </si>
  <si>
    <t>Avispa Midia</t>
  </si>
  <si>
    <t>Algarabía</t>
  </si>
  <si>
    <t>@Antoinette _xD83C__xDDF2__xD83C__xDDFD_</t>
  </si>
  <si>
    <t>Tejemedios México</t>
  </si>
  <si>
    <t>Cozauhqui Tlahuizcalli</t>
  </si>
  <si>
    <t>Sara Elizabeth</t>
  </si>
  <si>
    <t>Pedro Hernandez</t>
  </si>
  <si>
    <t>Manuel Lopez San Martin</t>
  </si>
  <si>
    <t>AdrianoEspa</t>
  </si>
  <si>
    <t>Miradas Al Margen</t>
  </si>
  <si>
    <t>The Watcher</t>
  </si>
  <si>
    <t>RT en Español</t>
  </si>
  <si>
    <t>Atenea</t>
  </si>
  <si>
    <t>Versus Media México</t>
  </si>
  <si>
    <t>Virgilio Rodriguez</t>
  </si>
  <si>
    <t>Chef Ramfis Báez</t>
  </si>
  <si>
    <t>Voces en el umbral TV.</t>
  </si>
  <si>
    <t>765899462</t>
  </si>
  <si>
    <t>812007485183787008</t>
  </si>
  <si>
    <t>4664304554</t>
  </si>
  <si>
    <t>52422182</t>
  </si>
  <si>
    <t>84370502</t>
  </si>
  <si>
    <t>954824765449166848</t>
  </si>
  <si>
    <t>623827099</t>
  </si>
  <si>
    <t>447646870</t>
  </si>
  <si>
    <t>2440893852</t>
  </si>
  <si>
    <t>883563198</t>
  </si>
  <si>
    <t>3807059417</t>
  </si>
  <si>
    <t>440932233</t>
  </si>
  <si>
    <t>1248155451683979264</t>
  </si>
  <si>
    <t>205284922</t>
  </si>
  <si>
    <t>1194664134501122048</t>
  </si>
  <si>
    <t>118562978</t>
  </si>
  <si>
    <t>866049861434707969</t>
  </si>
  <si>
    <t>2674163930</t>
  </si>
  <si>
    <t>1125421364</t>
  </si>
  <si>
    <t>1421715476934180871</t>
  </si>
  <si>
    <t>1058515061470384128</t>
  </si>
  <si>
    <t>160115645</t>
  </si>
  <si>
    <t>828092476909088768</t>
  </si>
  <si>
    <t>716458046</t>
  </si>
  <si>
    <t>1354600423450144770</t>
  </si>
  <si>
    <t>1043185714437992449</t>
  </si>
  <si>
    <t>233277871</t>
  </si>
  <si>
    <t>2504004971</t>
  </si>
  <si>
    <t>206871686</t>
  </si>
  <si>
    <t>1242218813472624642</t>
  </si>
  <si>
    <t>97244272</t>
  </si>
  <si>
    <t>78523300</t>
  </si>
  <si>
    <t>1428126028854136846</t>
  </si>
  <si>
    <t>77924285</t>
  </si>
  <si>
    <t>18194522</t>
  </si>
  <si>
    <t>1148707721878724609</t>
  </si>
  <si>
    <t>17046947</t>
  </si>
  <si>
    <t>2784372319</t>
  </si>
  <si>
    <t>10228272</t>
  </si>
  <si>
    <t>1528482824</t>
  </si>
  <si>
    <t>139727749</t>
  </si>
  <si>
    <t>143137590</t>
  </si>
  <si>
    <t>252160277</t>
  </si>
  <si>
    <t>1300283125</t>
  </si>
  <si>
    <t>153519870</t>
  </si>
  <si>
    <t>621230485</t>
  </si>
  <si>
    <t>509309976</t>
  </si>
  <si>
    <t>131761307</t>
  </si>
  <si>
    <t>45413221</t>
  </si>
  <si>
    <t>297606187</t>
  </si>
  <si>
    <t>196110680</t>
  </si>
  <si>
    <t>428635444</t>
  </si>
  <si>
    <t>360676038</t>
  </si>
  <si>
    <t>121165363</t>
  </si>
  <si>
    <t>300239054</t>
  </si>
  <si>
    <t>4711080697</t>
  </si>
  <si>
    <t>1354292492548464640</t>
  </si>
  <si>
    <t>115796748</t>
  </si>
  <si>
    <t>1067218403914436608</t>
  </si>
  <si>
    <t>1679981059</t>
  </si>
  <si>
    <t>3091355322</t>
  </si>
  <si>
    <t>2204015906</t>
  </si>
  <si>
    <t>801800750598758400</t>
  </si>
  <si>
    <t>1095045810440622081</t>
  </si>
  <si>
    <t>1413567335798018050</t>
  </si>
  <si>
    <t>986031870885449730</t>
  </si>
  <si>
    <t>1668590221</t>
  </si>
  <si>
    <t>3335694912</t>
  </si>
  <si>
    <t>1156129171</t>
  </si>
  <si>
    <t>35977487</t>
  </si>
  <si>
    <t>1077351270091014144</t>
  </si>
  <si>
    <t>162594551</t>
  </si>
  <si>
    <t>240757879</t>
  </si>
  <si>
    <t>624779231</t>
  </si>
  <si>
    <t>1220413118133698560</t>
  </si>
  <si>
    <t>15764644</t>
  </si>
  <si>
    <t>19739126</t>
  </si>
  <si>
    <t>722793491059769344</t>
  </si>
  <si>
    <t>11134252</t>
  </si>
  <si>
    <t>302247529</t>
  </si>
  <si>
    <t>107956904</t>
  </si>
  <si>
    <t>583304215</t>
  </si>
  <si>
    <t>45596706</t>
  </si>
  <si>
    <t>1434556024187457539</t>
  </si>
  <si>
    <t>273262319</t>
  </si>
  <si>
    <t>111678314</t>
  </si>
  <si>
    <t>42227759</t>
  </si>
  <si>
    <t>258663846</t>
  </si>
  <si>
    <t>3420002477</t>
  </si>
  <si>
    <t>254296367</t>
  </si>
  <si>
    <t>321832299</t>
  </si>
  <si>
    <t>123602114</t>
  </si>
  <si>
    <t>1405613049516548109</t>
  </si>
  <si>
    <t>1107388351</t>
  </si>
  <si>
    <t>235846350</t>
  </si>
  <si>
    <t>365860183</t>
  </si>
  <si>
    <t>279657994</t>
  </si>
  <si>
    <t>136394182</t>
  </si>
  <si>
    <t>104404436</t>
  </si>
  <si>
    <t>1380749367544590337</t>
  </si>
  <si>
    <t>627517039</t>
  </si>
  <si>
    <t>1227287629697298432</t>
  </si>
  <si>
    <t>889618778903937029</t>
  </si>
  <si>
    <t>1396979597472849920</t>
  </si>
  <si>
    <t>1028776947629912066</t>
  </si>
  <si>
    <t>1327634794046361601</t>
  </si>
  <si>
    <t>124945618</t>
  </si>
  <si>
    <t>112373123</t>
  </si>
  <si>
    <t>69407724</t>
  </si>
  <si>
    <t>20013113</t>
  </si>
  <si>
    <t>340495733</t>
  </si>
  <si>
    <t>178846961</t>
  </si>
  <si>
    <t>194085771</t>
  </si>
  <si>
    <t>281311173</t>
  </si>
  <si>
    <t>923200622618226688</t>
  </si>
  <si>
    <t>3198230924</t>
  </si>
  <si>
    <t>1236124220993781761</t>
  </si>
  <si>
    <t>161776745</t>
  </si>
  <si>
    <t>708033469725614080</t>
  </si>
  <si>
    <t>35534573</t>
  </si>
  <si>
    <t>141433604</t>
  </si>
  <si>
    <t>2768585817</t>
  </si>
  <si>
    <t>1003378892</t>
  </si>
  <si>
    <t>2784748833</t>
  </si>
  <si>
    <t>75467262</t>
  </si>
  <si>
    <t>105352249</t>
  </si>
  <si>
    <t>1295109050015911936</t>
  </si>
  <si>
    <t>1128417184731078656</t>
  </si>
  <si>
    <t>962542550</t>
  </si>
  <si>
    <t>351377235</t>
  </si>
  <si>
    <t>19660712</t>
  </si>
  <si>
    <t>929946938526576640</t>
  </si>
  <si>
    <t>119225223</t>
  </si>
  <si>
    <t>86772164</t>
  </si>
  <si>
    <t>132312433</t>
  </si>
  <si>
    <t>1440008884341575692</t>
  </si>
  <si>
    <t>92077117</t>
  </si>
  <si>
    <t>338657758</t>
  </si>
  <si>
    <t>796085582791208961</t>
  </si>
  <si>
    <t>3166996790</t>
  </si>
  <si>
    <t>195114134</t>
  </si>
  <si>
    <t>1335616636901003268</t>
  </si>
  <si>
    <t>723243430172758018</t>
  </si>
  <si>
    <t>3082266484</t>
  </si>
  <si>
    <t>1234364732724908033</t>
  </si>
  <si>
    <t>232997487</t>
  </si>
  <si>
    <t>1724154606</t>
  </si>
  <si>
    <t>985258422961491968</t>
  </si>
  <si>
    <t>1441126447825895432</t>
  </si>
  <si>
    <t>2189674280</t>
  </si>
  <si>
    <t>1366658602606465025</t>
  </si>
  <si>
    <t>1049912881007996929</t>
  </si>
  <si>
    <t>1085686055506980864</t>
  </si>
  <si>
    <t>464366327</t>
  </si>
  <si>
    <t>745756154</t>
  </si>
  <si>
    <t>230973760</t>
  </si>
  <si>
    <t>1306588182</t>
  </si>
  <si>
    <t>2648808085</t>
  </si>
  <si>
    <t>Periodista y escritor  sobre temas de la delincuencia organizada. Autor de 10 libros publicados en México,  EU y España. (Aquí en Salzburgo, Austria.)</t>
  </si>
  <si>
    <t>Periodista y escritor</t>
  </si>
  <si>
    <t>Associate Professor @ScharSchool @GeorgeMasonU; Global Fellow @TheWilsonCenter; Non-resident Scholar @BakerCtrUSMEX; coeditor @ISP_Journal; wrote Los Zetas Inc.</t>
  </si>
  <si>
    <t>Columnista: La Jornada/ Director: LJ San Luis/ Astillero Informa 1-3 pm/ Videocharla Astillada. #Bitcoin julioastillero@gmail.com</t>
  </si>
  <si>
    <t>{ ARTE CIENCIA CULTURA poesía, cine, arquitectura, teatro, artes visuales,música,danza, moneros,historia,política, libros,talleres,sociedad... }</t>
  </si>
  <si>
    <t>Autonomous media from the social struggle--Medio autónomo desde la lucha social</t>
  </si>
  <si>
    <t>Periodista, mentor, neófito. Analfabeta. Aprendiz. Bufón, Sabinero y Canalla. Columnista del Orbe, Portavoz y Diario de Chiapas. #SoyFIC</t>
  </si>
  <si>
    <t>God First _xD83D__xDE4F_</t>
  </si>
  <si>
    <t>Mexicano, nacido en Barcelona (España). Profesor Universitario y Comentarista Político. Vivo en Chetumal.</t>
  </si>
  <si>
    <t>Zapatista dei Centri Sociali del Nordest in paternità volontaria a tempo indeterminato. Negli occhi il mondo, nel cuore i sogni.</t>
  </si>
  <si>
    <t>Per maestri ho avuto i miei occhi (Antonioni)</t>
  </si>
  <si>
    <t>Poza Rica Veracruz</t>
  </si>
  <si>
    <t>Reportero de Grupo Milenio.</t>
  </si>
  <si>
    <t>Medio Digital, Independiente y Plural, con #Noticias del Momento en Política, Economía, Deportes, Salud, Educación, Tendencias de #Tamaulipas #DigitalMedia</t>
  </si>
  <si>
    <t>Medio Digital Independiente y Plural,_xD83C__xDF10_#Noticias del Momento en Política, Economía, Deportes, Salud, Tendencias y más. #DigitalMedia https://t.co/lBRo3M64Td</t>
  </si>
  <si>
    <t>Matricola per professione ma essere umano per passione. Attivista per il collettivo @JLProject1 https://t.co/Ul4r5TAT8j</t>
  </si>
  <si>
    <t>+1 323 902 6051 FOR EMERGENCY CALL ONLY 24 / 7 / 365
Ahoy ! Welcome Aboard</t>
  </si>
  <si>
    <t>PhD @Sciences-Po #Seguridad #Prevención #Migración #Comunidades. Instagram: https://t.co/e6fTX3oA9c</t>
  </si>
  <si>
    <t>Integrada por la misma #ComunidadMigrante sirve para que #Gobiernos, #SocCiv y #MediosDeComunicación puedan apoyarlos y contribuir en su cumplimiento</t>
  </si>
  <si>
    <t>Actores sociales trabajando en #prevenciónsocial de #violencia y #delito. Plataforma reconocida por el @BancoMundial como mejor estrategia de #innovaciónsocial</t>
  </si>
  <si>
    <t>No weapons, no matter how powerful, can help
the West until it overcomes its loss of willpower.</t>
  </si>
  <si>
    <t>The impeach 46 turd who talks shit.
My parody book-The Adventures of Cowfart, literally- and my Sci-Fi novel - Rabbitskin - are available at https://t.co/5JZfYtsuVW</t>
  </si>
  <si>
    <t>Abogado, amante del Derecho Migratorio y cementero de corazón</t>
  </si>
  <si>
    <t>#bastamortiinmare
#soccorsosubito
#europavergogna</t>
  </si>
  <si>
    <t>Communication and information about immigration laws and rights of citizenship. _xD83D__xDCE3_ 
Sostienici con il tuo 5‰! ✍️ Indica il numero _xD835__xDFEC__xD835__xDFEC__xD835__xDFF5__xD835__xDFF5__xD835__xDFF0__xD835__xDFF1__xD835__xDFEC__xD835__xDFEC__xD835__xDFEE__xD835__xDFF4__xD835__xDFF4_</t>
  </si>
  <si>
    <t>Revolucionarias y antiimperialistas</t>
  </si>
  <si>
    <t>Mexican Plateau-based conservation &amp; wildlife biologist. In love with sparrows, behavioural &amp; quantitative ecology ☭_xD83C__xDF43_</t>
  </si>
  <si>
    <t>This is the ONLY verified Twitter account for James Woods. I am also @realjameswoods on Instagram. Any other social media account using my name is a fake.</t>
  </si>
  <si>
    <t>Love to garden, fish and the outdoors.  Without peace of mind you have nothing.</t>
  </si>
  <si>
    <t>Periodismo/ Migración más allá de las vías/ Crónicas y reportajes / #Méxicoleaks #EnelCamino  
redaccionpiedepagina@gmail.com</t>
  </si>
  <si>
    <t>Periodista. Descubrí el “sentipensar”, me dio libertad; ahora todo es más claro, más complejo, más profundo.</t>
  </si>
  <si>
    <t>Bio cane!</t>
  </si>
  <si>
    <t>La Guardia Nacional es una institución de seguridad pública, de carácter civil, disciplinada y profesional, adscrita a la SSPC</t>
  </si>
  <si>
    <t>Periodista desde 1995. Corresponsal en #Chiapas #Mx de @Proceso. Estoy en @ChiapasParalelo Del @Ccopech y la @apecoch https://t.co/UJxlTC8DhN</t>
  </si>
  <si>
    <t>NOTICIAS DEPORTIVAS AL INSTANTE</t>
  </si>
  <si>
    <t>#YouTubeShorts — Introducing the shorter side of YouTube</t>
  </si>
  <si>
    <t>ING. CIVIL DE PROFESIÓN Y PASION, FOTÓGRAFO DE AFICIÓN, INDIGNADO DE LAS INJUSTICIAS PERO CONVENCIDO QUE CAMBIARAN, INTOLERANTE A LA MALA CALIDAD Y/O SERVICIOS.</t>
  </si>
  <si>
    <t>Perfil oficial. Promovemos y protegemos los #DerechosHumanos en _xD83C__xDDE6__xD83C__xDDF7__xD83C__xDDE7__xD83C__xDDF4__xD83C__xDDE7__xD83C__xDDF7__xD83C__xDDE8__xD83C__xDDF1__xD83C__xDDEA__xD83C__xDDE8__xD83C__xDDF5__xD83C__xDDFE__xD83C__xDDF5__xD83C__xDDEA__xD83C__xDDFA__xD83C__xDDFE_
Também tuitamos em português!
FB: ONUdh
#StandUp4HumanRights</t>
  </si>
  <si>
    <t>Oficina en México del Alto Comisionado de la @ONU_es para los Derechos Humanos. Defensa y promoción de los derechos de todas las personas.</t>
  </si>
  <si>
    <t>Organismo autónomo que protege, promueve, estudia y divulga los #DDHH de todas las personas en México. #OmbudspersonNacional Mtra. @RosarioPiedraIb</t>
  </si>
  <si>
    <t>Instituto Nacional de Migración</t>
  </si>
  <si>
    <t>Compa Palabrita</t>
  </si>
  <si>
    <t>https://t.co/qb2l6wZEmJ https://t.co/JDVuXtUW4G https://t.co/tIjLBmD8iX</t>
  </si>
  <si>
    <t>Fronterizo: MexCity, Beirut,Libya, B'Aires, Baghdad,L.A.-Tijuana,El Paso,Paterson, N.J. Immigrants' son.☘️Outta da Bronx. Ex-backpacker, NYDN copy boy. ❤️Syria.</t>
  </si>
  <si>
    <t>Galations 4:16 Gopnik IT Grad, Indie video editor, #Slav _xD83C__xDDE8__xD83C__xDDFF_ Intently watching the world go mad. _xD83D__xDE49__xD83D__xDE48__xD83D__xDE4A_ 8964✌_xD83C__xDFFB_https://t.co/09oxjsQkYn</t>
  </si>
  <si>
    <t>Este 2021 vamos a desenmascarar al tirano LOPEZ OBRADOR y a defender a MÈXICO _xD83C__xDDF2__xD83C__xDDFD_de la MALDICION que cayó encima el 2018 con MORENA</t>
  </si>
  <si>
    <t>Somos una empresa dedicada a la investigación en opinión pública. Conoce nuestro libro Mexicanos cara a cara. E-book gratis: https://t.co/9u7q4h2SFU</t>
  </si>
  <si>
    <t>ESL  retired teacher:: 40 years Teaching reading and writting. in English in Mexico, My passion!!</t>
  </si>
  <si>
    <t>Un portal de encuestas para medios. Una pregunta nos quita el sueño ¿Cómo somos los mexicanos?</t>
  </si>
  <si>
    <t>La información más actualizada sobre los temas relevantes de Tamaulipas, México y el mundo.</t>
  </si>
  <si>
    <t>Sociólogo marxista sonorense.</t>
  </si>
  <si>
    <t>Secretaría de la Defensa Nacional</t>
  </si>
  <si>
    <t>Apartidista, autónomo, independiente y colaborador de las causas justas. Adherente al zapatismo y a los concejos que se organicen abajo y a la izquierda</t>
  </si>
  <si>
    <t>Cuenta de la Presidencia del Gobierno de México.</t>
  </si>
  <si>
    <t>https://t.co/BTPLklYmQq Noticias _xD83D__xDCF0_ Multiplataforma, App: _xD83D__xDCF2_ https://t.co/4So9hz4T01: _xD83D__xDCF2_ _xD83D__xDCE4_Editor: @Gusmx2</t>
  </si>
  <si>
    <t>Chiapas, México.</t>
  </si>
  <si>
    <t>Lic. En Ciencias De La Comunicación, YouTuber,Presentador en SPL NOTICIAS, Fotógrafo,Diseñador,Cantante de música urbana.</t>
  </si>
  <si>
    <t>Psicopedagoga .miliciana . Leal siempre traidor nunca.</t>
  </si>
  <si>
    <t>Somos PULSO SUR, un medio de comunicación ubicado en la caribeña ciudad de Chetumal. ¡Llevamos la información hasta tu pantalla! _xD83C__xDFA5__xD83D__xDCF2_</t>
  </si>
  <si>
    <t>Chiapaneco, esposo, papá, Boxing Fan; Doctor en Educacion, con el deseo de lograr un Chiapas mas gusto con menor rezago y mas solidario</t>
  </si>
  <si>
    <t>El sexo débil es el que termina con una eyaculación precoz. #RedAMLO #AMLOver</t>
  </si>
  <si>
    <t>Cuenta de Twitter oficial. Sigue también a @LaJornada para noticias de la versión impresa.</t>
  </si>
  <si>
    <t>Imprudentísimo bachiller.
Dr. en ciencias políticas @UNAM_FCPyS
Mtro. en estudios sociales @UAM_Comunidad
Miembro del SNI (cand.)
Cuenta y opiniones personales</t>
  </si>
  <si>
    <t>A título Personal.</t>
  </si>
  <si>
    <t>Speaker of the House, focused on strengthening America's middle class and creating jobs; mother, grandmother, dark chocolate connoisseur.</t>
  </si>
  <si>
    <t>Republican Leader and Representative of California's 23rd District in the House of Representatives.</t>
  </si>
  <si>
    <t>We are fighting for a better, fairer, and brighter future for every American over at @TheDemocrats.</t>
  </si>
  <si>
    <t>Text FREEDOM to 80810 to receive exclusive updates from the Republican National Committee!</t>
  </si>
  <si>
    <t>46th President of the United States, husband to @FLOTUS, proud dad &amp; pop. Tweets may be archived: https://t.co/IURuMIrzxb</t>
  </si>
  <si>
    <t>Nado, ruedo, corro, vuelo y a veces me acelero</t>
  </si>
  <si>
    <t>Pronosticador y presentador del Tiempo. Fines de semana en @telediariomty. L - V por @mileniotv desde las 5am. Sábados en @telediario ☁⚡⛅ 100% Regiomontano ajúa</t>
  </si>
  <si>
    <t>Dirección de Prensa del Festival Internacional de Cine Guanajuato/Guanajuato International Film Festival @giffmx</t>
  </si>
  <si>
    <t>San Miguel de Allende, León e Irapuato | La XXIV edición se realizará del 17 al 26 de septiembre #GIFF2021</t>
  </si>
  <si>
    <t>Lilian y sus cuatro hijos buscan una vida mejor. Deciden dejar Guatemala y unirse a una caravana para llegar a Estados Unidos. Siendo esta su mejor opción.</t>
  </si>
  <si>
    <t>Ꮆσ∂ ιѕ gσσ∂ αℓℓ тнє тιмє ..._xD83C__xDF39__xD83C__xDF37__xD83C__xDF3A_</t>
  </si>
  <si>
    <t>Psicóloga, feliz con mis años vividos, disfruto a mi familia _xD83E__xDD70_</t>
  </si>
  <si>
    <t>Tampiqueño y jaibo de corazón!</t>
  </si>
  <si>
    <t>Aspiracionista permanente,porque un par de zapatos no es suficiente. Copywriter,pongo las palabras precisas donde no las hay.</t>
  </si>
  <si>
    <t>Soy un pasajero de la eternidad</t>
  </si>
  <si>
    <t>SOY SEAL// CIELO - MAR Y TIERRA. A DONDE TENGAMOS QUE IR Y A LA HORA QUE SEA, EN BUSCA DE LA HISTORIA Y DE LA VERDAD.</t>
  </si>
  <si>
    <t>Master.</t>
  </si>
  <si>
    <t>Regia 100%</t>
  </si>
  <si>
    <t>:-)</t>
  </si>
  <si>
    <t>Nací en Concepción del Oro, Zacatecas, el 10 de abril de 1960. Maestro de Primaria, Secundaria y de Educación Especial. Maestría en Administración Educativa.</t>
  </si>
  <si>
    <t>La vida es un camino de baldosas amarillas, en la que andamos en compañía de otros buscando nuestros sueños....</t>
  </si>
  <si>
    <t>Noticias del mundo del cine y la televisión.
Programa de radio dedicado al cine, todos los sábados a las 3 PM en Red Radio UdG.
IG: @7vicio
FB: @el7vicio</t>
  </si>
  <si>
    <t>vivo para servir para poder vivir... seguidor de Jesucristo, esposo, papá de 3 milagros ... Muy agradecido con Dios</t>
  </si>
  <si>
    <t>Ser mejor persona que ayer</t>
  </si>
  <si>
    <t>Rancho Humilde
Corridos tumbados
WHOLE LOTTA CLIKA SHIT _xD83D__xDC4C__xD83C__xDFFD_</t>
  </si>
  <si>
    <t>“La cuestión es: siempre hay una historia, tan solo tienes que encontrarla.”-Castle | _xD83C__xDF89_ 21 años | _xD83D__xDCFA_ Redactora de noticias para tv  | _xD83C__xDF0E_Regia</t>
  </si>
  <si>
    <t>YO ERA @TIGRE_TTN PERO PASÓ LA TRAGEDIA
EL FOLLOW CON FOLLOW SE PAGA _xD83D__xDC2F__xD83D__xDCAA__xD83C__xDFFF__xD83E__xDD18__xD83C__xDFFF_</t>
  </si>
  <si>
    <t>Psicoterapeuta del Niño y del Adolescente y Maestra de Matemáticas.</t>
  </si>
  <si>
    <t>24 años
FACDYC 
Rayado 
Ig alexcarreonmty</t>
  </si>
  <si>
    <t>Periodista / Investigaciones / Editora en Jefe @EjeCentral</t>
  </si>
  <si>
    <t>El portal de noticias y análisis político en México. Un nicho de información para quienes toman decisiones.</t>
  </si>
  <si>
    <t>Special Needs ☕_xD83C__xDF19_
_xD83C__xDDF2__xD83C__xDDFD_ 
uso mucho filtro _xD83D__xDE4C_ Instagram : samantha.ortg</t>
  </si>
  <si>
    <t>Abogada | Ex-a-Tec | Mi segunda carrera debió ser veterinaria pero hice un MBA | Nada me hace más feliz que reír a carcajadas | Catadora de chilaquiles.</t>
  </si>
  <si>
    <t>Orgullosamente UANL, IMSS desde el 2004, Gamer de los 90s,  Tigre de corazón !!!</t>
  </si>
  <si>
    <t>Politólogo UANL, Bachiller en Filósofía del Seminario de Mty, amante del buen humor, la historia, el fitness  y la política.</t>
  </si>
  <si>
    <t>Soldado de la 4t.</t>
  </si>
  <si>
    <t>Comunicador Social, Locutor Profesional, Publicista Profesional.</t>
  </si>
  <si>
    <t>escritor, buena persona,travelista, divertido,aventurero en especial lugares embrujados o abandonados , le encanta descubrir cosas de antes en todo sentido.</t>
  </si>
  <si>
    <t>Historiadora, indecisa, soñadora (mas de lo que quisiera) distraida, whovian, regia, etc, etc, etc</t>
  </si>
  <si>
    <t>Underground Productions &amp; Films CEO. Productor por obligación, Director por vocacion, Fotógrafo por pasión. NASCAR México 24/7</t>
  </si>
  <si>
    <t>+ #18 Años .NO Izquierda. No López _xD83C__xDDF2__xD83C__xDDFD_. NoMaduro _xD83C__xDDFB__xD83C__xDDEA_. No_xD83D__xDEAB_Porno. Cuenta de variedades eróticos, amor, ciencia  , Arte y Política .</t>
  </si>
  <si>
    <t>Soy de Monterrey, pero amo a Chivas _xD83D__xDC10_ ♥️
Y a él Real Madrid _xD83D__xDCAA__xD83C__xDFFC_</t>
  </si>
  <si>
    <t>Vagabundo me llaman por recorrer el mundo! viajero en el cosmos infinito! siempre en tu busca, en pos de tu corazón!!!  #VoyagerCosmic</t>
  </si>
  <si>
    <t>Rayado&amp;Rossoneri de _xD83D__xDC99__xD83E__xDD0D_ ❤_xD83D__xDDA4_</t>
  </si>
  <si>
    <t>30 años. ⚙️ Ingeniero en Electrónica y Automatización. _xD83D__xDCCA_ Maestro en Administración.</t>
  </si>
  <si>
    <t>#Podacast Deseando el bien Social para todo mundo</t>
  </si>
  <si>
    <t>Ayrton_xD83D__xDE0D_❤</t>
  </si>
  <si>
    <t>Siempre hay que sonreír Always smile!</t>
  </si>
  <si>
    <t>Regio y zurdo. Rockero y tatuado. Arqui tóxico #Rayados #gopackgo _xD83E__xDDC0_ _xD83E__xDDC0_ . Nuestra existencia se resume a matemáticas.</t>
  </si>
  <si>
    <t>Directora ejecutiva de @ImpunidadCeroMX| Escribo en @El_Universal_Mx y @RevistaEstePais| ex @UNAM_MX @nyuniversity #Fulbright | https://t.co/DOxfmCMJjy</t>
  </si>
  <si>
    <t>Abolicionista del amparo. 
Una vez apuñalé un cactus con un maguey. 
Atiendo el changarro del Pro Bono en @GT_law.
_xD83D__xDEB2__xD83C__xDF3F__xD83D__xDC9A_</t>
  </si>
  <si>
    <t>Meet new people</t>
  </si>
  <si>
    <t>Escritor y lector...lo demás es vanidad!
Contacto: borgestom@yahoo.com.mx
#DiarioDeUnAgenteEncubierto #MaquiaveloParaNarcos
#ElPequeñoDictadorQueLlevamosDentro</t>
  </si>
  <si>
    <t>Caricaturista (monero) en el periódico @Reforma y revista @emeequis</t>
  </si>
  <si>
    <t>Periodista, documentalista, politólogo y viajero. 
New book "Killing The Story" _xD83D__xDC49_ https://t.co/BZix35NO3Z
https://t.co/BgDeXa7ucv IG @temoris https://t.co/QdasOun2Hg</t>
  </si>
  <si>
    <t>Oxaqueño y pastor de _xD83D__xDC10_</t>
  </si>
  <si>
    <t>#VideoJournalist #Freelance #Fixer #LocalProducer #FronteraSur #México y #Guatemala</t>
  </si>
  <si>
    <t>Apasionado por la música...esposo de Liliana, padre, músico profesional,  docente y temeroso de Jehova Dios!!!..._xD83C__xDDEE__xD83C__xDDF9_ MX</t>
  </si>
  <si>
    <t>nb trans girl She/they  Furry Artist   _xD83C__xDFF3_️‍_xD83C__xDF08_ trans rights are human rights profile pic by @Justrightpup</t>
  </si>
  <si>
    <t>El verdadero periodismo es intencional… Se fija un objetivo e intenta provocar algún tipo de cambio...Ryszard Kapuscinski</t>
  </si>
  <si>
    <t>give a like does not necessarily mean that I agree everything is a simpler way to share without complications,</t>
  </si>
  <si>
    <t>Somos un tejido de medios libres que busca articular las labores de comunicación que realizamos desde y con las luchas de los pueblos en México y el mundo.</t>
  </si>
  <si>
    <t>Promuevo la soberanía nacional y la identidad mexicana.</t>
  </si>
  <si>
    <t>Contador Público, Trabajo en Daná de México S.A. de C.V.  Neoleonesa.</t>
  </si>
  <si>
    <t>#OncesDeLaNoche... siempre
Twtr inseguridad y Politiquería
Nomas el gusto _xD83C__xDFA5__xD83D__xDCF8__xD83D__xDEA8_</t>
  </si>
  <si>
    <t>TV @adn40 (10-11pm). Radio @MVSNoticias (1-3pm). Columna @HeraldoDeMexico. Le voy al Necaxa ⚡️</t>
  </si>
  <si>
    <t>#RadioLibre Ex RO-H99 y @radioZapote, excoordinador del área de comunicación en @tlachinollan, escribo en @Avispa_Midia</t>
  </si>
  <si>
    <t>Miradas al margen es un esfuerzo colaborativo de comunicadores populares, su principal objetivo es realizar un ejercicio de preservación de la memoria.</t>
  </si>
  <si>
    <t>No society wants you become wise. it is against the investment of all societies. If people are wise they cannot be forced into a mechanical life, to live...</t>
  </si>
  <si>
    <t>El primer canal de TV ruso en español con alcance mundial. Les brindamos las noticias que realmente importan. Lo más relevante del panorama internacional, en RT</t>
  </si>
  <si>
    <t>Interests: Science, Economics, Human Behaviour, Data, Environment, Politics, Linguistics &amp; Travel</t>
  </si>
  <si>
    <t>Opinión y análisis desde un punto de vista objetivo, crítico y veraz. Videojuegos | Tecnología | TV | Cine | Cultura | Contáctanos en hola@versusmedia.mx</t>
  </si>
  <si>
    <t>Latino scientist based in Europe. Doctorate in telecomm engineering from NYU.
Científico DOM radicado en Europa. Doctorado en ingeniería de la Univ. de New York</t>
  </si>
  <si>
    <t>ESTOY CON RAMFISDT.2024?</t>
  </si>
  <si>
    <t>"Si el hombre es (dueño) de la posibilidad de superar para siempre la miseria, la enfermedad, la ignorancia ¿por qué no cruzar el umbral?".</t>
  </si>
  <si>
    <t>Graz, Austria</t>
  </si>
  <si>
    <t>Washington, DC</t>
  </si>
  <si>
    <t>Ciudad de México</t>
  </si>
  <si>
    <t>México</t>
  </si>
  <si>
    <t>Distrito Federal, México</t>
  </si>
  <si>
    <t>Chiapas, México</t>
  </si>
  <si>
    <t>Abajo y a la izquierda</t>
  </si>
  <si>
    <t>Cerco soci* per emigrare</t>
  </si>
  <si>
    <t>Poza Rica de Hidalgo, Veracruz</t>
  </si>
  <si>
    <t>México DF</t>
  </si>
  <si>
    <t>Tamaulipas, México</t>
  </si>
  <si>
    <t>Bellano, Lombardia</t>
  </si>
  <si>
    <t>Los Angeles, CA</t>
  </si>
  <si>
    <t>Colima, México</t>
  </si>
  <si>
    <t xml:space="preserve">México </t>
  </si>
  <si>
    <t>In The Matrix</t>
  </si>
  <si>
    <t>Italia</t>
  </si>
  <si>
    <t>United States</t>
  </si>
  <si>
    <t>steek hutzee</t>
  </si>
  <si>
    <t>San Bruno, CA</t>
  </si>
  <si>
    <t>CANCUN &amp; CDMX.</t>
  </si>
  <si>
    <t>D.F. México</t>
  </si>
  <si>
    <t>Via Fontanellato 69 Roma</t>
  </si>
  <si>
    <t>Cavallino-Treporti, Veneto</t>
  </si>
  <si>
    <t>Earth</t>
  </si>
  <si>
    <t>POLITICA &amp; FEMINISMO</t>
  </si>
  <si>
    <t>Mx</t>
  </si>
  <si>
    <t>México D. F.</t>
  </si>
  <si>
    <t>Hermosillo, Sonora.</t>
  </si>
  <si>
    <t>Mexico, ME</t>
  </si>
  <si>
    <t>Guarico Venezuela</t>
  </si>
  <si>
    <t>Chetumal, Quintana Roo.</t>
  </si>
  <si>
    <t>Tuxtla Gutierrez, Chiapas</t>
  </si>
  <si>
    <t>San Francisco</t>
  </si>
  <si>
    <t>Bakersfield, CA</t>
  </si>
  <si>
    <t>MTY/GUA</t>
  </si>
  <si>
    <t>Monterrey, México</t>
  </si>
  <si>
    <t>Guanajuato, México</t>
  </si>
  <si>
    <t>Monterrey, Nuevo León,  México</t>
  </si>
  <si>
    <t xml:space="preserve"> segundo crater de la luna </t>
  </si>
  <si>
    <t>Monterrey,México</t>
  </si>
  <si>
    <t>Mount King, New Lion</t>
  </si>
  <si>
    <t>guadalupe NL</t>
  </si>
  <si>
    <t xml:space="preserve">San Nicolás de los Garza, N L </t>
  </si>
  <si>
    <t xml:space="preserve">Guadalajara </t>
  </si>
  <si>
    <t>Torreon, Mexico</t>
  </si>
  <si>
    <t>Escobedo</t>
  </si>
  <si>
    <t xml:space="preserve">San Pedro Garza García, Nuevo </t>
  </si>
  <si>
    <t>Cancún, Quintana Roo</t>
  </si>
  <si>
    <t>Guadalupe, Nuevo León</t>
  </si>
  <si>
    <t>MEXICO</t>
  </si>
  <si>
    <t>Juárez, Nuevo León</t>
  </si>
  <si>
    <t>Monterrey, NL</t>
  </si>
  <si>
    <t>monterrey</t>
  </si>
  <si>
    <t>Ciudad de Guatemala</t>
  </si>
  <si>
    <t>The best for a Picture</t>
  </si>
  <si>
    <t>Monterrey, Nuevo León. México.</t>
  </si>
  <si>
    <t>Washington DC</t>
  </si>
  <si>
    <t xml:space="preserve">Desde el cerro de la silla </t>
  </si>
  <si>
    <t>La muy noble y muy leal.</t>
  </si>
  <si>
    <t xml:space="preserve">Desde un lugar del inframundo </t>
  </si>
  <si>
    <t>Mexico City</t>
  </si>
  <si>
    <t>Coyoacán, Distrito Federal</t>
  </si>
  <si>
    <t>Chiapas. México</t>
  </si>
  <si>
    <t>Cuernavaca, Morelos</t>
  </si>
  <si>
    <t>Monterrey N.L.</t>
  </si>
  <si>
    <t>Cuauhtémoc, Distrito Federal</t>
  </si>
  <si>
    <t>New York, NY</t>
  </si>
  <si>
    <t>Open Twitter Page for This Person</t>
  </si>
  <si>
    <t>rravelo27
͏ ͏ ͏ ╭╮ ┋┋ ┣_xD83C__xDF0E_#AstilleroINFORMA✅
┋┋_xD83D__xDC49_@julioastillero_xD83D__xDEA2_ ┛┗ _xD83D__xDFE5_1a3pm_xD83D__xDFEA_LUN_xD83C__xDD70_️VIE
͏ H⭕️Y_xD83D__xDC49_JUEVES #MesaSEGURA _xD83D__xDDE3_ _xD83D__xDC47_
_xD83D__xDDE3_@GCorreaCabrera _xD83D__xDDE3_@roncoblu _xD83D__xDDE3_@RRAvelo27
_xD83D__xDFE2_#ENvivo✅ _xD83D__xDC49_YT▶️https://t.co/YgayeW4Xp6
#MIGRACION #caravanamigrante _xD83D__xDC49_https://t.co/DszHKZiwM9_xD83D__xDC48_
͏ ͏ . https://t.co/Kkzuxn8LmK https://t.co/PadyPYAdxL</t>
  </si>
  <si>
    <t xml:space="preserve">roncoblu
</t>
  </si>
  <si>
    <t>gcorreacabrera
͏ ͏ ͏ ╭╮ ┋┋ ┣_xD83C__xDF0E_#AstilleroINFORMA✅
┋┋_xD83D__xDC49_@julioastillero_xD83D__xDEA2_ ┛┗ _xD83D__xDFE5_1a3pm_xD83D__xDFEA_LUN_xD83C__xDD70_️VIE
͏ H⭕️Y_xD83D__xDC49_JUEVES #MesaSEGURA _xD83D__xDDE3_ _xD83D__xDC47_
_xD83D__xDDE3_@GCorreaCabrera _xD83D__xDDE3_@roncoblu _xD83D__xDDE3_@RRAvelo27
_xD83D__xDFE2_#ENvivo✅ _xD83D__xDC49_YT▶️https://t.co/YgayeW4Xp6
#MIGRACION #caravanamigrante _xD83D__xDC49_https://t.co/DszHKZiwM9_xD83D__xDC48_
͏ ͏ . https://t.co/Kkzuxn8LmK https://t.co/PadyPYAdxL</t>
  </si>
  <si>
    <t>julioastillero
͏ ͏ ͏ ╭╮ ┋┋ ┣_xD83C__xDF0E_#AstilleroINFORMA✅
┋┋_xD83D__xDC49_@julioastillero_xD83D__xDEA2_ ┛┗ _xD83D__xDFE5_1a3pm_xD83D__xDFEA_LUN_xD83C__xDD70_️VIE
͏ H⭕️Y_xD83D__xDC49_JUEVES #MesaSEGURA _xD83D__xDDE3_ _xD83D__xDC47_
_xD83D__xDDE3_@GCorreaCabrera _xD83D__xDDE3_@roncoblu _xD83D__xDDE3_@RRAvelo27
_xD83D__xDFE2_#ENvivo✅ _xD83D__xDC49_YT▶️https://t.co/YgayeW4Xp6
#MIGRACION #caravanamigrante _xD83D__xDC49_https://t.co/DszHKZiwM9_xD83D__xDC48_
͏ ͏ . https://t.co/Kkzuxn8LmK https://t.co/PadyPYAdxL</t>
  </si>
  <si>
    <t>comoleerenbici
͏ ͏ ͏ ╭╮ ┋┋ ┣_xD83C__xDF0E_#AstilleroINFORMA✅
┋┋_xD83D__xDC49_@julioastillero_xD83D__xDEA2_ ┛┗ _xD83D__xDFE5_1a3pm_xD83D__xDFEA_LUN_xD83C__xDD70_️VIE
͏ H⭕️Y_xD83D__xDC49_JUEVES #MesaSEGURA _xD83D__xDDE3_ _xD83D__xDC47_
_xD83D__xDDE3_@GCorreaCabrera _xD83D__xDDE3_@roncoblu _xD83D__xDDE3_@RRAvelo27
_xD83D__xDFE2_#ENvivo✅ _xD83D__xDC49_YT▶️https://t.co/YgayeW4Xp6
#MIGRACION #caravanamigrante _xD83D__xDC49_https://t.co/DszHKZiwM9_xD83D__xDC48_
͏ ͏ . https://t.co/Kkzuxn8LmK https://t.co/PadyPYAdxL</t>
  </si>
  <si>
    <t>vim_media
“We are migrants, we are not criminals!”
Central American, Venezuelan &amp;amp;
Haitian migrants continue to make
their way through #Chiapas, Mexico
as the Mexican National Guard attempts
to stop them. Solidarity with all
migrants! ✊_xD83C__xDFFF_❤️_xD83C__xDFA5_: @Darinelzacarias
#CaravanaMigrante https://t.co/sJWMRlCBln</t>
  </si>
  <si>
    <t xml:space="preserve">darinelzacarias
</t>
  </si>
  <si>
    <t>dontreadthis97
“We are migrants, we are not criminals!”
Central American, Venezuelan &amp;amp;
Haitian migrants continue to make
their way through #Chiapas, Mexico
as the Mexican National Guard attempts
to stop them. Solidarity with all
migrants! ✊_xD83C__xDFFF_❤️_xD83C__xDFA5_: @Darinelzacarias
#CaravanaMigrante https://t.co/sJWMRlCBln</t>
  </si>
  <si>
    <t>carminamontesi2
͏ ͏ ͏ ╭╮ ┋┋ ┣_xD83C__xDF0E_#AstilleroINFORMA✅
┋┋_xD83D__xDC49_@julioastillero_xD83D__xDEA2_ ┛┗ _xD83D__xDFE5_1a3pm_xD83D__xDFEA_LUN_xD83C__xDD70_️VIE
͏ H⭕️Y_xD83D__xDC49_JUEVES #MesaSEGURA _xD83D__xDDE3_ _xD83D__xDC47_
_xD83D__xDDE3_@GCorreaCabrera _xD83D__xDDE3_@roncoblu _xD83D__xDDE3_@RRAvelo27
_xD83D__xDFE2_#ENvivo✅ _xD83D__xDC49_YT▶️https://t.co/YgayeW4Xp6
#MIGRACION #caravanamigrante _xD83D__xDC49_https://t.co/DszHKZiwM9_xD83D__xDC48_
͏ ͏ . https://t.co/Kkzuxn8LmK https://t.co/PadyPYAdxL</t>
  </si>
  <si>
    <t>cbarrachina1
La reflexión sobre #migrantes,
#caravanamigrante y #crimenorganizado
acaba de ser publicado en el medio
venezolano Tal Cual. https://t.co/S8vriLMe7y</t>
  </si>
  <si>
    <t>annamaribel4
#Messico | Ciò che sta succedendo
nei pressi di Tapachula è inquietante:
dopo aver dissolto con violenze
e deportazioni le #caravanamigrante,
GN e INM danno la caccia ai migranti,
negli hotel, per strada, nei taxi.
È una spietata caccia all’uomo!
https://t.co/wGSkrwiZXG</t>
  </si>
  <si>
    <t>chrispeverieri
#FronteraSur | Dopo il fallimento
delle #caravanamigrante dissolte
con la forza dalle autorità, i
migranti centro americani e haitiani
cominciano a percorrere altri itinerari
per arrivare negli USA. Diminuisce
la presenza di migranti a Tapachula
#Mexico https://t.co/lZfaaUCHGb</t>
  </si>
  <si>
    <t>svirgola2
#Messico | Ciò che sta succedendo
nei pressi di Tapachula è inquietante:
dopo aver dissolto con violenze
e deportazioni le #caravanamigrante,
GN e INM danno la caccia ai migranti,
negli hotel, per strada, nei taxi.
È una spietata caccia all’uomo!
https://t.co/wGSkrwiZXG</t>
  </si>
  <si>
    <t>cokteleria
El club rotario y rotaract Por
amor a las calles #PozaRica entregó
1788 comidas calientes entre la
población de #PozaRica #Tihuatlan
#Papantla #Coatzintla #Cazones
#Distrito4185 #HuracanGrace #CaravanaMigrante
#ServirParaCambiarVida https://t.co/RWJmJsS0m6</t>
  </si>
  <si>
    <t>bauzaoficial
El club rotario y rotaract Por
amor a las calles #PozaRica entregó
1788 comidas calientes entre la
población de #PozaRica #Tihuatlan
#Papantla #Coatzintla #Cazones
#Distrito4185 #HuracanGrace #CaravanaMigrante
#ServirParaCambiarVida https://t.co/RWJmJsS0m6</t>
  </si>
  <si>
    <t>obritob
Realizan velada migrantes en Tapachula,
para pedir a Dios que las autoridades
los dejen seguir su camino a EU.
Colocaron velas a los pies de Benito
Juárez en el centro de este municipio
de Chiapas... #caravanamigrante
https://t.co/av4wo2KmoX</t>
  </si>
  <si>
    <t>mexnewztam
Detectan #COVID en 20% de pruebas
realizadas a #Migrantes | #Estados
#Nacional #México #COVID19 #CaravanaMigrante
#COVIDMigrantes https://t.co/Bhc5A2NVuW
https://t.co/oqEag6OZtv</t>
  </si>
  <si>
    <t>mexnewz
#México y #Haití establecen mesa
de #Diálogo por #Migrantes | #Nacional
#Internacional #Migración #CaravanaMigrante
https://t.co/28EUVZ14sU https://t.co/9XeI1lYcts</t>
  </si>
  <si>
    <t>albypiero
#FronteraSur | «Il flusso migratorio
è straripato, cercano di evitare
di cadere nelle mani delle autorità
migratorie messicane che li obbligano
a fermarsi a Tapachula, ribattezzata
città-carcere». #Messico #CaravanaMigrante
https://t.co/Mx5YCbGU2Z</t>
  </si>
  <si>
    <t>actingcbp
Detectan #COVID en 20% de pruebas
realizadas a #Migrantes | #Estados
#Nacional #México #COVID19 #CaravanaMigrante
#COVIDMigrantes https://t.co/zVk92VcRAc
https://t.co/whuK65bvZb</t>
  </si>
  <si>
    <t>infomediamx4
#Nacionales #CaravanaMigrante Muere
atropellada una menor que viajaba
con un grupo de migrantes ▶️ https://t.co/tJ2E5vfRKz
https://t.co/QnMKoy2mVI</t>
  </si>
  <si>
    <t>cesar_alonso__
Cientos de #migrantes en lugar
de seguir la ruta de la costa,
hacia Huixtla y Mapastepec, donde
al menos cuatro caravanas fueron
disueltas con #violencia a principios
de este mes, ahora optan por rutas
más riesgosas como el de la Frailesca
de #Chiapas. #CaravanaMigrante
_xD83E__xDDF5__xD83D__xDC47__xD83C__xDFFB_ https://t.co/MuBpDZByBo</t>
  </si>
  <si>
    <t>eunicerendon
“Muchos somos extorsionados por
#policías estatales y municipales,
choferes de mototaxis, colectivos,
incluso, en los hoteles nos suben
el costo por los servicios” migrante
haitiano. #CaravanaMigrante</t>
  </si>
  <si>
    <t>agendamigrante
Cientos de #migrantes en lugar
de seguir la ruta de la costa,
hacia Huixtla y Mapastepec, donde
al menos cuatro caravanas fueron
disueltas con #violencia a principios
de este mes, ahora optan por rutas
más riesgosas como el de la Frailesca
de #Chiapas. #CaravanaMigrante
_xD83E__xDDF5__xD83D__xDC47__xD83C__xDFFB_ https://t.co/MuBpDZByBo</t>
  </si>
  <si>
    <t>viral_mx
Cientos de #migrantes en lugar
de seguir la ruta de la costa,
hacia Huixtla y Mapastepec, donde
al menos cuatro caravanas fueron
disueltas con #violencia a principios
de este mes, ahora optan por rutas
más riesgosas como el de la Frailesca
de #Chiapas. #CaravanaMigrante
_xD83E__xDDF5__xD83D__xDC47__xD83C__xDFFB_ https://t.co/MuBpDZByBo</t>
  </si>
  <si>
    <t>real_marquis
#JoeBiden has already killed more
kids than #COVID19 ... and it's
Week #28 in Delaware ... #USA #Haitians
#GeorgeSoros #globalism #BorderCrisis
#migrants #GeoFence #caravanamigrante
#Invasion @RealJamesWoods https://t.co/wJjVujAYkU</t>
  </si>
  <si>
    <t xml:space="preserve">catturd2
</t>
  </si>
  <si>
    <t>luisglez33
Cientos de #migrantes en lugar
de seguir la ruta de la costa,
hacia Huixtla y Mapastepec, donde
al menos cuatro caravanas fueron
disueltas con #violencia a principios
de este mes, ahora optan por rutas
más riesgosas como el de la Frailesca
de #Chiapas. #CaravanaMigrante
_xD83E__xDDF5__xD83D__xDC47__xD83C__xDFFB_ https://t.co/MuBpDZByBo</t>
  </si>
  <si>
    <t>rmilell66
#FronteraSur | Migliaia di migranti
e richiedenti asilo intrappolati
dal fallimento del sistema di asilo.
Qui la mia intervista per @MeltingPotEU
a Nimsi Arroyo, albergue Hospitalidad
y Solidaridad di #Tapachula #Mexico
#CaravanaMigrante https://t.co/TaTf4yw6VC</t>
  </si>
  <si>
    <t>meltingpoteu
#FronteraSur | Migliaia di migranti
e richiedenti asilo intrappolati
dal fallimento del sistema di asilo.
Qui la mia intervista per @MeltingPotEU
a Nimsi Arroyo, albergue Hospitalidad
y Solidaridad di #Tapachula #Mexico
#CaravanaMigrante https://t.co/TaTf4yw6VC</t>
  </si>
  <si>
    <t>jcmnuevoleon
La migración es natural, no ilegal.
Defendamos el derecho de nuestrxs
hermanxs a una vida plena y libre
de violencia #CaravanaMigrante
Adelante! https://t.co/q4iNlzb7OT</t>
  </si>
  <si>
    <t>eliphaleth
La migración es natural, no ilegal.
Defendamos el derecho de nuestrxs
hermanxs a una vida plena y libre
de violencia #CaravanaMigrante
Adelante! https://t.co/q4iNlzb7OT</t>
  </si>
  <si>
    <t xml:space="preserve">realjameswoods
</t>
  </si>
  <si>
    <t>gardenpeace9
#JoeBiden has already killed more
kids than #COVID19 ... and it's
Week #28 in Delaware ... #USA #Haitians
#GeorgeSoros #globalism #BorderCrisis
#migrants #GeoFence #caravanamigrante
#Invasion @RealJamesWoods https://t.co/wJjVujAYkU</t>
  </si>
  <si>
    <t>pdpagina
_xD83D__xDD38_ 1. AL inicio de la semana, la
#CaravanaMigrante se topó no solo
con el cerco de la @GN_MEXICO_,
sino con un sistema migratorio
corrupto y colapsado. Aquí una
#crónica de @AngelesMariscal https://t.co/I3UUzeaxeO</t>
  </si>
  <si>
    <t xml:space="preserve">angelesmariscal
</t>
  </si>
  <si>
    <t>pepepareja
#Tapachula #Chiapas #FronteraSur
#Migrantes #Migración #CaravanaMigrante
#CaravanaDeMigrantes https://t.co/VzKlZuJjTn</t>
  </si>
  <si>
    <t xml:space="preserve">gn_mexico_
</t>
  </si>
  <si>
    <t>isain
#Tapachula #Chiapas #FronteraSur
#Migrantes #Migración #CaravanaMigrante
#CaravanaDeMigrantes https://t.co/VzKlZuJjTn</t>
  </si>
  <si>
    <t>dalealplaymx
#Migrantes #CaravanaMigrante #Noticias
#Tamaulipas #Zacatecas #EstadosUnidos
#Muro #Reynosa Migrantes haitianos
desafían peligro y llegan a Tamaulipas
https://t.co/yNcqvzU11K a través
de @YouTube</t>
  </si>
  <si>
    <t xml:space="preserve">youtube
</t>
  </si>
  <si>
    <t>foforo99
#Pregunta seria para @CNDH: ¿SERVIDORES
PUBLICOS del @INAMI_mx tiene AUTORIZADO
el uso de ARMAS (no letales como
pistolas de descarga eléctrica)
para el cumplimiento de sus funciones
y obligaciones ❓_xD83E__xDD14__xD83D__xDE44_ #CaravanaMigrante
cc. @ONUDHmexico @ONU_derechos
https://t.co/nHDqnz80Dg</t>
  </si>
  <si>
    <t xml:space="preserve">onu_derechos
</t>
  </si>
  <si>
    <t xml:space="preserve">onudhmexico
</t>
  </si>
  <si>
    <t xml:space="preserve">cndh
</t>
  </si>
  <si>
    <t xml:space="preserve">inami_mx
</t>
  </si>
  <si>
    <t>palabritadepape
#FronteraSur | Migliaia di migranti
e richiedenti asilo intrappolati
dal fallimento del sistema di asilo.
Qui la mia intervista per @MeltingPotEU
a Nimsi Arroyo, albergue Hospitalidad
y Solidaridad di #Tapachula #Mexico
#CaravanaMigrante https://t.co/in5nQy2nk6</t>
  </si>
  <si>
    <t>cheguevararoma
#FronteraSur | Migliaia di migranti
e richiedenti asilo intrappolati
dal fallimento del sistema di asilo.
Qui la mia intervista per @MeltingPotEU
a Nimsi Arroyo, albergue Hospitalidad
y Solidaridad di #Tapachula #Mexico
#CaravanaMigrante https://t.co/in5nQy2nk6</t>
  </si>
  <si>
    <t>fraespoesposito
#FronteraSur | Migliaia di migranti
e richiedenti asilo intrappolati
dal fallimento del sistema di asilo.
Qui la mia intervista per @MeltingPotEU
a Nimsi Arroyo, albergue Hospitalidad
y Solidaridad di #Tapachula #Mexico
#CaravanaMigrante https://t.co/in5nQy2nk6</t>
  </si>
  <si>
    <t>pmcdonnelllat
#CaravanaMigrante Buses of migrants
arrive wait to get into shelter
in #Tijuana. Video: Liliana Nieto
Del Río. https://t.co/pAgdEui47u</t>
  </si>
  <si>
    <t>gopnik_slavic
#CaravanaMigrante Buses of migrants
arrive wait to get into shelter
in #Tijuana. Video: Liliana Nieto
Del Río. https://t.co/pAgdEui47u</t>
  </si>
  <si>
    <t>anaschwarz
36% tiene una buena opinión de
los migrantes centroamericanos;
39.9% tiene una mala opinión. https://t.co/jmErc3Ilec
#CaravanaMigrante https://t.co/PEiPTn8LRO</t>
  </si>
  <si>
    <t>gabinetemex
31.5% opina que las autoridades
mexicanas actúan con exceso de
violencia ante la #CaravanaMigrante
y los migrantes centroamericanos.
https://t.co/jmErc3Ilec https://t.co/W1pPD23d00</t>
  </si>
  <si>
    <t>dianadi58
56.1% está de acuerdo en que se
les impida el paso a los migrantes
centroamericanos que encabezan
la #CaravanaMigrante; 36.5% en
desacuerdo. https://t.co/jmErc3Ilec
https://t.co/xMyUw1UFXd</t>
  </si>
  <si>
    <t>kaleydoscopio1
78% tiene conocimiento sobre la
#CaravanaMigrante en la frontera
sur de México; 21.7% desconoce
el tema. https://t.co/jmErc3Ilec
https://t.co/HirOuWIwKK</t>
  </si>
  <si>
    <t>azteca_tamps
#CaravanaMigrante Este fin de semana
más de 200 haitianos que pernoctaron
en #SanFernando #Tamaulipas iniciaron
su travesía en caravana hacia la
frontera de #Reynosa https://t.co/FdqMwIn2sV</t>
  </si>
  <si>
    <t>alexvalan
1. Durante esta madrugada la @SEDENAmx
detuvo el paso de la #CaravanaMigrante
en Tamaulipas. Los migrantes fueron
bajados de los camiones en que
viajaban y fueron obligados a caminar
ni más ni menos que en San Fernando,
Tamaulipas.</t>
  </si>
  <si>
    <t xml:space="preserve">sedenamx
</t>
  </si>
  <si>
    <t>leav_11
1. Durante esta madrugada la @SEDENAmx
detuvo el paso de la #CaravanaMigrante
en Tamaulipas. Los migrantes fueron
bajados de los camiones en que
viajaban y fueron obligados a caminar
ni más ni menos que en San Fernando,
Tamaulipas.</t>
  </si>
  <si>
    <t>gaboku_hirako
Repugnante, están violentando DH
y AMLO diciendo que sólo eran dos.
#caravanamigrante #haitianos https://t.co/SLaSOb7NTc</t>
  </si>
  <si>
    <t>danielascalante
#CaravanaMigrante #TravesiaPorLaVida
#EZLN https://t.co/mVMVtm2qT4</t>
  </si>
  <si>
    <t>ccc9012
Un salvoconducto por 20 días está
otorgando el @GobiernoMX por medio
del @INAMI_mx, a personas que han
llegado a #TuxtlaGutiérrez procedentes
principalmente de #Haití. #CaravanaMigrante
https://t.co/5SsgItFE7z</t>
  </si>
  <si>
    <t xml:space="preserve">gobiernomx
</t>
  </si>
  <si>
    <t>alertachiapas
Un salvoconducto por 20 días está
otorgando el @GobiernoMX por medio
del @INAMI_mx, a personas que han
llegado a #TuxtlaGutiérrez procedentes
principalmente de #Haití. #CaravanaMigrante
https://t.co/5SsgItFE7z</t>
  </si>
  <si>
    <t>adriana_yafa
Un salvoconducto por 20 días está
otorgando el @GobiernoMX por medio
del @INAMI_mx, a personas que han
llegado a #TuxtlaGutiérrez procedentes
principalmente de #Haití. #CaravanaMigrante
https://t.co/5SsgItFE7z</t>
  </si>
  <si>
    <t>gclementej
Un salvoconducto por 20 días está
otorgando el @GobiernoMX por medio
del @INAMI_mx, a personas que han
llegado a #TuxtlaGutiérrez procedentes
principalmente de #Haití. #CaravanaMigrante
https://t.co/5SsgItFE7z</t>
  </si>
  <si>
    <t>samuelspl
https://t.co/JzJNWeiB7b #Migrantes
#Migracion #MigrantesHaitianos
#CaravanaMigrante</t>
  </si>
  <si>
    <t>rodrigezthayri
#FronteraSur | Dopo il fallimento
delle #caravanamigrante dissolte
con la forza dalle autorità, i
migranti centro americani e haitiani
cominciano a percorrere altri itinerari
per arrivare negli USA. Diminuisce
la presenza di migranti a Tapachula
#Mexico https://t.co/lZfaaUCHGb</t>
  </si>
  <si>
    <t>morgantux91
Un salvoconducto por 20 días está
otorgando el @GobiernoMX por medio
del @INAMI_mx, a personas que han
llegado a #TuxtlaGutiérrez procedentes
principalmente de #Haití. #CaravanaMigrante
https://t.co/5SsgItFE7z</t>
  </si>
  <si>
    <t>surpulso
#EstadosUnidos cierra su #frontera
para frenar el cruce de más #migrantes.
#MigrationEU #Migrantes #Haiti
#Haitianmigrants #haitianos #caravanamigrante
https://t.co/aDJ8zRwRor</t>
  </si>
  <si>
    <t>educhiapas
Un salvoconducto por 20 días está
otorgando el @GobiernoMX por medio
del @INAMI_mx, a personas que han
llegado a #TuxtlaGutiérrez procedentes
principalmente de #Haití. #CaravanaMigrante
https://t.co/5SsgItFE7z</t>
  </si>
  <si>
    <t>pirubruja
Las tamaulipecas ya empezaron a
presumir sus noviazgos con los
#haitianos. Esto se va a descontrolar.
_xD83D__xDC76__xD83C__xDFFF_ #Reynosa #Acuña #Haití #Migrantes
#Viral #Tamaulipas #Golosas #CaravanaMigrante
https://t.co/uJ0F5qljQI</t>
  </si>
  <si>
    <t>belicejp
.@INAMI_mx envió a #Chiapas, por
avión, a 120 #migrantes originarios
de #Haití que formaron parte de
la #CaravanaMigrante que llegó
durante la semana y el pasado fin
de semana a Acuña, en la frontera
con Del Río, Texas. https://t.co/biPBr8C9hS</t>
  </si>
  <si>
    <t>lajornadaonline
.@INAMI_mx envió a #Chiapas, por
avión, a 120 #migrantes originarios
de #Haití que formaron parte de
la #CaravanaMigrante que llegó
durante la semana y el pasado fin
de semana a Acuña, en la frontera
con Del Río, Texas. https://t.co/biPBr8C9hS</t>
  </si>
  <si>
    <t>antonio69111557
.@INAMI_mx envió a #Chiapas, por
avión, a 120 #migrantes originarios
de #Haití que formaron parte de
la #CaravanaMigrante que llegó
durante la semana y el pasado fin
de semana a Acuña, en la frontera
con Del Río, Texas. https://t.co/biPBr8C9hS</t>
  </si>
  <si>
    <t>joel_fm_
.@INAMI_mx envió a #Chiapas, por
avión, a 120 #migrantes originarios
de #Haití que formaron parte de
la #CaravanaMigrante que llegó
durante la semana y el pasado fin
de semana a Acuña, en la frontera
con Del Río, Texas. https://t.co/biPBr8C9hS</t>
  </si>
  <si>
    <t>artemioac
.@INAMI_mx envió a #Chiapas, por
avión, a 120 #migrantes originarios
de #Haití que formaron parte de
la #CaravanaMigrante que llegó
durante la semana y el pasado fin
de semana a Acuña, en la frontera
con Del Río, Texas. https://t.co/biPBr8C9hS</t>
  </si>
  <si>
    <t>amerigospot
#FronteraSur | Dopo il fallimento
delle #caravanamigrante dissolte
con la forza dalle autorità, i
migranti centro americani e haitiani
cominciano a percorrere altri itinerari
per arrivare negli USA. Diminuisce
la presenza di migranti a Tapachula
#Mexico https://t.co/lZfaaUCHGb</t>
  </si>
  <si>
    <t>jay00291440
@POTUS WHAT HAPPENDED NO WORDS
FOR CHINA??? CHASTISING ISRAEL,
TALK WITH HAMAS??? FAILURE You
are already a LAME DUCK President
We Democrats will be run out in
2022. FAILED @GOP @DNC @GOPLeader
@SpeakerPelosi #DelRioBridge #BorderCrisis
#CaravanaMigrante</t>
  </si>
  <si>
    <t xml:space="preserve">speakerpelosi
</t>
  </si>
  <si>
    <t xml:space="preserve">gopleader
</t>
  </si>
  <si>
    <t xml:space="preserve">dnc
</t>
  </si>
  <si>
    <t xml:space="preserve">gop
</t>
  </si>
  <si>
    <t xml:space="preserve">potus
</t>
  </si>
  <si>
    <t>irvin_212
Tremenda fotografía de EL PAÍS
donde se aprecia al guardia fronterizo
a caballo usando un látigo contra
los haitianos que intentan cruzar
la frontera. Los propios haitianos
mencionaron a un reportero "Biden
nos trata como animales" #Haiti
#CaravanaMigrante https://t.co/n7TD4zrKwN</t>
  </si>
  <si>
    <t>nelvaldez
Tremenda fotografía de EL PAÍS
donde se aprecia al guardia fronterizo
a caballo usando un látigo contra
los haitianos que intentan cruzar
la frontera. Los propios haitianos
mencionaron a un reportero "Biden
nos trata como animales" #Haiti
#CaravanaMigrante https://t.co/n7TD4zrKwN</t>
  </si>
  <si>
    <t>prensagiff
Ayer vivimos nuestro estreno mundial
en el @giffmx ¡Gracias a todos
los que nos acompañaron! #loquequedaenelcamino
#giff #migración #caravanamigrante
#guatemala #cine #documental https://t.co/HAAJonSA3e</t>
  </si>
  <si>
    <t xml:space="preserve">giffmx
</t>
  </si>
  <si>
    <t>doculqqeec
Gracias a todos los que nos han
regalado uno minutos para hablar
de nuestra película #giff2021 #migración
#caravanamigrante #cine #documental
#loquequedaenelcamino #máscineporfavor
https://t.co/a5moFnKEeL</t>
  </si>
  <si>
    <t>est_bian
Tremenda fotografía de EL PAÍS
donde se aprecia al guardia fronterizo
a caballo usando un látigo contra
los haitianos que intentan cruzar
la frontera. Los propios haitianos
mencionaron a un reportero "Biden
nos trata como animales" #Haiti
#CaravanaMigrante https://t.co/n7TD4zrKwN</t>
  </si>
  <si>
    <t>rebekgonzalez
Tremenda fotografía de EL PAÍS
donde se aprecia al guardia fronterizo
a caballo usando un látigo contra
los haitianos que intentan cruzar
la frontera. Los propios haitianos
mencionaron a un reportero "Biden
nos trata como animales" #Haiti
#CaravanaMigrante https://t.co/n7TD4zrKwN</t>
  </si>
  <si>
    <t>jorge_navarro
Tremenda fotografía de EL PAÍS
donde se aprecia al guardia fronterizo
a caballo usando un látigo contra
los haitianos que intentan cruzar
la frontera. Los propios haitianos
mencionaron a un reportero "Biden
nos trata como animales" #Haiti
#CaravanaMigrante https://t.co/n7TD4zrKwN</t>
  </si>
  <si>
    <t>isela_mr
Tremenda fotografía de EL PAÍS
donde se aprecia al guardia fronterizo
a caballo usando un látigo contra
los haitianos que intentan cruzar
la frontera. Los propios haitianos
mencionaron a un reportero "Biden
nos trata como animales" #Haiti
#CaravanaMigrante https://t.co/n7TD4zrKwN</t>
  </si>
  <si>
    <t>acquadragon
Tremenda fotografía de EL PAÍS
donde se aprecia al guardia fronterizo
a caballo usando un látigo contra
los haitianos que intentan cruzar
la frontera. Los propios haitianos
mencionaron a un reportero "Biden
nos trata como animales" #Haiti
#CaravanaMigrante https://t.co/n7TD4zrKwN</t>
  </si>
  <si>
    <t>pasillasmmtv
Tremenda fotografía de EL PAÍS
donde se aprecia al guardia fronterizo
a caballo usando un látigo contra
los haitianos que intentan cruzar
la frontera. Los propios haitianos
mencionaron a un reportero "Biden
nos trata como animales" #Haiti
#CaravanaMigrante https://t.co/n7TD4zrKwN</t>
  </si>
  <si>
    <t>gallofuego
Tremenda fotografía de EL PAÍS
donde se aprecia al guardia fronterizo
a caballo usando un látigo contra
los haitianos que intentan cruzar
la frontera. Los propios haitianos
mencionaron a un reportero "Biden
nos trata como animales" #Haiti
#CaravanaMigrante https://t.co/n7TD4zrKwN</t>
  </si>
  <si>
    <t>loveyogurtlowfa
Tremenda fotografía de EL PAÍS
donde se aprecia al guardia fronterizo
a caballo usando un látigo contra
los haitianos que intentan cruzar
la frontera. Los propios haitianos
mencionaron a un reportero "Biden
nos trata como animales" #Haiti
#CaravanaMigrante https://t.co/n7TD4zrKwN</t>
  </si>
  <si>
    <t>minyon23625591
Tremenda fotografía de EL PAÍS
donde se aprecia al guardia fronterizo
a caballo usando un látigo contra
los haitianos que intentan cruzar
la frontera. Los propios haitianos
mencionaron a un reportero "Biden
nos trata como animales" #Haiti
#CaravanaMigrante https://t.co/n7TD4zrKwN</t>
  </si>
  <si>
    <t>jlgc0505
Tremenda fotografía de EL PAÍS
donde se aprecia al guardia fronterizo
a caballo usando un látigo contra
los haitianos que intentan cruzar
la frontera. Los propios haitianos
mencionaron a un reportero "Biden
nos trata como animales" #Haiti
#CaravanaMigrante https://t.co/n7TD4zrKwN</t>
  </si>
  <si>
    <t>apoloniovaldez
Tremenda fotografía de EL PAÍS
donde se aprecia al guardia fronterizo
a caballo usando un látigo contra
los haitianos que intentan cruzar
la frontera. Los propios haitianos
mencionaron a un reportero "Biden
nos trata como animales" #Haiti
#CaravanaMigrante https://t.co/n7TD4zrKwN</t>
  </si>
  <si>
    <t>jorge2t23
Tremenda fotografía de EL PAÍS
donde se aprecia al guardia fronterizo
a caballo usando un látigo contra
los haitianos que intentan cruzar
la frontera. Los propios haitianos
mencionaron a un reportero "Biden
nos trata como animales" #Haiti
#CaravanaMigrante https://t.co/n7TD4zrKwN</t>
  </si>
  <si>
    <t>el7vicio
Ayer vivimos nuestro estreno mundial
en el @giffmx ¡Gracias a todos
los que nos acompañaron! #loquequedaenelcamino
#giff #migración #caravanamigrante
#guatemala #cine #documental https://t.co/HAAJonSA3e</t>
  </si>
  <si>
    <t>jorgeberna
Si el #CAPITALISMO es “tan malo”
y el #SOCIALISMO es “lo mejor”
… Porque la caravana de migrantes
se dirige a #USA _xD83C__xDDFA__xD83C__xDDF8_ y no hacia
#VENEZUELA _xD83C__xDDFB__xD83C__xDDEA_ ❓❓ #Kamalaharris
#Haiti #CaravanaMigrante</t>
  </si>
  <si>
    <t>janethsot
Tremenda fotografía de EL PAÍS
donde se aprecia al guardia fronterizo
a caballo usando un látigo contra
los haitianos que intentan cruzar
la frontera. Los propios haitianos
mencionaron a un reportero "Biden
nos trata como animales" #Haiti
#CaravanaMigrante https://t.co/n7TD4zrKwN</t>
  </si>
  <si>
    <t>javierazua7
Tremenda fotografía de EL PAÍS
donde se aprecia al guardia fronterizo
a caballo usando un látigo contra
los haitianos que intentan cruzar
la frontera. Los propios haitianos
mencionaron a un reportero "Biden
nos trata como animales" #Haiti
#CaravanaMigrante https://t.co/n7TD4zrKwN</t>
  </si>
  <si>
    <t>selvita_sil
#FronteraSur | Dopo il fallimento
delle #caravanamigrante dissolte
con la forza dalle autorità, i
migranti centro americani e haitiani
cominciano a percorrere altri itinerari
per arrivare negli USA. Diminuisce
la presenza di migranti a Tapachula
#Mexico https://t.co/lZfaaUCHGb</t>
  </si>
  <si>
    <t>gabhiy_oh
Tremenda fotografía de EL PAÍS
donde se aprecia al guardia fronterizo
a caballo usando un látigo contra
los haitianos que intentan cruzar
la frontera. Los propios haitianos
mencionaron a un reportero "Biden
nos trata como animales" #Haiti
#CaravanaMigrante https://t.co/n7TD4zrKwN</t>
  </si>
  <si>
    <t>agustin60803348
Tremenda fotografía de EL PAÍS
donde se aprecia al guardia fronterizo
a caballo usando un látigo contra
los haitianos que intentan cruzar
la frontera. Los propios haitianos
mencionaron a un reportero "Biden
nos trata como animales" #Haiti
#CaravanaMigrante https://t.co/n7TD4zrKwN</t>
  </si>
  <si>
    <t>tigre_ttn2
Tremenda fotografía de EL PAÍS
donde se aprecia al guardia fronterizo
a caballo usando un látigo contra
los haitianos que intentan cruzar
la frontera. Los propios haitianos
mencionaron a un reportero "Biden
nos trata como animales" #Haiti
#CaravanaMigrante https://t.co/n7TD4zrKwN</t>
  </si>
  <si>
    <t>digitalixmx
Tremenda fotografía de EL PAÍS
donde se aprecia al guardia fronterizo
a caballo usando un látigo contra
los haitianos que intentan cruzar
la frontera. Los propios haitianos
mencionaron a un reportero "Biden
nos trata como animales" #Haiti
#CaravanaMigrante https://t.co/n7TD4zrKwN</t>
  </si>
  <si>
    <t>maragua15777373
Tremenda fotografía de EL PAÍS
donde se aprecia al guardia fronterizo
a caballo usando un látigo contra
los haitianos que intentan cruzar
la frontera. Los propios haitianos
mencionaron a un reportero "Biden
nos trata como animales" #Haiti
#CaravanaMigrante https://t.co/n7TD4zrKwN</t>
  </si>
  <si>
    <t>feregio74
Tremenda fotografía de EL PAÍS
donde se aprecia al guardia fronterizo
a caballo usando un látigo contra
los haitianos que intentan cruzar
la frontera. Los propios haitianos
mencionaron a un reportero "Biden
nos trata como animales" #Haiti
#CaravanaMigrante https://t.co/n7TD4zrKwN</t>
  </si>
  <si>
    <t>alexcarreonmty
Tremenda fotografía de EL PAÍS
donde se aprecia al guardia fronterizo
a caballo usando un látigo contra
los haitianos que intentan cruzar
la frontera. Los propios haitianos
mencionaron a un reportero "Biden
nos trata como animales" #Haiti
#CaravanaMigrante https://t.co/n7TD4zrKwN</t>
  </si>
  <si>
    <t>gosimai
120 #migrantes de #Haití que llegaron
a la frontera norte de #México
en la #caravanamigrante fueron
llevados a Chiapas por el @INAMI_mx
https://t.co/04D83tFwEy</t>
  </si>
  <si>
    <t>ejecentral
120 #migrantes de #Haití que llegaron
a la frontera norte de #México
en la #caravanamigrante fueron
llevados a Chiapas por el @INAMI_mx
https://t.co/arEQJx3UZT</t>
  </si>
  <si>
    <t>samantha_ortg
Tremenda fotografía de EL PAÍS
donde se aprecia al guardia fronterizo
a caballo usando un látigo contra
los haitianos que intentan cruzar
la frontera. Los propios haitianos
mencionaron a un reportero "Biden
nos trata como animales" #Haiti
#CaravanaMigrante https://t.co/n7TD4zrKwN</t>
  </si>
  <si>
    <t>alitasibarita
Tremenda fotografía de EL PAÍS
donde se aprecia al guardia fronterizo
a caballo usando un látigo contra
los haitianos que intentan cruzar
la frontera. Los propios haitianos
mencionaron a un reportero "Biden
nos trata como animales" #Haiti
#CaravanaMigrante https://t.co/n7TD4zrKwN</t>
  </si>
  <si>
    <t>mikk_hdz
Tremenda fotografía de EL PAÍS
donde se aprecia al guardia fronterizo
a caballo usando un látigo contra
los haitianos que intentan cruzar
la frontera. Los propios haitianos
mencionaron a un reportero "Biden
nos trata como animales" #Haiti
#CaravanaMigrante https://t.co/n7TD4zrKwN</t>
  </si>
  <si>
    <t>jesuscuatra
Tremenda fotografía de EL PAÍS
donde se aprecia al guardia fronterizo
a caballo usando un látigo contra
los haitianos que intentan cruzar
la frontera. Los propios haitianos
mencionaron a un reportero "Biden
nos trata como animales" #Haiti
#CaravanaMigrante https://t.co/n7TD4zrKwN</t>
  </si>
  <si>
    <t>uca97mx
Tremenda fotografía de EL PAÍS
donde se aprecia al guardia fronterizo
a caballo usando un látigo contra
los haitianos que intentan cruzar
la frontera. Los propios haitianos
mencionaron a un reportero "Biden
nos trata como animales" #Haiti
#CaravanaMigrante https://t.co/n7TD4zrKwN</t>
  </si>
  <si>
    <t>comunicador2022
.@INAMI_mx envió a #Chiapas, por
avión, a 120 #migrantes originarios
de #Haití que formaron parte de
la #CaravanaMigrante que llegó
durante la semana y el pasado fin
de semana a Acuña, en la frontera
con Del Río, Texas. https://t.co/biPBr8C9hS</t>
  </si>
  <si>
    <t>thegreatceir
.@INAMI_mx envió a #Chiapas, por
avión, a 120 #migrantes originarios
de #Haití que formaron parte de
la #CaravanaMigrante que llegó
durante la semana y el pasado fin
de semana a Acuña, en la frontera
con Del Río, Texas. https://t.co/biPBr8C9hS</t>
  </si>
  <si>
    <t>nancygrdz
Tremenda fotografía de EL PAÍS
donde se aprecia al guardia fronterizo
a caballo usando un látigo contra
los haitianos que intentan cruzar
la frontera. Los propios haitianos
mencionaron a un reportero "Biden
nos trata como animales" #Haiti
#CaravanaMigrante https://t.co/n7TD4zrKwN</t>
  </si>
  <si>
    <t>argelmoren
Tremenda fotografía de EL PAÍS
donde se aprecia al guardia fronterizo
a caballo usando un látigo contra
los haitianos que intentan cruzar
la frontera. Los propios haitianos
mencionaron a un reportero "Biden
nos trata como animales" #Haiti
#CaravanaMigrante https://t.co/n7TD4zrKwN</t>
  </si>
  <si>
    <t>febl
Tremenda fotografía de EL PAÍS
donde se aprecia al guardia fronterizo
a caballo usando un látigo contra
los haitianos que intentan cruzar
la frontera. Los propios haitianos
mencionaron a un reportero "Biden
nos trata como animales" #Haiti
#CaravanaMigrante https://t.co/n7TD4zrKwN</t>
  </si>
  <si>
    <t>jan_aguileram
Ayer vivimos nuestro estreno mundial
en el @giffmx ¡Gracias a todos
los que nos acompañaron! #loquequedaenelcamino
#giff #migración #caravanamigrante
#guatemala #cine #documental https://t.co/HAAJonSA3e</t>
  </si>
  <si>
    <t>caracas0057
Tremenda fotografía de EL PAÍS
donde se aprecia al guardia fronterizo
a caballo usando un látigo contra
los haitianos que intentan cruzar
la frontera. Los propios haitianos
mencionaron a un reportero "Biden
nos trata como animales" #Haiti
#CaravanaMigrante https://t.co/n7TD4zrKwN</t>
  </si>
  <si>
    <t>victorvola
Tremenda fotografía de EL PAÍS
donde se aprecia al guardia fronterizo
a caballo usando un látigo contra
los haitianos que intentan cruzar
la frontera. Los propios haitianos
mencionaron a un reportero "Biden
nos trata como animales" #Haiti
#CaravanaMigrante https://t.co/n7TD4zrKwN</t>
  </si>
  <si>
    <t>voyagercosmic85
Tremenda fotografía de EL PAÍS
donde se aprecia al guardia fronterizo
a caballo usando un látigo contra
los haitianos que intentan cruzar
la frontera. Los propios haitianos
mencionaron a un reportero "Biden
nos trata como animales" #Haiti
#CaravanaMigrante https://t.co/n7TD4zrKwN</t>
  </si>
  <si>
    <t>_riverasergio
Tremenda fotografía de EL PAÍS
donde se aprecia al guardia fronterizo
a caballo usando un látigo contra
los haitianos que intentan cruzar
la frontera. Los propios haitianos
mencionaron a un reportero "Biden
nos trata como animales" #Haiti
#CaravanaMigrante https://t.co/n7TD4zrKwN</t>
  </si>
  <si>
    <t>juanocanasr
Tremenda fotografía de EL PAÍS
donde se aprecia al guardia fronterizo
a caballo usando un látigo contra
los haitianos que intentan cruzar
la frontera. Los propios haitianos
mencionaron a un reportero "Biden
nos trata como animales" #Haiti
#CaravanaMigrante https://t.co/n7TD4zrKwN</t>
  </si>
  <si>
    <t>ferdapartida
Un salvoconducto por 20 días está
otorgando el @GobiernoMX por medio
del @INAMI_mx, a personas que han
llegado a #TuxtlaGutiérrez procedentes
principalmente de #Haití. #CaravanaMigrante
https://t.co/5SsgItFE7z</t>
  </si>
  <si>
    <t>cusaru68
Un salvoconducto por 20 días está
otorgando el @GobiernoMX por medio
del @INAMI_mx, a personas que han
llegado a #TuxtlaGutiérrez procedentes
principalmente de #Haití. #CaravanaMigrante
https://t.co/5SsgItFE7z</t>
  </si>
  <si>
    <t>eliszpta
Un salvoconducto por 20 días está
otorgando el @GobiernoMX por medio
del @INAMI_mx, a personas que han
llegado a #TuxtlaGutiérrez procedentes
principalmente de #Haití. #CaravanaMigrante
https://t.co/5SsgItFE7z</t>
  </si>
  <si>
    <t>monroygar
Un salvoconducto por 20 días está
otorgando el @GobiernoMX por medio
del @INAMI_mx, a personas que han
llegado a #TuxtlaGutiérrez procedentes
principalmente de #Haití. #CaravanaMigrante
https://t.co/5SsgItFE7z</t>
  </si>
  <si>
    <t>vdmmty
Un salvoconducto por 20 días está
otorgando el @GobiernoMX por medio
del @INAMI_mx, a personas que han
llegado a #TuxtlaGutiérrez procedentes
principalmente de #Haití. #CaravanaMigrante
https://t.co/5SsgItFE7z</t>
  </si>
  <si>
    <t>javierffrankie1
Un salvoconducto por 20 días está
otorgando el @GobiernoMX por medio
del @INAMI_mx, a personas que han
llegado a #TuxtlaGutiérrez procedentes
principalmente de #Haití. #CaravanaMigrante
https://t.co/5SsgItFE7z</t>
  </si>
  <si>
    <t>libraryadd
Tremenda fotografía de EL PAÍS
donde se aprecia al guardia fronterizo
a caballo usando un látigo contra
los haitianos que intentan cruzar
la frontera. Los propios haitianos
mencionaron a un reportero "Biden
nos trata como animales" #Haiti
#CaravanaMigrante https://t.co/n7TD4zrKwN</t>
  </si>
  <si>
    <t>itelloarista
Aprovechando la empatía por la
#CaravanaMigrante, algunas precisiones
legales (ya sé, qué floreja) de
suma importancia para entender
el fenómeno de movilidad y por
qué es tan pinche en nuestro país:</t>
  </si>
  <si>
    <t>elbagutierrez
Aprovechando la empatía por la
#CaravanaMigrante, algunas precisiones
legales (ya sé, qué floreja) de
suma importancia para entender
el fenómeno de movilidad y por
qué es tan pinche en nuestro país:</t>
  </si>
  <si>
    <t>c1frankietheone
Un salvoconducto por 20 días está
otorgando el @GobiernoMX por medio
del @INAMI_mx, a personas que han
llegado a #TuxtlaGutiérrez procedentes
principalmente de #Haití. #CaravanaMigrante
https://t.co/5SsgItFE7z</t>
  </si>
  <si>
    <t>borgestom
@temoris @CartonCamacho Si las
fronteras no fueran necesarias,
no existirían! La #Migracion irregular
es un mal que aqueja a #Mexico
desde hace lustros, aunado a las
#CaravanaMigrante que so pretexto
de ir a #EEUU quedan varados en
#Mexico donde terminan exigiendo
lo que en sus países no hicieron</t>
  </si>
  <si>
    <t xml:space="preserve">cartoncamacho
</t>
  </si>
  <si>
    <t xml:space="preserve">temoris
</t>
  </si>
  <si>
    <t>atzihualibre
Un salvoconducto por 20 días está
otorgando el @GobiernoMX por medio
del @INAMI_mx, a personas que han
llegado a #TuxtlaGutiérrez procedentes
principalmente de #Haití. #CaravanaMigrante
https://t.co/5SsgItFE7z</t>
  </si>
  <si>
    <t>jorgeluisveve
Aprovechando la empatía por la
#CaravanaMigrante, algunas precisiones
legales (ya sé, qué floreja) de
suma importancia para entender
el fenómeno de movilidad y por
qué es tan pinche en nuestro país:</t>
  </si>
  <si>
    <t>tapabav
La brutal cacería del @INAMI_mx
y la @GN_MEXICO_ contra los migrantes
que huyeron de su país y de #Tapachula
en el sur de #Mexico donde les
encarcelan sin acceso a documentos
ni a trabajos. La #CaravanaMigrante
ha mermado pero avanza hacia el
norte 1/1 https://t.co/WLGGCRLYRo</t>
  </si>
  <si>
    <t>rolobss1
La brutal cacería del @INAMI_mx
y la @GN_MEXICO_ contra los migrantes
que huyeron de su país y de #Tapachula
en el sur de #Mexico donde les
encarcelan sin acceso a documentos
ni a trabajos. La #CaravanaMigrante
ha mermado pero avanza hacia el
norte 1/1 https://t.co/WLGGCRLYRo</t>
  </si>
  <si>
    <t>smolninalia
_xD83D__xDCCC_Durante las semanas previas,
los colectivos han recabado testimonios
de personas y familias con niñ@s
pequeños que fueron detenidas durante
los desplazamientos colectivos
en el corredor de la costa pacífica.
▶️ https://t.co/81AosRJeP8◀️ #CaravanaMigrante
#Haiti #Haitianos</t>
  </si>
  <si>
    <t>avispa_midia
_xD83D__xDCCC_Durante las semanas previas,
los colectivos han recabado testimonios
de personas y familias con niñ@s
pequeños que fueron detenidas durante
los desplazamientos colectivos
en el corredor de la costa pacífica.
▶️ https://t.co/81AosRJeP8◀️ #CaravanaMigrante
#Haiti #Haitianos</t>
  </si>
  <si>
    <t>algaraba8
_xD83D__xDCCC_Durante las semanas previas,
los colectivos han recabado testimonios
de personas y familias con niñ@s
pequeños que fueron detenidas durante
los desplazamientos colectivos
en el corredor de la costa pacífica.
▶️ https://t.co/81AosRJeP8◀️ #CaravanaMigrante
#Haiti #Haitianos</t>
  </si>
  <si>
    <t>uriluisni
#California #Homeless #BLM #americandream
#ElSuenoAmericano #caravanamigrante
Venice Beach Homeless Encampment
09.23.2021 https://t.co/Uwz2wVMRFN
via #YouTube</t>
  </si>
  <si>
    <t>lostejemedios
_xD83D__xDCCC_Durante las semanas previas,
los colectivos han recabado testimonios
de personas y familias con niñ@s
pequeños que fueron detenidas durante
los desplazamientos colectivos
en el corredor de la costa pacífica.
▶️ https://t.co/81AosRJeP8◀️ #CaravanaMigrante
#Haiti #Haitianos</t>
  </si>
  <si>
    <t>jclopezlee
https://t.co/7FsmHnmjuD Todo gracias
a la apertura de fronteras, la
ausencia de contrles migratorios
y la #CaravanaMigrante</t>
  </si>
  <si>
    <t>saraeli62035609
https://t.co/7FsmHnmjuD Todo gracias
a la apertura de fronteras, la
ausencia de contrles migratorios
y la #CaravanaMigrante</t>
  </si>
  <si>
    <t>p3drohz45
@MLopezSanMartin Antes #campamento
en apoyo a la #Caravanamigrante,
hoy Elementos de #INM a la caza
de #migrantes en centrales de Autobuses
#CDMXyEDOMEX , ojalá así contra
la #Delincuencia https://t.co/4gpdjTSKIC</t>
  </si>
  <si>
    <t xml:space="preserve">mlopezsanmartin
</t>
  </si>
  <si>
    <t>adrianoespa
_xD83D__xDCCC_Durante las semanas previas,
los colectivos han recabado testimonios
de personas y familias con niñ@s
pequeños que fueron detenidas durante
los desplazamientos colectivos
en el corredor de la costa pacífica.
▶️ https://t.co/81AosRJeP8◀️ #CaravanaMigrante
#Haiti #Haitianos</t>
  </si>
  <si>
    <t>miradsalmargen1
_xD83D__xDCCC_Durante las semanas previas,
los colectivos han recabado testimonios
de personas y familias con niñ@s
pequeños que fueron detenidas durante
los desplazamientos colectivos
en el corredor de la costa pacífica.
▶️ https://t.co/81AosRJeP8◀️ #CaravanaMigrante
#Haiti #Haitianos</t>
  </si>
  <si>
    <t>the_watcher_man
@ActualidadRT _xD83D__xDE02__xD83D__xDE02__xD83D__xDE02__xD83D__xDE02__xD83D__xDE02__xD83D__xDE02__xD83D__xDE02__xD83D__xDE02_
sigan migrando. #haitianos #Haiti
#caravanamigrante #migrantes #migrante</t>
  </si>
  <si>
    <t xml:space="preserve">actualidadrt
</t>
  </si>
  <si>
    <t>atenea_cb
La verdadera cara del oportunismo
y victimismo de inmigrantes ilegales
de #Haiti incomoda a las #ONGs
#Politicos y #TrataDePersonas que
se aprovechan de la #caravanamigrante
https://t.co/XWmf44Ucf2</t>
  </si>
  <si>
    <t xml:space="preserve">versusmex
</t>
  </si>
  <si>
    <t>vrodriguezphd
Amotinados: Haitianos secuestran
y conducen el autobús que los llevaba
al aeropuerto para ser deportados,
el cuál había partido del puente
internacional #DelRío, en Texas,
EEUU. #migrantes #InmigracionIlegal
#CaravanaMigrante https://t.co/p7QxqK1aFT</t>
  </si>
  <si>
    <t>chefbaez
Amotinados: Haitianos secuestran
y conducen el autobús que los llevaba
al aeropuerto para ser deportados,
el cuál había partido del puente
internacional #DelRío, en Texas,
EEUU. #migrantes #InmigracionIlegal
#CaravanaMigrante https://t.co/p7QxqK1aFT</t>
  </si>
  <si>
    <t>xxiperiodismo
͏ ͏ ͏ ╭╮ ┋┋ ┣_xD83C__xDF0E_#AstilleroINFORMA✅
┋┋_xD83D__xDC49_@julioastillero_xD83D__xDEA2_ ┛┗ _xD83D__xDFE5_1a3pm_xD83D__xDFEA_LUN_xD83C__xDD70_️VIE
͏ H⭕️Y_xD83D__xDC49_JUEVES #MesaSEGURA _xD83D__xDDE3_ _xD83D__xDC47_
_xD83D__xDDE3_@GCorreaCabrera _xD83D__xDDE3_@roncoblu _xD83D__xDDE3_@RRAvelo27
_xD83D__xDFE2_#ENvivo✅ _xD83D__xDC49_YT▶️https://t.co/YgayeW4Xp6
#MIGRACION #caravanamigrante _xD83D__xDC49_https://t.co/DszHKZiwM9_xD83D__xDC48_
͏ ͏ . https://t.co/Kkzuxn8LmK https://t.co/PadyPYAdxL</t>
  </si>
  <si>
    <t>Directed</t>
  </si>
  <si>
    <t>&lt;?xml version="1.0" encoding="utf-8"?&gt;
&lt;configuration&gt;
  &lt;configSections&gt;
    &lt;sectionGroup name="userSettings" type="System.Configuration.UserSettingsGroup, System, Version=2.0.0.0, Culture=neutral, PublicKeyToken=b77a5c561934e089"&gt;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type="System.Configuration.ClientSettingsSection, System, Version=2.0.0.0, Culture=neutral, PublicKeyToken=b77a5c561934e089" allowExeDefinition="MachineToLocalUser" requirePermission="false" /&gt;
      &lt;section name="AutomateTasksDialog2" type="System.Configuration.ClientSettingsSection, Syst</t>
  </si>
  <si>
    <t>Workbook Settings 2</t>
  </si>
  <si>
    <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t>
  </si>
  <si>
    <t>Workbook Settings 3</t>
  </si>
  <si>
    <t>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t>
  </si>
  <si>
    <t>Workbook Settings 4</t>
  </si>
  <si>
    <t xml:space="preserv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</si>
  <si>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</si>
  <si>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</si>
  <si>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</si>
  <si>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</si>
  <si>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</si>
  <si>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</si>
  <si>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</si>
  <si>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</si>
  <si>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</si>
  <si>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</si>
  <si>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</si>
  <si>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</si>
  <si>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</si>
  <si>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</si>
  <si>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</si>
  <si>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</si>
  <si>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</si>
  <si>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</si>
  <si>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</si>
  <si>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</si>
  <si>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</si>
  <si>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</si>
  <si>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</si>
  <si>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</si>
  <si>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</si>
  <si>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</si>
  <si>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</si>
  <si>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</si>
  <si>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</si>
  <si>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</si>
  <si>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</si>
  <si>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</si>
  <si>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</si>
  <si>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</si>
  <si>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</si>
  <si>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</si>
  <si>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</si>
  <si>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</si>
  <si>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</si>
  <si>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</si>
  <si>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</si>
  <si>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</si>
  <si>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</si>
  <si>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</si>
  <si>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</si>
  <si>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</si>
  <si>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</si>
  <si>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</si>
  <si>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</si>
  <si>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</si>
  <si>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</si>
  <si>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</si>
  <si>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</si>
  <si>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</si>
  <si>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</si>
  <si>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</si>
  <si>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</si>
  <si>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</si>
  <si>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</si>
  <si>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</si>
  <si>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</si>
  <si>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</si>
  <si>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</si>
  <si>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</si>
  <si>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</si>
  <si>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</si>
  <si>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</si>
  <si>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</si>
  <si>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</si>
  <si>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</si>
  <si>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#caravanamigrante</t>
  </si>
  <si>
    <t>haitianos</t>
  </si>
  <si>
    <t>frontera</t>
  </si>
  <si>
    <t>#haiti</t>
  </si>
  <si>
    <t>contra</t>
  </si>
  <si>
    <t>tremenda</t>
  </si>
  <si>
    <t>fotografía</t>
  </si>
  <si>
    <t>aprecia</t>
  </si>
  <si>
    <t>guardia</t>
  </si>
  <si>
    <t>fronterizo</t>
  </si>
  <si>
    <t>caballo</t>
  </si>
  <si>
    <t>usando</t>
  </si>
  <si>
    <t>látigo</t>
  </si>
  <si>
    <t>intentan</t>
  </si>
  <si>
    <t>cruzar</t>
  </si>
  <si>
    <t>propios</t>
  </si>
  <si>
    <t>mencionaron</t>
  </si>
  <si>
    <t>reportero</t>
  </si>
  <si>
    <t>biden</t>
  </si>
  <si>
    <t>trata</t>
  </si>
  <si>
    <t>animales</t>
  </si>
  <si>
    <t>#migrantes</t>
  </si>
  <si>
    <t>#haití</t>
  </si>
  <si>
    <t>migranti</t>
  </si>
  <si>
    <t>personas</t>
  </si>
  <si>
    <t>fueron</t>
  </si>
  <si>
    <t>#fronterasur</t>
  </si>
  <si>
    <t>migrantes</t>
  </si>
  <si>
    <t>20</t>
  </si>
  <si>
    <t>semana</t>
  </si>
  <si>
    <t>#mexico</t>
  </si>
  <si>
    <t>#chiapas</t>
  </si>
  <si>
    <t>asilo</t>
  </si>
  <si>
    <t>medio</t>
  </si>
  <si>
    <t>salvoconducto</t>
  </si>
  <si>
    <t>días</t>
  </si>
  <si>
    <t>otorgando</t>
  </si>
  <si>
    <t>llegado</t>
  </si>
  <si>
    <t>#tuxtlagutiérrez</t>
  </si>
  <si>
    <t>procedentes</t>
  </si>
  <si>
    <t>principalmente</t>
  </si>
  <si>
    <t>co</t>
  </si>
  <si>
    <t>colectivos</t>
  </si>
  <si>
    <t>tapachula</t>
  </si>
  <si>
    <t>#tapachula</t>
  </si>
  <si>
    <t>fallimento</t>
  </si>
  <si>
    <t>gracias</t>
  </si>
  <si>
    <t>costa</t>
  </si>
  <si>
    <t>#migracion</t>
  </si>
  <si>
    <t>#migración</t>
  </si>
  <si>
    <t>#haitianos</t>
  </si>
  <si>
    <t>120</t>
  </si>
  <si>
    <t>nei</t>
  </si>
  <si>
    <t>caccia</t>
  </si>
  <si>
    <t>sistema</t>
  </si>
  <si>
    <t>texas</t>
  </si>
  <si>
    <t>hacia</t>
  </si>
  <si>
    <t>río</t>
  </si>
  <si>
    <t>dopo</t>
  </si>
  <si>
    <t>negli</t>
  </si>
  <si>
    <t>centroamericanos</t>
  </si>
  <si>
    <t>#cine</t>
  </si>
  <si>
    <t>#documental</t>
  </si>
  <si>
    <t>nuestro</t>
  </si>
  <si>
    <t>fin</t>
  </si>
  <si>
    <t>#messico</t>
  </si>
  <si>
    <t>opinión</t>
  </si>
  <si>
    <t>migrants</t>
  </si>
  <si>
    <t>migliaia</t>
  </si>
  <si>
    <t>richiedenti</t>
  </si>
  <si>
    <t>intrappolati</t>
  </si>
  <si>
    <t>dal</t>
  </si>
  <si>
    <t>mia</t>
  </si>
  <si>
    <t>intervista</t>
  </si>
  <si>
    <t>nimsi</t>
  </si>
  <si>
    <t>arroyo</t>
  </si>
  <si>
    <t>albergue</t>
  </si>
  <si>
    <t>hospitalidad</t>
  </si>
  <si>
    <t>solidaridad</t>
  </si>
  <si>
    <t>#guatemala</t>
  </si>
  <si>
    <t>#loquequedaenelcamino</t>
  </si>
  <si>
    <t>envió</t>
  </si>
  <si>
    <t>avión</t>
  </si>
  <si>
    <t>originarios</t>
  </si>
  <si>
    <t>formaron</t>
  </si>
  <si>
    <t>llegó</t>
  </si>
  <si>
    <t>pasado</t>
  </si>
  <si>
    <t>acuña</t>
  </si>
  <si>
    <t>#méxico</t>
  </si>
  <si>
    <t>delle</t>
  </si>
  <si>
    <t>autorità</t>
  </si>
  <si>
    <t>36</t>
  </si>
  <si>
    <t>#astilleroinforma</t>
  </si>
  <si>
    <t>1a3pm</t>
  </si>
  <si>
    <t>lun</t>
  </si>
  <si>
    <t>vie</t>
  </si>
  <si>
    <t>jueves</t>
  </si>
  <si>
    <t>#mesasegura</t>
  </si>
  <si>
    <t>#envivo</t>
  </si>
  <si>
    <t>yt</t>
  </si>
  <si>
    <t>ygayew4xp6</t>
  </si>
  <si>
    <t>dszhkziwm9</t>
  </si>
  <si>
    <t>#giff</t>
  </si>
  <si>
    <t>semanas</t>
  </si>
  <si>
    <t>previas</t>
  </si>
  <si>
    <t>recabado</t>
  </si>
  <si>
    <t>testimonios</t>
  </si>
  <si>
    <t>familias</t>
  </si>
  <si>
    <t>niñ</t>
  </si>
  <si>
    <t>pequeños</t>
  </si>
  <si>
    <t>detenidas</t>
  </si>
  <si>
    <t>desplazamientos</t>
  </si>
  <si>
    <t>corredor</t>
  </si>
  <si>
    <t>pacífica</t>
  </si>
  <si>
    <t>paso</t>
  </si>
  <si>
    <t>seguir</t>
  </si>
  <si>
    <t>norte</t>
  </si>
  <si>
    <t>centro</t>
  </si>
  <si>
    <t>ciò</t>
  </si>
  <si>
    <t>sta</t>
  </si>
  <si>
    <t>succedendo</t>
  </si>
  <si>
    <t>pressi</t>
  </si>
  <si>
    <t>inquietante</t>
  </si>
  <si>
    <t>aver</t>
  </si>
  <si>
    <t>dissolto</t>
  </si>
  <si>
    <t>violenze</t>
  </si>
  <si>
    <t>deportazioni</t>
  </si>
  <si>
    <t>gn</t>
  </si>
  <si>
    <t>inm</t>
  </si>
  <si>
    <t>danno</t>
  </si>
  <si>
    <t>ai</t>
  </si>
  <si>
    <t>hotel</t>
  </si>
  <si>
    <t>strada</t>
  </si>
  <si>
    <t>taxi</t>
  </si>
  <si>
    <t>spietata</t>
  </si>
  <si>
    <t>uomo</t>
  </si>
  <si>
    <t>tamaulipas</t>
  </si>
  <si>
    <t>migratorio</t>
  </si>
  <si>
    <t>#covid19</t>
  </si>
  <si>
    <t>cientos</t>
  </si>
  <si>
    <t>lugar</t>
  </si>
  <si>
    <t>ruta</t>
  </si>
  <si>
    <t>huixtla</t>
  </si>
  <si>
    <t>mapastepec</t>
  </si>
  <si>
    <t>cuatro</t>
  </si>
  <si>
    <t>caravanas</t>
  </si>
  <si>
    <t>disueltas</t>
  </si>
  <si>
    <t>#violencia</t>
  </si>
  <si>
    <t>principios</t>
  </si>
  <si>
    <t>mes</t>
  </si>
  <si>
    <t>optan</t>
  </si>
  <si>
    <t>rutas</t>
  </si>
  <si>
    <t>riesgosas</t>
  </si>
  <si>
    <t>frailesca</t>
  </si>
  <si>
    <t>#youtube</t>
  </si>
  <si>
    <t>ayer</t>
  </si>
  <si>
    <t>vivimos</t>
  </si>
  <si>
    <t>estreno</t>
  </si>
  <si>
    <t>mundial</t>
  </si>
  <si>
    <t>acompañaron</t>
  </si>
  <si>
    <t>llegaron</t>
  </si>
  <si>
    <t>chiapas</t>
  </si>
  <si>
    <t>dissolte</t>
  </si>
  <si>
    <t>forza</t>
  </si>
  <si>
    <t>dalle</t>
  </si>
  <si>
    <t>americani</t>
  </si>
  <si>
    <t>haitiani</t>
  </si>
  <si>
    <t>cominciano</t>
  </si>
  <si>
    <t>percorrere</t>
  </si>
  <si>
    <t>altri</t>
  </si>
  <si>
    <t>itinerari</t>
  </si>
  <si>
    <t>arrivare</t>
  </si>
  <si>
    <t>usa</t>
  </si>
  <si>
    <t>diminuisce</t>
  </si>
  <si>
    <t>presenza</t>
  </si>
  <si>
    <t>#usa</t>
  </si>
  <si>
    <t>#bordercrisis</t>
  </si>
  <si>
    <t>#tamaulipas</t>
  </si>
  <si>
    <t>buena</t>
  </si>
  <si>
    <t>39</t>
  </si>
  <si>
    <t>mala</t>
  </si>
  <si>
    <t>violencia</t>
  </si>
  <si>
    <t>#nacional</t>
  </si>
  <si>
    <t>#pozarica</t>
  </si>
  <si>
    <t>fronteras</t>
  </si>
  <si>
    <t>#frontera</t>
  </si>
  <si>
    <t>aprovechando</t>
  </si>
  <si>
    <t>empatía</t>
  </si>
  <si>
    <t>algunas</t>
  </si>
  <si>
    <t>precisiones</t>
  </si>
  <si>
    <t>legales</t>
  </si>
  <si>
    <t>sé</t>
  </si>
  <si>
    <t>floreja</t>
  </si>
  <si>
    <t>suma</t>
  </si>
  <si>
    <t>importancia</t>
  </si>
  <si>
    <t>entender</t>
  </si>
  <si>
    <t>fenómeno</t>
  </si>
  <si>
    <t>movilidad</t>
  </si>
  <si>
    <t>pinche</t>
  </si>
  <si>
    <t>llevados</t>
  </si>
  <si>
    <t>caravana</t>
  </si>
  <si>
    <t>#giff2021</t>
  </si>
  <si>
    <t>already</t>
  </si>
  <si>
    <t>#reynosa</t>
  </si>
  <si>
    <t>central</t>
  </si>
  <si>
    <t>56</t>
  </si>
  <si>
    <t>acuerdo</t>
  </si>
  <si>
    <t>impida</t>
  </si>
  <si>
    <t>encabezan</t>
  </si>
  <si>
    <t>desacuerdo</t>
  </si>
  <si>
    <t>autoridades</t>
  </si>
  <si>
    <t>flusso</t>
  </si>
  <si>
    <t>straripato</t>
  </si>
  <si>
    <t>cercano</t>
  </si>
  <si>
    <t>evitare</t>
  </si>
  <si>
    <t>cadere</t>
  </si>
  <si>
    <t>nelle</t>
  </si>
  <si>
    <t>mani</t>
  </si>
  <si>
    <t>migratorie</t>
  </si>
  <si>
    <t>messicane</t>
  </si>
  <si>
    <t>li</t>
  </si>
  <si>
    <t>obbligano</t>
  </si>
  <si>
    <t>fermarsi</t>
  </si>
  <si>
    <t>ribattezzata</t>
  </si>
  <si>
    <t>città</t>
  </si>
  <si>
    <t>carcere</t>
  </si>
  <si>
    <t>#haitians</t>
  </si>
  <si>
    <t>#georgesoros</t>
  </si>
  <si>
    <t>#globalism</t>
  </si>
  <si>
    <t>#migrants</t>
  </si>
  <si>
    <t>#geofence</t>
  </si>
  <si>
    <t>#invasion</t>
  </si>
  <si>
    <t>detectan</t>
  </si>
  <si>
    <t>#covid</t>
  </si>
  <si>
    <t>pruebas</t>
  </si>
  <si>
    <t>realizadas</t>
  </si>
  <si>
    <t>#estados</t>
  </si>
  <si>
    <t>#covidmigrantes</t>
  </si>
  <si>
    <t>amotinados</t>
  </si>
  <si>
    <t>secuestran</t>
  </si>
  <si>
    <t>conducen</t>
  </si>
  <si>
    <t>autobús</t>
  </si>
  <si>
    <t>llevaba</t>
  </si>
  <si>
    <t>aeropuerto</t>
  </si>
  <si>
    <t>deportados</t>
  </si>
  <si>
    <t>cuál</t>
  </si>
  <si>
    <t>partido</t>
  </si>
  <si>
    <t>puente</t>
  </si>
  <si>
    <t>internacional</t>
  </si>
  <si>
    <t>#delrío</t>
  </si>
  <si>
    <t>eeuu</t>
  </si>
  <si>
    <t>#inmigracionilegal</t>
  </si>
  <si>
    <t>#loquequedadocu</t>
  </si>
  <si>
    <t>#gif21</t>
  </si>
  <si>
    <t>#migrante</t>
  </si>
  <si>
    <t>autobuses</t>
  </si>
  <si>
    <t>apertura</t>
  </si>
  <si>
    <t>ausencia</t>
  </si>
  <si>
    <t>contrles</t>
  </si>
  <si>
    <t>migratorios</t>
  </si>
  <si>
    <t>#homeless</t>
  </si>
  <si>
    <t>#eeuu</t>
  </si>
  <si>
    <t>cierra</t>
  </si>
  <si>
    <t>brutal</t>
  </si>
  <si>
    <t>cacería</t>
  </si>
  <si>
    <t>huyeron</t>
  </si>
  <si>
    <t>encarcelan</t>
  </si>
  <si>
    <t>acceso</t>
  </si>
  <si>
    <t>documentos</t>
  </si>
  <si>
    <t>trabajos</t>
  </si>
  <si>
    <t>mermado</t>
  </si>
  <si>
    <t>avanza</t>
  </si>
  <si>
    <t>migrante</t>
  </si>
  <si>
    <t>#estadosunidos</t>
  </si>
  <si>
    <t>#travesiaporlavida</t>
  </si>
  <si>
    <t>#ezln</t>
  </si>
  <si>
    <t>madrugada</t>
  </si>
  <si>
    <t>detuvo</t>
  </si>
  <si>
    <t>bajados</t>
  </si>
  <si>
    <t>camiones</t>
  </si>
  <si>
    <t>viajaban</t>
  </si>
  <si>
    <t>obligados</t>
  </si>
  <si>
    <t>caminar</t>
  </si>
  <si>
    <t>san</t>
  </si>
  <si>
    <t>78</t>
  </si>
  <si>
    <t>conocimiento</t>
  </si>
  <si>
    <t>méxico</t>
  </si>
  <si>
    <t>21</t>
  </si>
  <si>
    <t>desconoce</t>
  </si>
  <si>
    <t>tema</t>
  </si>
  <si>
    <t>31</t>
  </si>
  <si>
    <t>opina</t>
  </si>
  <si>
    <t>mexicanas</t>
  </si>
  <si>
    <t>actúan</t>
  </si>
  <si>
    <t>exceso</t>
  </si>
  <si>
    <t>ante</t>
  </si>
  <si>
    <t>buses</t>
  </si>
  <si>
    <t>arrive</t>
  </si>
  <si>
    <t>wait</t>
  </si>
  <si>
    <t>shelter</t>
  </si>
  <si>
    <t>#tijuana</t>
  </si>
  <si>
    <t>video</t>
  </si>
  <si>
    <t>liliana</t>
  </si>
  <si>
    <t>nieto</t>
  </si>
  <si>
    <t>#pregunta</t>
  </si>
  <si>
    <t>seria</t>
  </si>
  <si>
    <t>servidores</t>
  </si>
  <si>
    <t>publicos</t>
  </si>
  <si>
    <t>autorizado</t>
  </si>
  <si>
    <t>uso</t>
  </si>
  <si>
    <t>armas</t>
  </si>
  <si>
    <t>letales</t>
  </si>
  <si>
    <t>pistolas</t>
  </si>
  <si>
    <t>descarga</t>
  </si>
  <si>
    <t>eléctrica</t>
  </si>
  <si>
    <t>cumplimiento</t>
  </si>
  <si>
    <t>funciones</t>
  </si>
  <si>
    <t>obligaciones</t>
  </si>
  <si>
    <t>cc</t>
  </si>
  <si>
    <t>#caravanademigrantes</t>
  </si>
  <si>
    <t>inicio</t>
  </si>
  <si>
    <t>topó</t>
  </si>
  <si>
    <t>cerco</t>
  </si>
  <si>
    <t>sino</t>
  </si>
  <si>
    <t>corrupto</t>
  </si>
  <si>
    <t>colapsado</t>
  </si>
  <si>
    <t>aquí</t>
  </si>
  <si>
    <t>#crónica</t>
  </si>
  <si>
    <t>#joebiden</t>
  </si>
  <si>
    <t>killed</t>
  </si>
  <si>
    <t>more</t>
  </si>
  <si>
    <t>kids</t>
  </si>
  <si>
    <t>week</t>
  </si>
  <si>
    <t>#28</t>
  </si>
  <si>
    <t>delaware</t>
  </si>
  <si>
    <t>migración</t>
  </si>
  <si>
    <t>natural</t>
  </si>
  <si>
    <t>ilegal</t>
  </si>
  <si>
    <t>defendamos</t>
  </si>
  <si>
    <t>derecho</t>
  </si>
  <si>
    <t>nuestrxs</t>
  </si>
  <si>
    <t>hermanxs</t>
  </si>
  <si>
    <t>vida</t>
  </si>
  <si>
    <t>plena</t>
  </si>
  <si>
    <t>libre</t>
  </si>
  <si>
    <t>adelante</t>
  </si>
  <si>
    <t>club</t>
  </si>
  <si>
    <t>rotario</t>
  </si>
  <si>
    <t>rotaract</t>
  </si>
  <si>
    <t>amor</t>
  </si>
  <si>
    <t>calles</t>
  </si>
  <si>
    <t>entregó</t>
  </si>
  <si>
    <t>1788</t>
  </si>
  <si>
    <t>comidas</t>
  </si>
  <si>
    <t>calientes</t>
  </si>
  <si>
    <t>población</t>
  </si>
  <si>
    <t>#tihuatlan</t>
  </si>
  <si>
    <t>#papantla</t>
  </si>
  <si>
    <t>#coatzintla</t>
  </si>
  <si>
    <t>#cazones</t>
  </si>
  <si>
    <t>#distrito4185</t>
  </si>
  <si>
    <t>#huracangrace</t>
  </si>
  <si>
    <t>#servirparacambiarvida</t>
  </si>
  <si>
    <t>criminals</t>
  </si>
  <si>
    <t>american</t>
  </si>
  <si>
    <t>venezuelan</t>
  </si>
  <si>
    <t>haitian</t>
  </si>
  <si>
    <t>continue</t>
  </si>
  <si>
    <t>make</t>
  </si>
  <si>
    <t>way</t>
  </si>
  <si>
    <t>mexico</t>
  </si>
  <si>
    <t>mexican</t>
  </si>
  <si>
    <t>national</t>
  </si>
  <si>
    <t>guard</t>
  </si>
  <si>
    <t>attempts</t>
  </si>
  <si>
    <t>stop</t>
  </si>
  <si>
    <t>solidarity</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</si>
  <si>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</si>
  <si>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</si>
  <si>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</si>
  <si>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</si>
  <si>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</si>
  <si>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</si>
  <si>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</si>
  <si>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</si>
  <si>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</si>
  <si>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</si>
  <si>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</si>
  <si>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</si>
  <si>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</si>
  <si>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</si>
  <si>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</si>
  <si>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</si>
  <si>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</si>
  <si>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</si>
  <si>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</si>
  <si>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</si>
  <si>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</si>
  <si>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</si>
  <si>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</si>
  <si>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</si>
  <si>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</si>
  <si>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</si>
  <si>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</si>
  <si>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</si>
  <si>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</si>
  <si>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</si>
  <si>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</si>
  <si>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</si>
  <si>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</si>
  <si>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</si>
  <si>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</si>
  <si>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</si>
  <si>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</si>
  <si>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</si>
  <si>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</si>
  <si>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</si>
  <si>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</si>
  <si>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</si>
  <si>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</si>
  <si>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</si>
  <si>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</si>
  <si>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</si>
  <si>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</si>
  <si>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</si>
  <si>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</si>
  <si>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</si>
  <si>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</si>
  <si>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</si>
  <si>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</si>
  <si>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</si>
  <si>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</si>
  <si>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</si>
  <si>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</si>
  <si>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</si>
  <si>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</si>
  <si>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#NodeXL</t>
  </si>
  <si>
    <t>Top 10 Vertices, Ranked by Betweenness Centrality</t>
  </si>
  <si>
    <t>Top URLs in Tweet in Entire Graph</t>
  </si>
  <si>
    <t>http://gabinete.mx/index.php/es/component/k2/item/658-amlo-seguimiento-septiembre-2021</t>
  </si>
  <si>
    <t>https://www.meltingpot.org/Tapachula-frontiera-sud-del-Messico-migliaia-di-persone.html</t>
  </si>
  <si>
    <t>https://www.jornada.com.mx/notas/2021/09/21/estados/inm-envia-por-avion-a-120-haitianos-a-chiapas-desde-coahuila/</t>
  </si>
  <si>
    <t>https://www.youtube.com/channel/UCRja7nxirrJ4yEUa9pPkFmw</t>
  </si>
  <si>
    <t>https://www.youtube.com/watch?v=SAkyfdQhNLw&amp;feature=youtu.be</t>
  </si>
  <si>
    <t>https://twitter.com/GCorreaCabrera/status/1438536476061491211</t>
  </si>
  <si>
    <t>https://avispa.org/migrantes-buscan-rutas-alternativas-en-chiapas-autoridades-responden-con-violencia/</t>
  </si>
  <si>
    <t>https://www.diariodelsur.com.mx/local/activa-guardia-nacional-busqueda-de-migrantes-en-taxis-7222717.html</t>
  </si>
  <si>
    <t>https://www.diariodelsur.com.mx/local/migrantes-intentan-salir-de-chiapas-con-rumbo-a-veracruz-7237222.html</t>
  </si>
  <si>
    <t>https://movimientomigrantemesoamericano.org/2021/09/16/se-desborda-flujo-migratorio/</t>
  </si>
  <si>
    <t>Entire Graph Count</t>
  </si>
  <si>
    <t>Top URLs in Tweet in G1</t>
  </si>
  <si>
    <t>Top URLs in Tweet in G2</t>
  </si>
  <si>
    <t>G1 Count</t>
  </si>
  <si>
    <t>https://www.ejecentral.com.mx/inm-lleva-a-120-migrantes-a-chiapas-haitianos-siguen-llegando-al-norte/</t>
  </si>
  <si>
    <t>https://cutt.ly/IEhgLyr</t>
  </si>
  <si>
    <t>Top URLs in Tweet in G3</t>
  </si>
  <si>
    <t>G2 Count</t>
  </si>
  <si>
    <t>Top URLs in Tweet in G4</t>
  </si>
  <si>
    <t>G3 Count</t>
  </si>
  <si>
    <t>https://talcualdigital.com/el-bloqueo-migratorio-en-mexico-fortalece-al-crimen-organizado-por-carlos-barrachina-l/</t>
  </si>
  <si>
    <t>https://www.mexnewz.mx/detectan-covid-en-20-de-pruebas-realizadas-a-migrantes/</t>
  </si>
  <si>
    <t>http://www.infomediamx.com/65774/</t>
  </si>
  <si>
    <t>https://www.youtube.com/watch?v=ItA1uxOf8TQ</t>
  </si>
  <si>
    <t>https://pulsosur.com/2021/09/20/estados-unidos-cierra-su-frontera-para-frenar-el-cruce-de-mas-migrantes-haitianos/</t>
  </si>
  <si>
    <t>https://www.youtube.com/watch?v=Qb_wGiyo4NY&amp;feature=youtu.be</t>
  </si>
  <si>
    <t>https://www.youtube.com/watch?v=3RqhLdsLdeI&amp;feature=youtu.be</t>
  </si>
  <si>
    <t>https://www.youtube.com/watch?v=SVNAKVANq8o&amp;feature=youtu.be</t>
  </si>
  <si>
    <t>https://www.youtube.com/watch?v=2xnoo4EEV84&amp;feature=youtu.be</t>
  </si>
  <si>
    <t>https://twitter.com/Arcariam85/status/1441559222328647687</t>
  </si>
  <si>
    <t>Top URLs in Tweet in G5</t>
  </si>
  <si>
    <t>G4 Count</t>
  </si>
  <si>
    <t>https://piedepagina.mx/tapachula-la-ciudad-prision/</t>
  </si>
  <si>
    <t>Top URLs in Tweet in G6</t>
  </si>
  <si>
    <t>G5 Count</t>
  </si>
  <si>
    <t>Top URLs in Tweet in G7</t>
  </si>
  <si>
    <t>G6 Count</t>
  </si>
  <si>
    <t>https://versusmedia.mx/lo-que-queda-en-el-camino-estrena-en-el-giff-2021/</t>
  </si>
  <si>
    <t>https://www.elsiglodedurango.com.mx/2021/09/1341510.cinta-sobre-caravana-migrante-se-estrena-en-el-giff.html#.YUjc25Gos58.twitter</t>
  </si>
  <si>
    <t>Top URLs in Tweet in G8</t>
  </si>
  <si>
    <t>G7 Count</t>
  </si>
  <si>
    <t>Top URLs in Tweet in G9</t>
  </si>
  <si>
    <t>G8 Count</t>
  </si>
  <si>
    <t>Top URLs in Tweet in G10</t>
  </si>
  <si>
    <t>G9 Count</t>
  </si>
  <si>
    <t>G10 Count</t>
  </si>
  <si>
    <t>Top URLs in Tweet</t>
  </si>
  <si>
    <t>https://www.jornada.com.mx/notas/2021/09/21/estados/inm-envia-por-avion-a-120-haitianos-a-chiapas-desde-coahuila/ https://www.ejecentral.com.mx/inm-lleva-a-120-migrantes-a-chiapas-haitianos-siguen-llegando-al-norte/ https://cutt.ly/IEhgLyr</t>
  </si>
  <si>
    <t>https://www.meltingpot.org/Tapachula-frontiera-sud-del-Messico-migliaia-di-persone.html https://www.diariodelsur.com.mx/local/activa-guardia-nacional-busqueda-de-migrantes-en-taxis-7222717.html https://www.diariodelsur.com.mx/local/migrantes-intentan-salir-de-chiapas-con-rumbo-a-veracruz-7237222.html https://movimientomigrantemesoamericano.org/2021/09/16/se-desborda-flujo-migratorio/</t>
  </si>
  <si>
    <t>https://talcualdigital.com/el-bloqueo-migratorio-en-mexico-fortalece-al-crimen-organizado-por-carlos-barrachina-l/ https://www.mexnewz.mx/detectan-covid-en-20-de-pruebas-realizadas-a-migrantes/ http://www.infomediamx.com/65774/ https://www.youtube.com/watch?v=ItA1uxOf8TQ https://pulsosur.com/2021/09/20/estados-unidos-cierra-su-frontera-para-frenar-el-cruce-de-mas-migrantes-haitianos/ https://www.youtube.com/watch?v=Qb_wGiyo4NY&amp;feature=youtu.be https://www.youtube.com/watch?v=3RqhLdsLdeI&amp;feature=youtu.be https://www.youtube.com/watch?v=SVNAKVANq8o&amp;feature=youtu.be https://www.youtube.com/watch?v=2xnoo4EEV84&amp;feature=youtu.be https://twitter.com/Arcariam85/status/1441559222328647687</t>
  </si>
  <si>
    <t>https://versusmedia.mx/lo-que-queda-en-el-camino-estrena-en-el-giff-2021/ https://www.elsiglodedurango.com.mx/2021/09/1341510.cinta-sobre-caravana-migrante-se-estrena-en-el-giff.html#.YUjc25Gos58.twitter</t>
  </si>
  <si>
    <t>https://quintanaroo.quadratin.com.mx/agentes-del-inm-disparan-pistola-electrica-contra-haitiano-en-veracruz/</t>
  </si>
  <si>
    <t>https://laopinion.com/2021/09/22/migrantes-haitianos-secuestraron-brevemente-un-autobus-que-los-llevaba-a-un-aeropuerto-para-su-deportacion-en-texas/</t>
  </si>
  <si>
    <t>https://www.diariodemorelos.com/noticias/salvadore-o-mat-due-o-de-fonda-en-jiutepec-por-no-pagar-piso</t>
  </si>
  <si>
    <t>https://twitter.com/notienlacezap/status/1434305633826844675 https://twitter.com/quadratin_chis/status/1439027984120299520</t>
  </si>
  <si>
    <t>https://www.youtube.com/watch?v=abKSyMU9OvY&amp;feature=youtu.be</t>
  </si>
  <si>
    <t>https://jucomex.com/2021/09/13/ser-migrante-no-es-ser-delincuente/</t>
  </si>
  <si>
    <t>https://www.mexnewz.mx/detectan-covid-en-20-de-pruebas-realizadas-a-migrantes/ https://www.mexnewz.mx/mexico-y-haiti-establecen-mesa-de-dialogo-por-migrantes/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</si>
  <si>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</si>
  <si>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</si>
  <si>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</si>
  <si>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</si>
  <si>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</si>
  <si>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</si>
  <si>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</si>
  <si>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</si>
  <si>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</si>
  <si>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</si>
  <si>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</si>
  <si>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</si>
  <si>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com.mx cutt.ly</t>
  </si>
  <si>
    <t>com.mx meltingpot.org movimientomigrantemesoamericano.org</t>
  </si>
  <si>
    <t>youtube.com talcualdigital.com mexnewz.mx infomediamx.com pulsosur.com twitter.com</t>
  </si>
  <si>
    <t>youtube.com twitter.com</t>
  </si>
  <si>
    <t>versusmedia.mx com.mx</t>
  </si>
  <si>
    <t>Top Hashtags in Tweet in Entire Graph</t>
  </si>
  <si>
    <t>haiti</t>
  </si>
  <si>
    <t>haití</t>
  </si>
  <si>
    <t>fronterasur</t>
  </si>
  <si>
    <t>tuxtlagutiérrez</t>
  </si>
  <si>
    <t>migracion</t>
  </si>
  <si>
    <t>Top Hashtags in Tweet in G1</t>
  </si>
  <si>
    <t>Top Hashtags in Tweet in G2</t>
  </si>
  <si>
    <t>Top Hashtags in Tweet in G3</t>
  </si>
  <si>
    <t>messico</t>
  </si>
  <si>
    <t>Top Hashtags in Tweet in G4</t>
  </si>
  <si>
    <t>reynosa</t>
  </si>
  <si>
    <t>homeless</t>
  </si>
  <si>
    <t>crimenorganizado</t>
  </si>
  <si>
    <t>Top Hashtags in Tweet in G5</t>
  </si>
  <si>
    <t>caravanademigrantes</t>
  </si>
  <si>
    <t>crónica</t>
  </si>
  <si>
    <t>Top Hashtags in Tweet in G6</t>
  </si>
  <si>
    <t>astilleroinforma</t>
  </si>
  <si>
    <t>mesasegura</t>
  </si>
  <si>
    <t>envivo</t>
  </si>
  <si>
    <t>Top Hashtags in Tweet in G7</t>
  </si>
  <si>
    <t>cine</t>
  </si>
  <si>
    <t>documental</t>
  </si>
  <si>
    <t>guatemala</t>
  </si>
  <si>
    <t>loquequedaenelcamino</t>
  </si>
  <si>
    <t>giff</t>
  </si>
  <si>
    <t>giff2021</t>
  </si>
  <si>
    <t>loquequedadocu</t>
  </si>
  <si>
    <t>gif21</t>
  </si>
  <si>
    <t>Top Hashtags in Tweet in G8</t>
  </si>
  <si>
    <t>Top Hashtags in Tweet in G9</t>
  </si>
  <si>
    <t>delriobridge</t>
  </si>
  <si>
    <t>bordercrisis</t>
  </si>
  <si>
    <t>Top Hashtags in Tweet in G10</t>
  </si>
  <si>
    <t>policías</t>
  </si>
  <si>
    <t>Top Hashtags in Tweet</t>
  </si>
  <si>
    <t>haití caravanamigrante tuxtlagutiérrez migrantes chiapas méxico</t>
  </si>
  <si>
    <t>caravanamigrante fronterasur mexico tapachula messico</t>
  </si>
  <si>
    <t>caravanamigrante migrantes haiti youtube tamaulipas frontera reynosa haitianos homeless crimenorganizado</t>
  </si>
  <si>
    <t>caravanamigrante tapachula mexico chiapas fronterasur migrantes migración caravanademigrantes crónica</t>
  </si>
  <si>
    <t>caravanamigrante cine documental migración guatemala loquequedaenelcamino giff giff2021 loquequedadocu gif21</t>
  </si>
  <si>
    <t>caravanamigrante migrantes violencia chiapas policías</t>
  </si>
  <si>
    <t>usa haitians georgesoros globalism bordercrisis migrants geofence caravanamigrante invasion joebiden</t>
  </si>
  <si>
    <t>mexico migracion caravanamigrante eeuu</t>
  </si>
  <si>
    <t>caravanamigrante travesiaporlavida ezln haitianos</t>
  </si>
  <si>
    <t>méxico migrantes nacional caravanamigrante covid estados covid19 covidmigrantes haití diálogo</t>
  </si>
  <si>
    <t>pozarica tihuatlan papantla coatzintla cazones distrito4185 huracangrace caravanamigrante servirparacambiarvida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</si>
  <si>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</si>
  <si>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</si>
  <si>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</si>
  <si>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</si>
  <si>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</si>
  <si>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</si>
  <si>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</si>
  <si>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</si>
  <si>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</si>
  <si>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</si>
  <si>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</si>
  <si>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</si>
  <si>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haitianos tremenda fotografía aprecia guardia fronterizo caballo usando látigo contra</t>
  </si>
  <si>
    <t>inami_mx #haití #caravanamigrante salvoconducto 20 días otorgando gobiernomx medio personas</t>
  </si>
  <si>
    <t>migranti #caravanamigrante asilo #fronterasur fallimento tapachula #mexico nei caccia dopo</t>
  </si>
  <si>
    <t>#caravanamigrante #migrantes migrantes #haiti #youtube #tamaulipas #frontera haitianos caravana hacia</t>
  </si>
  <si>
    <t>#caravanamigrante gn_mexico_ #tapachula brutal cacería inami_mx contra migrantes huyeron #mexico</t>
  </si>
  <si>
    <t>co #astilleroinforma julioastillero 1a3pm lun vie jueves #mesasegura gcorreacabrera roncoblu</t>
  </si>
  <si>
    <t>gracias #caravanamigrante #cine #documental #migración #guatemala #loquequedaenelcamino #giff giffmx nuestro</t>
  </si>
  <si>
    <t>colectivos semanas previas recabado testimonios personas familias niñ pequeños fueron</t>
  </si>
  <si>
    <t>#caravanamigrante cientos #migrantes lugar seguir ruta costa hacia huixtla mapastepec</t>
  </si>
  <si>
    <t>#caravanamigrante migrantes centroamericanos opinión 36 buena 39 mala 56 acuerdo</t>
  </si>
  <si>
    <t>#pregunta seria cndh servidores publicos inami_mx autorizado uso armas letales</t>
  </si>
  <si>
    <t>#usa #haitians #georgesoros #globalism #bordercrisis #migrants #geofence #caravanamigrante #invasion #joebiden</t>
  </si>
  <si>
    <t>aprovechando empatía #caravanamigrante algunas precisiones legales sé floreja suma importancia</t>
  </si>
  <si>
    <t>tamaulipas fueron madrugada sedenamx detuvo paso #caravanamigrante migrantes bajados camiones</t>
  </si>
  <si>
    <t>amotinados haitianos secuestran conducen autobús llevaba aeropuerto deportados cuál partido</t>
  </si>
  <si>
    <t>gracias apertura fronteras ausencia contrles migratorios #caravanamigrante</t>
  </si>
  <si>
    <t>#caravanamigrante #travesiaporlavida #ezln</t>
  </si>
  <si>
    <t>#caravanamigrante buses migrants arrive wait shelter #tijuana video liliana nieto</t>
  </si>
  <si>
    <t>migración natural ilegal defendamos derecho nuestrxs hermanxs vida plena libre</t>
  </si>
  <si>
    <t>#méxico #migrantes #nacional #caravanamigrante detectan #covid 20 pruebas realizadas #estados</t>
  </si>
  <si>
    <t>#pozarica club rotario rotaract amor calles entregó 1788 comidas calientes</t>
  </si>
  <si>
    <t>Top Word Pairs in Tweet in Entire Graph</t>
  </si>
  <si>
    <t>#haiti,#caravanamigrante</t>
  </si>
  <si>
    <t>tremenda,fotografía</t>
  </si>
  <si>
    <t>fotografía,aprecia</t>
  </si>
  <si>
    <t>aprecia,guardia</t>
  </si>
  <si>
    <t>guardia,fronterizo</t>
  </si>
  <si>
    <t>fronterizo,caballo</t>
  </si>
  <si>
    <t>caballo,usando</t>
  </si>
  <si>
    <t>usando,látigo</t>
  </si>
  <si>
    <t>látigo,contra</t>
  </si>
  <si>
    <t>contra,haitianos</t>
  </si>
  <si>
    <t>Top Word Pairs in Tweet in G1</t>
  </si>
  <si>
    <t>haitianos,intentan</t>
  </si>
  <si>
    <t>Top Word Pairs in Tweet in G2</t>
  </si>
  <si>
    <t>salvoconducto,20</t>
  </si>
  <si>
    <t>20,días</t>
  </si>
  <si>
    <t>días,otorgando</t>
  </si>
  <si>
    <t>otorgando,gobiernomx</t>
  </si>
  <si>
    <t>gobiernomx,medio</t>
  </si>
  <si>
    <t>medio,inami_mx</t>
  </si>
  <si>
    <t>inami_mx,personas</t>
  </si>
  <si>
    <t>personas,llegado</t>
  </si>
  <si>
    <t>llegado,#tuxtlagutiérrez</t>
  </si>
  <si>
    <t>#tuxtlagutiérrez,procedentes</t>
  </si>
  <si>
    <t>Top Word Pairs in Tweet in G3</t>
  </si>
  <si>
    <t>#fronterasur,migliaia</t>
  </si>
  <si>
    <t>migliaia,migranti</t>
  </si>
  <si>
    <t>migranti,richiedenti</t>
  </si>
  <si>
    <t>richiedenti,asilo</t>
  </si>
  <si>
    <t>asilo,intrappolati</t>
  </si>
  <si>
    <t>intrappolati,dal</t>
  </si>
  <si>
    <t>dal,fallimento</t>
  </si>
  <si>
    <t>fallimento,sistema</t>
  </si>
  <si>
    <t>sistema,asilo</t>
  </si>
  <si>
    <t>asilo,mia</t>
  </si>
  <si>
    <t>Top Word Pairs in Tweet in G4</t>
  </si>
  <si>
    <t>cierra,#frontera</t>
  </si>
  <si>
    <t>Top Word Pairs in Tweet in G5</t>
  </si>
  <si>
    <t>brutal,cacería</t>
  </si>
  <si>
    <t>cacería,inami_mx</t>
  </si>
  <si>
    <t>inami_mx,gn_mexico_</t>
  </si>
  <si>
    <t>gn_mexico_,contra</t>
  </si>
  <si>
    <t>contra,migrantes</t>
  </si>
  <si>
    <t>migrantes,huyeron</t>
  </si>
  <si>
    <t>huyeron,#tapachula</t>
  </si>
  <si>
    <t>#tapachula,#mexico</t>
  </si>
  <si>
    <t>#mexico,encarcelan</t>
  </si>
  <si>
    <t>encarcelan,acceso</t>
  </si>
  <si>
    <t>Top Word Pairs in Tweet in G6</t>
  </si>
  <si>
    <t>#astilleroinforma,julioastillero</t>
  </si>
  <si>
    <t>julioastillero,1a3pm</t>
  </si>
  <si>
    <t>1a3pm,lun</t>
  </si>
  <si>
    <t>lun,vie</t>
  </si>
  <si>
    <t>vie,jueves</t>
  </si>
  <si>
    <t>jueves,#mesasegura</t>
  </si>
  <si>
    <t>#mesasegura,gcorreacabrera</t>
  </si>
  <si>
    <t>gcorreacabrera,roncoblu</t>
  </si>
  <si>
    <t>roncoblu,rravelo27</t>
  </si>
  <si>
    <t>rravelo27,#envivo</t>
  </si>
  <si>
    <t>Top Word Pairs in Tweet in G7</t>
  </si>
  <si>
    <t>#cine,#documental</t>
  </si>
  <si>
    <t>#giff,#migración</t>
  </si>
  <si>
    <t>#migración,#caravanamigrante</t>
  </si>
  <si>
    <t>#caravanamigrante,#guatemala</t>
  </si>
  <si>
    <t>ayer,vivimos</t>
  </si>
  <si>
    <t>vivimos,nuestro</t>
  </si>
  <si>
    <t>nuestro,estreno</t>
  </si>
  <si>
    <t>estreno,mundial</t>
  </si>
  <si>
    <t>mundial,giffmx</t>
  </si>
  <si>
    <t>giffmx,gracias</t>
  </si>
  <si>
    <t>Top Word Pairs in Tweet in G8</t>
  </si>
  <si>
    <t>semanas,previas</t>
  </si>
  <si>
    <t>previas,colectivos</t>
  </si>
  <si>
    <t>colectivos,recabado</t>
  </si>
  <si>
    <t>recabado,testimonios</t>
  </si>
  <si>
    <t>testimonios,personas</t>
  </si>
  <si>
    <t>personas,familias</t>
  </si>
  <si>
    <t>familias,niñ</t>
  </si>
  <si>
    <t>niñ,pequeños</t>
  </si>
  <si>
    <t>pequeños,fueron</t>
  </si>
  <si>
    <t>fueron,detenidas</t>
  </si>
  <si>
    <t>Top Word Pairs in Tweet in G9</t>
  </si>
  <si>
    <t>Top Word Pairs in Tweet in G10</t>
  </si>
  <si>
    <t>cientos,#migrantes</t>
  </si>
  <si>
    <t>#migrantes,lugar</t>
  </si>
  <si>
    <t>lugar,seguir</t>
  </si>
  <si>
    <t>seguir,ruta</t>
  </si>
  <si>
    <t>ruta,costa</t>
  </si>
  <si>
    <t>costa,hacia</t>
  </si>
  <si>
    <t>hacia,huixtla</t>
  </si>
  <si>
    <t>huixtla,mapastepec</t>
  </si>
  <si>
    <t>mapastepec,cuatro</t>
  </si>
  <si>
    <t>cuatro,caravanas</t>
  </si>
  <si>
    <t>Top Word Pairs in Tweet</t>
  </si>
  <si>
    <t>tremenda,fotografía  fotografía,aprecia  aprecia,guardia  guardia,fronterizo  fronterizo,caballo  caballo,usando  usando,látigo  látigo,contra  contra,haitianos  haitianos,intentan</t>
  </si>
  <si>
    <t>salvoconducto,20  20,días  días,otorgando  otorgando,gobiernomx  gobiernomx,medio  medio,inami_mx  inami_mx,personas  personas,llegado  llegado,#tuxtlagutiérrez  #tuxtlagutiérrez,procedentes</t>
  </si>
  <si>
    <t>#fronterasur,migliaia  migliaia,migranti  migranti,richiedenti  richiedenti,asilo  asilo,intrappolati  intrappolati,dal  dal,fallimento  fallimento,sistema  sistema,asilo  asilo,mia</t>
  </si>
  <si>
    <t>brutal,cacería  cacería,inami_mx  inami_mx,gn_mexico_  gn_mexico_,contra  contra,migrantes  migrantes,huyeron  huyeron,#tapachula  #tapachula,#mexico  #mexico,encarcelan  encarcelan,acceso</t>
  </si>
  <si>
    <t>#astilleroinforma,julioastillero  julioastillero,1a3pm  1a3pm,lun  lun,vie  vie,jueves  jueves,#mesasegura  #mesasegura,gcorreacabrera  gcorreacabrera,roncoblu  roncoblu,rravelo27  rravelo27,#envivo</t>
  </si>
  <si>
    <t>#cine,#documental  #giff,#migración  #migración,#caravanamigrante  #caravanamigrante,#guatemala  ayer,vivimos  vivimos,nuestro  nuestro,estreno  estreno,mundial  mundial,giffmx  giffmx,gracias</t>
  </si>
  <si>
    <t>semanas,previas  previas,colectivos  colectivos,recabado  recabado,testimonios  testimonios,personas  personas,familias  familias,niñ  niñ,pequeños  pequeños,fueron  fueron,detenidas</t>
  </si>
  <si>
    <t>cientos,#migrantes  #migrantes,lugar  lugar,seguir  seguir,ruta  ruta,costa  costa,hacia  hacia,huixtla  huixtla,mapastepec  mapastepec,cuatro  cuatro,caravanas</t>
  </si>
  <si>
    <t>migrantes,centroamericanos  36,buena  buena,opinión  opinión,migrantes  centroamericanos,39  39,mala  mala,opinión  opinión,#caravanamigrante  56,acuerdo  acuerdo,impida</t>
  </si>
  <si>
    <t>#pregunta,seria  seria,cndh  cndh,servidores  servidores,publicos  publicos,inami_mx  inami_mx,autorizado  autorizado,uso  uso,armas  armas,letales  letales,pistolas</t>
  </si>
  <si>
    <t>#usa,#haitians  #haitians,#georgesoros  #georgesoros,#globalism  #globalism,#bordercrisis  #bordercrisis,#migrants  #migrants,#geofence  #geofence,#caravanamigrante  #caravanamigrante,#invasion  #joebiden,already  already,killed</t>
  </si>
  <si>
    <t>aprovechando,empatía  empatía,#caravanamigrante  #caravanamigrante,algunas  algunas,precisiones  precisiones,legales  legales,sé  sé,floreja  floreja,suma  suma,importancia  importancia,entender</t>
  </si>
  <si>
    <t>madrugada,sedenamx  sedenamx,detuvo  detuvo,paso  paso,#caravanamigrante  #caravanamigrante,tamaulipas  tamaulipas,migrantes  migrantes,fueron  fueron,bajados  bajados,camiones  camiones,viajaban</t>
  </si>
  <si>
    <t>amotinados,haitianos  haitianos,secuestran  secuestran,conducen  conducen,autobús  autobús,llevaba  llevaba,aeropuerto  aeropuerto,deportados  deportados,cuál  cuál,partido  partido,puente</t>
  </si>
  <si>
    <t>gracias,apertura  apertura,fronteras  fronteras,ausencia  ausencia,contrles  contrles,migratorios  migratorios,#caravanamigrante</t>
  </si>
  <si>
    <t>#caravanamigrante,#travesiaporlavida  #travesiaporlavida,#ezln</t>
  </si>
  <si>
    <t>#caravanamigrante,buses  buses,migrants  migrants,arrive  arrive,wait  wait,shelter  shelter,#tijuana  #tijuana,video  video,liliana  liliana,nieto  nieto,río</t>
  </si>
  <si>
    <t>migración,natural  natural,ilegal  ilegal,defendamos  defendamos,derecho  derecho,nuestrxs  nuestrxs,hermanxs  hermanxs,vida  vida,plena  plena,libre  libre,violencia</t>
  </si>
  <si>
    <t>detectan,#covid  #covid,20  20,pruebas  pruebas,realizadas  realizadas,#migrantes  #migrantes,#estados  #estados,#nacional  #nacional,#méxico  #méxico,#covid19  #covid19,#caravanamigrante</t>
  </si>
  <si>
    <t>club,rotario  rotario,rotaract  rotaract,amor  amor,calles  calles,#pozarica  #pozarica,entregó  entregó,1788  1788,comidas  comidas,calientes  calientes,población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</si>
  <si>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</si>
  <si>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</si>
  <si>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</si>
  <si>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</si>
  <si>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</si>
  <si>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</si>
  <si>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</si>
  <si>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</si>
  <si>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</si>
  <si>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</si>
  <si>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</si>
  <si>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</si>
  <si>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</si>
  <si>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</si>
  <si>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</si>
  <si>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</si>
  <si>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</si>
  <si>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</si>
  <si>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</si>
  <si>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</si>
  <si>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</si>
  <si>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</si>
  <si>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</si>
  <si>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</si>
  <si>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inami_mx gobiernomx</t>
  </si>
  <si>
    <t>gn_mexico_ inami_mx angelesmariscal</t>
  </si>
  <si>
    <t>julioastillero gcorreacabrera roncoblu rravelo27</t>
  </si>
  <si>
    <t>giffmx versusmex</t>
  </si>
  <si>
    <t>gop dnc gopleader speakerpelosi</t>
  </si>
  <si>
    <t>cndh inami_mx onudhmexico onu_derechos</t>
  </si>
  <si>
    <t>realjameswoods catturd2</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</si>
  <si>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</si>
  <si>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</si>
  <si>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</si>
  <si>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</si>
  <si>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</si>
  <si>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</si>
  <si>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</si>
  <si>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</si>
  <si>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</si>
  <si>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</si>
  <si>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</si>
  <si>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</si>
  <si>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digitalixmx jorge2t23 voyagercosmic85 isela_mr alitasibarita gallofuego victorvola jorge_navarro nelvaldez alexcarreonmty</t>
  </si>
  <si>
    <t>ejecentral lajornadaonline atzihualibre joel_fm_ javierffrankie1 educhiapas monroygar ccc9012 antonio69111557 adriana_yafa</t>
  </si>
  <si>
    <t>palabritadepape cheguevararoma rmilell66 svirgola2 chrispeverieri rodrigezthayri meltingpoteu albypiero fraespoesposito annamaribel4</t>
  </si>
  <si>
    <t>uriluisni azteca_tamps atenea_cb infomediamx4 obritob surpulso samuelspl pirubruja cbarrachina1 jorgeberna</t>
  </si>
  <si>
    <t>isain pdpagina angelesmariscal pepepareja gn_mexico_ tapabav rolobss1</t>
  </si>
  <si>
    <t>julioastillero comoleerenbici xxiperiodismo gcorreacabrera rravelo27 carminamontesi2 roncoblu</t>
  </si>
  <si>
    <t>versusmex giffmx prensagiff el7vicio jan_aguileram doculqqeec</t>
  </si>
  <si>
    <t>smolninalia lostejemedios algaraba8 avispa_midia adrianoespa miradsalmargen1</t>
  </si>
  <si>
    <t>gop gopleader speakerpelosi potus jay00291440 dnc</t>
  </si>
  <si>
    <t>cesar_alonso__ eunicerendon viral_mx agendamigrante luisglez33</t>
  </si>
  <si>
    <t>anaschwarz dianadi58 gabinetemex kaleydoscopio1</t>
  </si>
  <si>
    <t>foforo99 cndh onudhmexico onu_derechos</t>
  </si>
  <si>
    <t>catturd2 realjameswoods real_marquis gardenpeace9</t>
  </si>
  <si>
    <t>elbagutierrez itelloarista jorgeluisveve</t>
  </si>
  <si>
    <t>borgestom temoris cartoncamacho</t>
  </si>
  <si>
    <t>leav_11 sedenamx alexvalan</t>
  </si>
  <si>
    <t>dontreadthis97 darinelzacarias vim_media</t>
  </si>
  <si>
    <t>chefbaez vrodriguezphd</t>
  </si>
  <si>
    <t>actualidadrt the_watcher_man</t>
  </si>
  <si>
    <t>mlopezsanmartin p3drohz45</t>
  </si>
  <si>
    <t>jclopezlee saraeli62035609</t>
  </si>
  <si>
    <t>gaboku_hirako danielascalante</t>
  </si>
  <si>
    <t>gopnik_slavic pmcdonnelllat</t>
  </si>
  <si>
    <t>youtube dalealplaymx</t>
  </si>
  <si>
    <t>eliphaleth jcmnuevoleon</t>
  </si>
  <si>
    <t>mexnewz mexnewztam</t>
  </si>
  <si>
    <t>bauzaoficial cokteleria</t>
  </si>
  <si>
    <t>URLs in Tweet by Count</t>
  </si>
  <si>
    <t>https://www.meltingpot.org/Tapachula-frontiera-sud-del-Messico-migliaia-di-persone.html https://www.diariodelsur.com.mx/local/migrantes-intentan-salir-de-chiapas-con-rumbo-a-veracruz-7237222.html https://movimientomigrantemesoamericano.org/2021/09/16/se-desborda-flujo-migratorio/ https://www.diariodelsur.com.mx/local/activa-guardia-nacional-busqueda-de-migrantes-en-taxis-7222717.html</t>
  </si>
  <si>
    <t>https://www.mexnewz.mx/mexico-y-haiti-establecen-mesa-de-dialogo-por-migrantes/ https://www.mexnewz.mx/detectan-covid-en-20-de-pruebas-realizadas-a-migrantes/</t>
  </si>
  <si>
    <t>https://www.meltingpot.org/Tapachula-frontiera-sud-del-Messico-migliaia-di-persone.html https://movimientomigrantemesoamericano.org/2021/09/16/se-desborda-flujo-migratorio/ https://www.diariodelsur.com.mx/local/activa-guardia-nacional-busqueda-de-migrantes-en-taxis-7222717.html</t>
  </si>
  <si>
    <t>https://twitter.com/quadratin_chis/status/1439027984120299520 https://twitter.com/notienlacezap/status/1434305633826844675</t>
  </si>
  <si>
    <t>https://twitter.com/notienlacezap/status/1434305633826844675</t>
  </si>
  <si>
    <t>https://www.diariodelsur.com.mx/local/migrantes-intentan-salir-de-chiapas-con-rumbo-a-veracruz-7237222.html https://www.diariodelsur.com.mx/local/activa-guardia-nacional-busqueda-de-migrantes-en-taxis-7222717.html</t>
  </si>
  <si>
    <t>https://cutt.ly/IEhgLyr https://www.ejecentral.com.mx/inm-lleva-a-120-migrantes-a-chiapas-haitianos-siguen-llegando-al-norte/</t>
  </si>
  <si>
    <t>https://www.youtube.com/watch?v=Qb_wGiyo4NY&amp;feature=youtu.be https://www.youtube.com/watch?v=2xnoo4EEV84&amp;feature=youtu.be https://www.youtube.com/watch?v=SVNAKVANq8o&amp;feature=youtu.be https://www.youtube.com/watch?v=3RqhLdsLdeI&amp;feature=youtu.be</t>
  </si>
  <si>
    <t>URLs in Tweet by Salience</t>
  </si>
  <si>
    <t>Domains in Tweet by Count</t>
  </si>
  <si>
    <t>meltingpot.org com.mx movimientomigrantemesoamericano.org</t>
  </si>
  <si>
    <t>meltingpot.org movimientomigrantemesoamericano.org com.mx</t>
  </si>
  <si>
    <t>cutt.ly com.mx</t>
  </si>
  <si>
    <t>Domains in Tweet by Salience</t>
  </si>
  <si>
    <t>Hashtags in Tweet by Count</t>
  </si>
  <si>
    <t>méxico migrantes nacional caravanamigrante haití diálogo internacional migración covid estados</t>
  </si>
  <si>
    <t>caravanamigrante policías migrantes violencia chiapas</t>
  </si>
  <si>
    <t>joebiden covid19 usa haitians georgesoros globalism bordercrisis migrants geofence caravanamigrante</t>
  </si>
  <si>
    <t>caravanamigrante tapachula chiapas fronterasur migrantes migración caravanademigrantes crónica</t>
  </si>
  <si>
    <t>caravanamigrante fronterasur tapachula mexico messico</t>
  </si>
  <si>
    <t>caravanamigrante tamaulipas sanfernando reynosa tampico</t>
  </si>
  <si>
    <t>caravanamigrante haitianos travesiaporlavida ezln</t>
  </si>
  <si>
    <t>migrantes estadosunidos frontera migrationeu haiti haitianmigrants haitianos caravanamigrante</t>
  </si>
  <si>
    <t>caravanamigrante fronterasur mexico messico</t>
  </si>
  <si>
    <t>caravanamigrante youtube homeless frontera california blm americandream elsuenoamericano caravana migrante</t>
  </si>
  <si>
    <t>Hashtags in Tweet by Salience</t>
  </si>
  <si>
    <t>tapachula messico mexico fronterasur caravanamigrante</t>
  </si>
  <si>
    <t>haití diálogo internacional migración covid estados covid19 covidmigrantes méxico migrantes</t>
  </si>
  <si>
    <t>policías migrantes violencia chiapas caravanamigrante</t>
  </si>
  <si>
    <t>tapachula chiapas fronterasur migrantes migración caravanademigrantes crónica caravanamigrante</t>
  </si>
  <si>
    <t>tapachula mexico messico fronterasur caravanamigrante</t>
  </si>
  <si>
    <t>sanfernando reynosa tampico caravanamigrante tamaulipas</t>
  </si>
  <si>
    <t>haitianos travesiaporlavida ezln caravanamigrante</t>
  </si>
  <si>
    <t>fronterasur mexico messico caravanamigrante</t>
  </si>
  <si>
    <t>loquequedadocu gif21 migracion giff giff2021 máscineporfavor irapuato migración guatemala loquequedaenelcamino</t>
  </si>
  <si>
    <t>homeless frontera california blm americandream elsuenoamericano caravana migrante haiti matamoros</t>
  </si>
  <si>
    <t>Top Words in Tweet by Count</t>
  </si>
  <si>
    <t>reflexión #migrantes #crimenorganizado acaba publicado medio venezolano tal cual</t>
  </si>
  <si>
    <t>nei caccia #messico ciò sta succedendo pressi tapachula inquietante dopo</t>
  </si>
  <si>
    <t>migranti #fronterasur asilo fallimento #mexico tapachula migliaia richiedenti intrappolati dal</t>
  </si>
  <si>
    <t>realizan velada migrantes tapachula pedir dios autoridades dejen seguir camino</t>
  </si>
  <si>
    <t>detectan #covid 20 pruebas realizadas #migrantes #estados #nacional #méxico #covid19</t>
  </si>
  <si>
    <t>#méxico #migrantes #nacional #haití establecen mesa #diálogo #internacional #migración detectan</t>
  </si>
  <si>
    <t>#fronterasur flusso migratorio straripato cercano evitare cadere nelle mani delle</t>
  </si>
  <si>
    <t>#nacionales muere atropellada menor viajaba grupo migrantes</t>
  </si>
  <si>
    <t>cientos #migrantes lugar seguir ruta costa hacia huixtla mapastepec cuatro</t>
  </si>
  <si>
    <t>muchos somos extorsionados #policías estatales municipales choferes mototaxis colectivos incluso</t>
  </si>
  <si>
    <t>#usa #haitians #georgesoros #globalism #bordercrisis #migrants #geofence #invasion #joebiden already</t>
  </si>
  <si>
    <t>asilo #fronterasur migliaia migranti richiedenti intrappolati dal fallimento sistema mia</t>
  </si>
  <si>
    <t>#joebiden already killed more kids #covid19 week #28 delaware #usa</t>
  </si>
  <si>
    <t>inicio semana topó cerco gn_mexico_ sino sistema migratorio corrupto colapsado</t>
  </si>
  <si>
    <t>#tapachula #chiapas #fronterasur #migrantes #migración #caravanademigrantes inicio semana topó cerco</t>
  </si>
  <si>
    <t>#tapachula #chiapas #fronterasur #migrantes #migración #caravanademigrantes</t>
  </si>
  <si>
    <t>#migrantes #noticias #tamaulipas #zacatecas #estadosunidos #muro #reynosa migrantes haitianos desafían</t>
  </si>
  <si>
    <t>asilo #fronterasur migranti migliaia richiedenti intrappolati dal fallimento sistema mia</t>
  </si>
  <si>
    <t>buses migrants arrive wait shelter #tijuana video liliana nieto río</t>
  </si>
  <si>
    <t>opinión 36 buena migrantes centroamericanos 39 mala</t>
  </si>
  <si>
    <t>migrantes centroamericanos 36 opinión 31 opina autoridades mexicanas actúan exceso</t>
  </si>
  <si>
    <t>migrantes centroamericanos 36 opinión 56 acuerdo impida paso encabezan desacuerdo</t>
  </si>
  <si>
    <t>migrantes centroamericanos 36 opinión 78 conocimiento frontera méxico 21 desconoce</t>
  </si>
  <si>
    <t>haitianos #tamaulipas fin semana 200 pernoctaron #sanfernando iniciaron travesía caravana</t>
  </si>
  <si>
    <t>tamaulipas fueron madrugada sedenamx detuvo paso migrantes bajados camiones viajaban</t>
  </si>
  <si>
    <t>repugnante están violentando dh amlo diciendo eran #haitianos #travesiaporlavida #ezln</t>
  </si>
  <si>
    <t>#travesiaporlavida #ezln</t>
  </si>
  <si>
    <t>salvoconducto 20 días otorgando gobiernomx medio inami_mx personas llegado #tuxtlagutiérrez</t>
  </si>
  <si>
    <t>#migrantes #migracion #migranteshaitianos</t>
  </si>
  <si>
    <t>migranti #fronterasur dopo fallimento delle dissolte forza dalle autorità centro</t>
  </si>
  <si>
    <t>#migrantes #estadosunidos cierra #frontera frenar cruce #migrationeu #haiti #haitianmigrants #haitianos</t>
  </si>
  <si>
    <t>tamaulipecas empezaron presumir noviazgos #haitianos descontrolar #reynosa #acuña #haití #migrantes</t>
  </si>
  <si>
    <t>semana inami_mx envió #chiapas avión 120 #migrantes originarios #haití formaron</t>
  </si>
  <si>
    <t>migranti dopo negli tapachula nei caccia #fronterasur fallimento delle dissolte</t>
  </si>
  <si>
    <t>potus happended words china chastising israel talk hamas failure already</t>
  </si>
  <si>
    <t>ayer vivimos nuestro estreno mundial giffmx gracias acompañaron #loquequedaenelcamino #giff</t>
  </si>
  <si>
    <t>gracias #cine #documental #migración #guatemala #loquequedaenelcamino #giff #giff2021 giffmx #loquequedadocu</t>
  </si>
  <si>
    <t>#capitalismo malo #socialismo mejor caravana migrantes dirige #usa hacia #venezuela</t>
  </si>
  <si>
    <t>120 #migrantes #haití llegaron frontera norte #méxico fueron llevados chiapas</t>
  </si>
  <si>
    <t>aprovechando empatía algunas precisiones legales sé floreja suma importancia entender</t>
  </si>
  <si>
    <t>#mexico temoris cartoncamacho fronteras fueran necesarias existirían #migracion irregular mal</t>
  </si>
  <si>
    <t>brutal cacería inami_mx gn_mexico_ contra migrantes huyeron #tapachula #mexico encarcelan</t>
  </si>
  <si>
    <t>#youtube #homeless #frontera #california #blm #americandream #elsuenoamericano venice beach homeless</t>
  </si>
  <si>
    <t>gracias apertura fronteras ausencia contrles migratorios</t>
  </si>
  <si>
    <t>mlopezsanmartin antes #campamento apoyo hoy elementos #inm caza #migrantes centrales</t>
  </si>
  <si>
    <t>actualidadrt sigan migrando #haitianos #haiti #migrantes #migrante</t>
  </si>
  <si>
    <t>verdadera cara oportunismo victimismo inmigrantes ilegales #haiti incomoda #ongs #politicos</t>
  </si>
  <si>
    <t>Top Words in Tweet by Salience</t>
  </si>
  <si>
    <t>asilo nei caccia migliaia richiedenti intrappolati dal sistema mia intervista</t>
  </si>
  <si>
    <t>#haití establecen mesa #diálogo #internacional #migración detectan #covid 20 pruebas</t>
  </si>
  <si>
    <t>#joebiden already killed more kids #covid19 week #28 delaware realjameswoods</t>
  </si>
  <si>
    <t>asilo nei caccia migliaia richiedenti intrappolati dal fallimento sistema mia</t>
  </si>
  <si>
    <t>opinión 36 31 opina autoridades mexicanas actúan exceso violencia ante</t>
  </si>
  <si>
    <t>opinión 56 acuerdo impida paso encabezan desacuerdo buena 39 mala</t>
  </si>
  <si>
    <t>opinión 36 78 conocimiento frontera méxico 21 desconoce tema buena</t>
  </si>
  <si>
    <t>fin semana 200 pernoctaron #sanfernando iniciaron travesía caravana hacia frontera</t>
  </si>
  <si>
    <t>nei caccia #fronterasur fallimento delle dissolte forza dalle autorità centro</t>
  </si>
  <si>
    <t>#loquequedadocu #gif21 #migracion nuestro #giff #giff2021 giffmx muchas versusmex regalado</t>
  </si>
  <si>
    <t>#homeless #frontera #california #blm #americandream #elsuenoamericano venice beach homeless encampment</t>
  </si>
  <si>
    <t>Top Word Pairs in Tweet by Count</t>
  </si>
  <si>
    <t>reflexión,#migrantes  #migrantes,#caravanamigrante  #caravanamigrante,#crimenorganizado  #crimenorganizado,acaba  acaba,publicado  publicado,medio  medio,venezolano  venezolano,tal  tal,cual</t>
  </si>
  <si>
    <t>#messico,ciò  ciò,sta  sta,succedendo  succedendo,nei  nei,pressi  pressi,tapachula  tapachula,inquietante  inquietante,dopo  dopo,aver  aver,dissolto</t>
  </si>
  <si>
    <t>realizan,velada  velada,migrantes  migrantes,tapachula  tapachula,pedir  pedir,dios  dios,autoridades  autoridades,dejen  dejen,seguir  seguir,camino  camino,eu</t>
  </si>
  <si>
    <t>#méxico,#haití  #haití,establecen  establecen,mesa  mesa,#diálogo  #diálogo,#migrantes  #migrantes,#nacional  #nacional,#internacional  #internacional,#migración  #migración,#caravanamigrante  detectan,#covid</t>
  </si>
  <si>
    <t>#fronterasur,flusso  flusso,migratorio  migratorio,straripato  straripato,cercano  cercano,evitare  evitare,cadere  cadere,nelle  nelle,mani  mani,delle  delle,autorità</t>
  </si>
  <si>
    <t>#nacionales,#caravanamigrante  #caravanamigrante,muere  muere,atropellada  atropellada,menor  menor,viajaba  viajaba,grupo  grupo,migrantes</t>
  </si>
  <si>
    <t>muchos,somos  somos,extorsionados  extorsionados,#policías  #policías,estatales  estatales,municipales  municipales,choferes  choferes,mototaxis  mototaxis,colectivos  colectivos,incluso  incluso,hoteles</t>
  </si>
  <si>
    <t>#joebiden,already  already,killed  killed,more  more,kids  kids,#covid19  #covid19,week  week,#28  #28,delaware  delaware,#usa  #usa,#haitians</t>
  </si>
  <si>
    <t>inicio,semana  semana,#caravanamigrante  #caravanamigrante,topó  topó,cerco  cerco,gn_mexico_  gn_mexico_,sino  sino,sistema  sistema,migratorio  migratorio,corrupto  corrupto,colapsado</t>
  </si>
  <si>
    <t>#tapachula,#chiapas  #chiapas,#fronterasur  #fronterasur,#migrantes  #migrantes,#migración  #migración,#caravanamigrante  #caravanamigrante,#caravanademigrantes  inicio,semana  semana,#caravanamigrante  #caravanamigrante,topó  topó,cerco</t>
  </si>
  <si>
    <t>#tapachula,#chiapas  #chiapas,#fronterasur  #fronterasur,#migrantes  #migrantes,#migración  #migración,#caravanamigrante  #caravanamigrante,#caravanademigrantes</t>
  </si>
  <si>
    <t>#migrantes,#caravanamigrante  #caravanamigrante,#noticias  #noticias,#tamaulipas  #tamaulipas,#zacatecas  #zacatecas,#estadosunidos  #estadosunidos,#muro  #muro,#reynosa  #reynosa,migrantes  migrantes,haitianos  haitianos,desafían</t>
  </si>
  <si>
    <t>36,buena  buena,opinión  opinión,migrantes  migrantes,centroamericanos  centroamericanos,39  39,mala  mala,opinión  opinión,#caravanamigrante</t>
  </si>
  <si>
    <t>migrantes,centroamericanos  31,opina  opina,autoridades  autoridades,mexicanas  mexicanas,actúan  actúan,exceso  exceso,violencia  violencia,ante  ante,#caravanamigrante  #caravanamigrante,migrantes</t>
  </si>
  <si>
    <t>migrantes,centroamericanos  56,acuerdo  acuerdo,impida  impida,paso  paso,migrantes  centroamericanos,encabezan  encabezan,#caravanamigrante  #caravanamigrante,36  36,desacuerdo  36,buena</t>
  </si>
  <si>
    <t>migrantes,centroamericanos  78,conocimiento  conocimiento,#caravanamigrante  #caravanamigrante,frontera  frontera,méxico  méxico,21  21,desconoce  desconoce,tema  36,buena  buena,opinión</t>
  </si>
  <si>
    <t>#caravanamigrante,fin  fin,semana  semana,200  200,haitianos  haitianos,pernoctaron  pernoctaron,#sanfernando  #sanfernando,#tamaulipas  #tamaulipas,iniciaron  iniciaron,travesía  travesía,caravana</t>
  </si>
  <si>
    <t>repugnante,están  están,violentando  violentando,dh  dh,amlo  amlo,diciendo  diciendo,eran  eran,#caravanamigrante  #caravanamigrante,#haitianos  #caravanamigrante,#travesiaporlavida  #travesiaporlavida,#ezln</t>
  </si>
  <si>
    <t>#migrantes,#migracion  #migracion,#migranteshaitianos  #migranteshaitianos,#caravanamigrante</t>
  </si>
  <si>
    <t>#fronterasur,dopo  dopo,fallimento  fallimento,delle  delle,#caravanamigrante  #caravanamigrante,dissolte  dissolte,forza  forza,dalle  dalle,autorità  autorità,migranti  migranti,centro</t>
  </si>
  <si>
    <t>#estadosunidos,cierra  cierra,#frontera  #frontera,frenar  frenar,cruce  cruce,#migrantes  #migrantes,#migrationeu  #migrationeu,#migrantes  #migrantes,#haiti  #haiti,#haitianmigrants  #haitianmigrants,#haitianos</t>
  </si>
  <si>
    <t>tamaulipecas,empezaron  empezaron,presumir  presumir,noviazgos  noviazgos,#haitianos  #haitianos,descontrolar  descontrolar,#reynosa  #reynosa,#acuña  #acuña,#haití  #haití,#migrantes  #migrantes,#viral</t>
  </si>
  <si>
    <t>inami_mx,envió  envió,#chiapas  #chiapas,avión  avión,120  120,#migrantes  #migrantes,originarios  originarios,#haití  #haití,formaron  formaron,#caravanamigrante  #caravanamigrante,llegó</t>
  </si>
  <si>
    <t>potus,happended  happended,words  words,china  china,chastising  chastising,israel  israel,talk  talk,hamas  hamas,failure  failure,already  already,lame</t>
  </si>
  <si>
    <t>ayer,vivimos  vivimos,nuestro  nuestro,estreno  estreno,mundial  mundial,giffmx  giffmx,gracias  gracias,acompañaron  acompañaron,#loquequedaenelcamino  #loquequedaenelcamino,#giff  #giff,#migración</t>
  </si>
  <si>
    <t>#cine,#documental  #giff,#migración  #documental,#caravanamigrante  #migración,#guatemala  #guatemala,#loquequedadocu  #loquequedadocu,#gif21  #gif21,#cine  #migración,#caravanamigrante  #caravanamigrante,#cine  #caravanamigrante,#guatemala</t>
  </si>
  <si>
    <t>#capitalismo,malo  malo,#socialismo  #socialismo,mejor  mejor,caravana  caravana,migrantes  migrantes,dirige  dirige,#usa  #usa,hacia  hacia,#venezuela  #venezuela,#kamalaharris</t>
  </si>
  <si>
    <t>120,#migrantes  #migrantes,#haití  #haití,llegaron  llegaron,frontera  frontera,norte  norte,#méxico  #méxico,#caravanamigrante  #caravanamigrante,fueron  fueron,llevados  llevados,chiapas</t>
  </si>
  <si>
    <t>temoris,cartoncamacho  cartoncamacho,fronteras  fronteras,fueran  fueran,necesarias  necesarias,existirían  existirían,#migracion  #migracion,irregular  irregular,mal  mal,aqueja  aqueja,#mexico</t>
  </si>
  <si>
    <t>#california,#homeless  #homeless,#blm  #blm,#americandream  #americandream,#elsuenoamericano  #elsuenoamericano,#caravanamigrante  #caravanamigrante,venice  venice,beach  beach,homeless  homeless,encampment  encampment,09</t>
  </si>
  <si>
    <t>mlopezsanmartin,antes  antes,#campamento  #campamento,apoyo  apoyo,#caravanamigrante  #caravanamigrante,hoy  hoy,elementos  elementos,#inm  #inm,caza  caza,#migrantes  #migrantes,centrales</t>
  </si>
  <si>
    <t>actualidadrt,sigan  sigan,migrando  migrando,#haitianos  #haitianos,#haiti  #haiti,#caravanamigrante  #caravanamigrante,#migrantes  #migrantes,#migrante</t>
  </si>
  <si>
    <t>verdadera,cara  cara,oportunismo  oportunismo,victimismo  victimismo,inmigrantes  inmigrantes,ilegales  ilegales,#haiti  #haiti,incomoda  incomoda,#ongs  #ongs,#politicos  #politicos,#tratadepersonas</t>
  </si>
  <si>
    <t>Top Word Pairs in Tweet by Salience</t>
  </si>
  <si>
    <t>#joebiden,already  already,killed  killed,more  more,kids  kids,#covid19  #covid19,week  week,#28  #28,delaware  delaware,#usa  #invasion,realjameswoods</t>
  </si>
  <si>
    <t>31,opina  opina,autoridades  autoridades,mexicanas  mexicanas,actúan  actúan,exceso  exceso,violencia  violencia,ante  ante,#caravanamigrante  #caravanamigrante,migrantes  56,acuerdo</t>
  </si>
  <si>
    <t>56,acuerdo  acuerdo,impida  impida,paso  paso,migrantes  centroamericanos,encabezan  encabezan,#caravanamigrante  #caravanamigrante,36  36,desacuerdo  36,buena  buena,opinión</t>
  </si>
  <si>
    <t>78,conocimiento  conocimiento,#caravanamigrante  #caravanamigrante,frontera  frontera,méxico  méxico,21  21,desconoce  desconoce,tema  36,buena  buena,opinión  opinión,migrantes</t>
  </si>
  <si>
    <t>#migración,#guatemala  #guatemala,#loquequedadocu  #loquequedadocu,#gif21  #gif21,#cine  #migración,#caravanamigrante  #caravanamigrante,#cine  #caravanamigrante,#guatemala  #giff,#migración  #documental,#caravanamigrante  muchas,gracias</t>
  </si>
  <si>
    <t>Count of Relationship Date (UTC)</t>
  </si>
  <si>
    <t>Row Labels</t>
  </si>
  <si>
    <t>Grand Total</t>
  </si>
  <si>
    <t>2018</t>
  </si>
  <si>
    <t>Oct</t>
  </si>
  <si>
    <t>22-Oct</t>
  </si>
  <si>
    <t>Nov</t>
  </si>
  <si>
    <t>16-Nov</t>
  </si>
  <si>
    <t>2020</t>
  </si>
  <si>
    <t>Feb</t>
  </si>
  <si>
    <t>8-Feb</t>
  </si>
  <si>
    <t>2021</t>
  </si>
  <si>
    <t>Aug</t>
  </si>
  <si>
    <t>29-Aug</t>
  </si>
  <si>
    <t>Sep</t>
  </si>
  <si>
    <t>1-Sep</t>
  </si>
  <si>
    <t>5-Sep</t>
  </si>
  <si>
    <t>12-Sep</t>
  </si>
  <si>
    <t>16-Sep</t>
  </si>
  <si>
    <t>17-Sep</t>
  </si>
  <si>
    <t>18-Sep</t>
  </si>
  <si>
    <t>19-Sep</t>
  </si>
  <si>
    <t>20-Sep</t>
  </si>
  <si>
    <t>21-Sep</t>
  </si>
  <si>
    <t>22-Sep</t>
  </si>
  <si>
    <t>23-Sep</t>
  </si>
  <si>
    <t>24-Sep</t>
  </si>
  <si>
    <t>25-Sep</t>
  </si>
  <si>
    <t>192, 192, 192</t>
  </si>
  <si>
    <t>Gray</t>
  </si>
  <si>
    <t>G1: haiti caravanamigrante</t>
  </si>
  <si>
    <t>G2: haití caravanamigrante tuxtlagutiérrez migrantes chiapas méxico</t>
  </si>
  <si>
    <t>G3: caravanamigrante fronterasur mexico tapachula messico</t>
  </si>
  <si>
    <t>G4: caravanamigrante migrantes haiti youtube tamaulipas frontera reynosa haitianos homeless crimenorganizado</t>
  </si>
  <si>
    <t>G5: caravanamigrante tapachula mexico chiapas fronterasur migrantes migración caravanademigrantes crónica</t>
  </si>
  <si>
    <t>G6: astilleroinforma mesasegura envivo migracion caravanamigrante</t>
  </si>
  <si>
    <t>G7: caravanamigrante cine documental migración guatemala loquequedaenelcamino giff giff2021 loquequedadocu gif21</t>
  </si>
  <si>
    <t>G8: caravanamigrante haiti haitianos</t>
  </si>
  <si>
    <t>G9: delriobridge bordercrisis caravanamigrante</t>
  </si>
  <si>
    <t>G10: caravanamigrante migrantes violencia chiapas policías</t>
  </si>
  <si>
    <t>G11: caravanamigrante</t>
  </si>
  <si>
    <t>G12: pregunta caravanamigrante</t>
  </si>
  <si>
    <t>G13: usa haitians georgesoros globalism bordercrisis migrants geofence caravanamigrante invasion joebiden</t>
  </si>
  <si>
    <t>G14: caravanamigrante</t>
  </si>
  <si>
    <t>G15: mexico migracion caravanamigrante eeuu</t>
  </si>
  <si>
    <t>G16: caravanamigrante</t>
  </si>
  <si>
    <t>G17: chiapas caravanamigrante</t>
  </si>
  <si>
    <t>G18: delrío migrantes inmigracionilegal caravanamigrante</t>
  </si>
  <si>
    <t>G19: haitianos haiti caravanamigrante migrantes migrante</t>
  </si>
  <si>
    <t>G20: campamento caravanamigrante inm migrantes cdmxyedomex delincuencia</t>
  </si>
  <si>
    <t>G21: caravanamigrante</t>
  </si>
  <si>
    <t>G22: caravanamigrante travesiaporlavida ezln haitianos</t>
  </si>
  <si>
    <t>G23: caravanamigrante tijuana</t>
  </si>
  <si>
    <t>G24: migrantes caravanamigrante noticias tamaulipas zacatecas estadosunidos muro reynosa</t>
  </si>
  <si>
    <t>G25: caravanamigrante</t>
  </si>
  <si>
    <t>G26: méxico migrantes nacional caravanamigrante covid estados covid19 covidmigrantes haití diálogo</t>
  </si>
  <si>
    <t>G27: pozarica tihuatlan papantla coatzintla cazones distrito4185 huracangrace caravanamigrante servirparacambiarvida</t>
  </si>
  <si>
    <t>GraphSource░TwitterSearch▓GraphTerm░#caravanamigrante▓ImportDescription░The graph represents a network of 166 Twitter users whose recent tweets contained "#caravanamigrante", or who were replied to or mentioned in those tweets, taken from a data set limited to a maximum of 5,000 tweets.  The network was obtained from Twitter on Saturday, 25 September 2021 at 13:56 UTC.
The tweets in the network were tweeted over the 8-day, 20-hour, 0-minute period from Thursday, 16 September 2021 at 17:31 UTC to Saturday, 25 September 2021 at 13:31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"mentions".▓ImportSuggestedTitle░#caravanamigrante Twitter NodeXL SNA Map and Report for Saturday, 25 September 2021 at 13:55 UTC▓ImportSuggestedFileNameNoExtension░2021-09-25 13-55-32 NodeXL Twitter Search #caravanamigrante▓GroupingDescription░The graph's vertices were grouped by cluster using the Clauset-Newman-Moore cluster algorithm.▓LayoutAlgorithm░The graph was laid out using the Harel-Koren Fast Multiscale layout algorithm.▓GraphDirectedness░The graph is directed.</t>
  </si>
  <si>
    <t xml:space="preserve">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t>
  </si>
  <si>
    <t xml:space="preserve">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t>
  </si>
  <si>
    <t xml:space="preserve">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t>
  </si>
  <si>
    <t>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t>
  </si>
  <si>
    <t xml:space="preserve">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t>
  </si>
  <si>
    <t>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t>
  </si>
  <si>
    <t>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t>
  </si>
  <si>
    <t>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t>
  </si>
  <si>
    <t>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t>
  </si>
  <si>
    <t>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t>
  </si>
  <si>
    <t>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t>
  </si>
  <si>
    <t>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t>
  </si>
  <si>
    <t>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t>
  </si>
  <si>
    <t>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t>
  </si>
  <si>
    <t xml:space="preserve">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name="TimeSeriesUserSettings" serializeAs="String"&gt;
        &lt;value&gt;TimeColumnName░Relationship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Lab\Desktop&lt;/value&gt;
 </t>
  </si>
  <si>
    <t xml:space="preserve">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t>
  </si>
  <si>
    <t>https://www.smrfoundation.org/nodexl/features/</t>
  </si>
  <si>
    <t>https://www.smrfoundation.org/wp-content/uploads/2011/09/328-Social-Media-Research-Foundation-Logo.jpg</t>
  </si>
  <si>
    <t>https://www.smrfoundation.org/</t>
  </si>
  <si>
    <t>migrants criminals central american venezuelan haitian continue make way #chiapas</t>
  </si>
  <si>
    <t>migrants,criminals  criminals,central  central,american  american,venezuelan  venezuelan,haitian  haitian,migrants  migrants,continue  continue,make  make,way  way,#chiapas</t>
  </si>
  <si>
    <t>128, 128, 128</t>
  </si>
  <si>
    <t>Red</t>
  </si>
  <si>
    <t>Edge Weight▓1▓4▓0▓True▓Gray▓Red▓▓Edge Weight▓1▓4▓0▓4▓10▓False▓Edge Weight▓1▓4▓0▓30▓10▓False▓▓0▓0▓0▓True▓Black▓Black▓▓Betweenness Centrality▓0▓145▓3▓100▓1000▓False▓▓0▓0▓0▓0▓0▓False▓▓0▓0▓0▓0▓0▓False▓▓0▓0▓0▓0▓0▓False</t>
  </si>
  <si>
    <t>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</si>
  <si>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TwitterSearch</t>
  </si>
  <si>
    <t>The graph represents a network of 166 Twitter users whose recent tweets contained "#caravanamigrante", or who were replied to or mentioned in those tweets, taken from a data set limited to a maximum of 5,000 tweets.  The network was obtained from Twitter on Saturday, 25 September 2021 at 13:56 UTC.
The tweets in the network were tweeted over the 8-day, 20-hour, 0-minute period from Thursday, 16 September 2021 at 17:31 UTC to Saturday, 25 September 2021 at 13:31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</si>
  <si>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</si>
  <si>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</si>
  <si>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https://nodexlgraphgallery.org/Pages/Graph.aspx?graphID=262808</t>
  </si>
  <si>
    <t>https://nodexlgraphgallery.org/Images/Image.ashx?graphID=262808&amp;type=f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</si>
</sst>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04"/>
      <tableStyleElement type="headerRow" dxfId="503"/>
    </tableStyle>
    <tableStyle name="NodeXL Table" pivot="0" count="1">
      <tableStyleElement type="headerRow" dxfId="50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242581"/>
        <c:axId val="16856638"/>
      </c:barChart>
      <c:catAx>
        <c:axId val="2424258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856638"/>
        <c:crosses val="autoZero"/>
        <c:auto val="1"/>
        <c:lblOffset val="100"/>
        <c:noMultiLvlLbl val="0"/>
      </c:catAx>
      <c:valAx>
        <c:axId val="16856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425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#caravanamigrante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Series'!$A$26:$A$51</c:f>
              <c:strCache>
                <c:ptCount val="17"/>
                <c:pt idx="0">
                  <c:v>22-Oct
Oct
2018</c:v>
                </c:pt>
                <c:pt idx="1">
                  <c:v>16-Nov
Nov</c:v>
                </c:pt>
                <c:pt idx="2">
                  <c:v>8-Feb
Feb
2020</c:v>
                </c:pt>
                <c:pt idx="3">
                  <c:v>29-Aug
Aug
2021</c:v>
                </c:pt>
                <c:pt idx="4">
                  <c:v>1-Sep
Sep</c:v>
                </c:pt>
                <c:pt idx="5">
                  <c:v>5-Sep</c:v>
                </c:pt>
                <c:pt idx="6">
                  <c:v>12-Sep</c:v>
                </c:pt>
                <c:pt idx="7">
                  <c:v>16-Sep</c:v>
                </c:pt>
                <c:pt idx="8">
                  <c:v>17-Sep</c:v>
                </c:pt>
                <c:pt idx="9">
                  <c:v>18-Sep</c:v>
                </c:pt>
                <c:pt idx="10">
                  <c:v>19-Sep</c:v>
                </c:pt>
                <c:pt idx="11">
                  <c:v>20-Sep</c:v>
                </c:pt>
                <c:pt idx="12">
                  <c:v>21-Sep</c:v>
                </c:pt>
                <c:pt idx="13">
                  <c:v>22-Sep</c:v>
                </c:pt>
                <c:pt idx="14">
                  <c:v>23-Sep</c:v>
                </c:pt>
                <c:pt idx="15">
                  <c:v>24-Sep</c:v>
                </c:pt>
                <c:pt idx="16">
                  <c:v>25-Sep</c:v>
                </c:pt>
              </c:strCache>
            </c:strRef>
          </c:cat>
          <c:val>
            <c:numRef>
              <c:f>'Time Series'!$B$26:$B$51</c:f>
              <c:numCache>
                <c:formatCode>General</c:formatCode>
                <c:ptCount val="17"/>
                <c:pt idx="0">
                  <c:v>1</c:v>
                </c:pt>
                <c:pt idx="1">
                  <c:v>1</c:v>
                </c:pt>
                <c:pt idx="2">
                  <c:v>1</c:v>
                </c:pt>
                <c:pt idx="3">
                  <c:v>1</c:v>
                </c:pt>
                <c:pt idx="4">
                  <c:v>1</c:v>
                </c:pt>
                <c:pt idx="5">
                  <c:v>1</c:v>
                </c:pt>
                <c:pt idx="6">
                  <c:v>2</c:v>
                </c:pt>
                <c:pt idx="7">
                  <c:v>8</c:v>
                </c:pt>
                <c:pt idx="8">
                  <c:v>21</c:v>
                </c:pt>
                <c:pt idx="9">
                  <c:v>17</c:v>
                </c:pt>
                <c:pt idx="10">
                  <c:v>15</c:v>
                </c:pt>
                <c:pt idx="11">
                  <c:v>10</c:v>
                </c:pt>
                <c:pt idx="12">
                  <c:v>52</c:v>
                </c:pt>
                <c:pt idx="13">
                  <c:v>23</c:v>
                </c:pt>
                <c:pt idx="14">
                  <c:v>10</c:v>
                </c:pt>
                <c:pt idx="15">
                  <c:v>4</c:v>
                </c:pt>
                <c:pt idx="16">
                  <c:v>6</c:v>
                </c:pt>
              </c:numCache>
            </c:numRef>
          </c:val>
        </c:ser>
        <c:axId val="41953663"/>
        <c:axId val="42038648"/>
      </c:barChart>
      <c:catAx>
        <c:axId val="41953663"/>
        <c:scaling>
          <c:orientation val="minMax"/>
        </c:scaling>
        <c:axPos val="b"/>
        <c:delete val="0"/>
        <c:numFmt formatCode="General" sourceLinked="1"/>
        <c:majorTickMark val="out"/>
        <c:minorTickMark val="none"/>
        <c:tickLblPos val="nextTo"/>
        <c:crossAx val="42038648"/>
        <c:crosses val="autoZero"/>
        <c:auto val="1"/>
        <c:lblOffset val="100"/>
        <c:noMultiLvlLbl val="0"/>
      </c:catAx>
      <c:valAx>
        <c:axId val="42038648"/>
        <c:scaling>
          <c:orientation val="minMax"/>
        </c:scaling>
        <c:axPos val="l"/>
        <c:majorGridlines/>
        <c:delete val="0"/>
        <c:numFmt formatCode="General" sourceLinked="1"/>
        <c:majorTickMark val="out"/>
        <c:minorTickMark val="none"/>
        <c:tickLblPos val="nextTo"/>
        <c:crossAx val="4195366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492015"/>
        <c:axId val="23210408"/>
      </c:barChart>
      <c:catAx>
        <c:axId val="174920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210408"/>
        <c:crosses val="autoZero"/>
        <c:auto val="1"/>
        <c:lblOffset val="100"/>
        <c:noMultiLvlLbl val="0"/>
      </c:catAx>
      <c:valAx>
        <c:axId val="232104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920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567081"/>
        <c:axId val="994866"/>
      </c:barChart>
      <c:catAx>
        <c:axId val="75670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94866"/>
        <c:crosses val="autoZero"/>
        <c:auto val="1"/>
        <c:lblOffset val="100"/>
        <c:noMultiLvlLbl val="0"/>
      </c:catAx>
      <c:valAx>
        <c:axId val="994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670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953795"/>
        <c:axId val="13475292"/>
      </c:barChart>
      <c:catAx>
        <c:axId val="89537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475292"/>
        <c:crosses val="autoZero"/>
        <c:auto val="1"/>
        <c:lblOffset val="100"/>
        <c:noMultiLvlLbl val="0"/>
      </c:catAx>
      <c:valAx>
        <c:axId val="134752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537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168765"/>
        <c:axId val="17756838"/>
      </c:barChart>
      <c:catAx>
        <c:axId val="541687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756838"/>
        <c:crosses val="autoZero"/>
        <c:auto val="1"/>
        <c:lblOffset val="100"/>
        <c:noMultiLvlLbl val="0"/>
      </c:catAx>
      <c:valAx>
        <c:axId val="177568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687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5593815"/>
        <c:axId val="29017744"/>
      </c:barChart>
      <c:catAx>
        <c:axId val="2559381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017744"/>
        <c:crosses val="autoZero"/>
        <c:auto val="1"/>
        <c:lblOffset val="100"/>
        <c:noMultiLvlLbl val="0"/>
      </c:catAx>
      <c:valAx>
        <c:axId val="290177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938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9833105"/>
        <c:axId val="1627034"/>
      </c:barChart>
      <c:catAx>
        <c:axId val="598331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27034"/>
        <c:crosses val="autoZero"/>
        <c:auto val="1"/>
        <c:lblOffset val="100"/>
        <c:noMultiLvlLbl val="0"/>
      </c:catAx>
      <c:valAx>
        <c:axId val="16270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33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4643307"/>
        <c:axId val="64680900"/>
      </c:barChart>
      <c:catAx>
        <c:axId val="1464330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680900"/>
        <c:crosses val="autoZero"/>
        <c:auto val="1"/>
        <c:lblOffset val="100"/>
        <c:noMultiLvlLbl val="0"/>
      </c:catAx>
      <c:valAx>
        <c:axId val="646809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433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5257189"/>
        <c:axId val="4661518"/>
      </c:barChart>
      <c:catAx>
        <c:axId val="45257189"/>
        <c:scaling>
          <c:orientation val="minMax"/>
        </c:scaling>
        <c:axPos val="b"/>
        <c:delete val="1"/>
        <c:majorTickMark val="out"/>
        <c:minorTickMark val="none"/>
        <c:tickLblPos val="none"/>
        <c:crossAx val="4661518"/>
        <c:crosses val="autoZero"/>
        <c:auto val="1"/>
        <c:lblOffset val="100"/>
        <c:noMultiLvlLbl val="0"/>
      </c:catAx>
      <c:valAx>
        <c:axId val="4661518"/>
        <c:scaling>
          <c:orientation val="minMax"/>
        </c:scaling>
        <c:axPos val="l"/>
        <c:delete val="1"/>
        <c:majorTickMark val="out"/>
        <c:minorTickMark val="none"/>
        <c:tickLblPos val="none"/>
        <c:crossAx val="452571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4" refreshedBy="DefaultProfileUser" refreshedVersion="6">
  <cacheSource type="worksheet">
    <worksheetSource ref="A2:BN176" sheet="Time Series Edges"/>
  </cacheSource>
  <cacheFields count="68">
    <cacheField name="Vertex 1" numFmtId="49">
      <sharedItems containsMixedTypes="0" count="0"/>
    </cacheField>
    <cacheField name="Vertex 2" numFmtId="49">
      <sharedItems containsMixedTypes="0" count="0"/>
    </cacheField>
    <cacheField name="Color">
      <sharedItems containsMixedTypes="0" count="0"/>
    </cacheField>
    <cacheField name="Width" numFmtId="164">
      <sharedItems containsSemiMixedTypes="0" containsString="0" containsMixedTypes="0" containsNumber="1" containsInteger="1" count="0"/>
    </cacheField>
    <cacheField name="Style">
      <sharedItems containsString="0" containsBlank="1" containsMixedTypes="1" count="0"/>
    </cacheField>
    <cacheField name="Opacity" numFmtId="1">
      <sharedItems containsSemiMixedTypes="0" containsString="0"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174">
        <d v="2021-09-16T17:40:12.000"/>
        <d v="2021-09-01T06:28:13.000"/>
        <d v="2021-09-16T19:17:50.000"/>
        <d v="2021-09-16T17:39:03.000"/>
        <d v="2021-09-16T17:46:41.000"/>
        <d v="2021-09-16T17:53:51.000"/>
        <d v="2021-09-16T17:31:32.000"/>
        <d v="2021-09-16T18:11:55.000"/>
        <d v="2021-09-16T21:04:19.000"/>
        <d v="2021-09-17T13:01:25.000"/>
        <d v="2021-09-17T13:31:09.000"/>
        <d v="2021-09-17T13:39:24.000"/>
        <d v="2021-09-17T13:57:56.000"/>
        <d v="2021-09-17T14:17:34.000"/>
        <d v="2021-09-17T15:08:55.000"/>
        <d v="2021-09-17T15:21:39.000"/>
        <d v="2021-09-17T21:45:08.000"/>
        <d v="2021-09-17T21:51:07.000"/>
        <d v="2021-09-17T22:01:01.000"/>
        <d v="2021-09-17T23:32:35.000"/>
        <d v="2021-09-17T23:35:01.000"/>
        <d v="2021-09-18T00:22:34.000"/>
        <d v="2021-09-18T10:25:20.000"/>
        <d v="2021-09-17T23:17:17.000"/>
        <d v="2021-09-17T23:19:10.000"/>
        <d v="2021-09-18T12:19:57.000"/>
        <d v="2021-09-18T12:20:17.000"/>
        <d v="2021-09-18T15:09:39.000"/>
        <d v="2021-09-18T16:44:36.000"/>
        <d v="2021-09-18T10:43:53.000"/>
        <d v="2021-09-18T18:05:22.000"/>
        <d v="2021-09-12T15:15:20.000"/>
        <d v="2021-09-18T18:29:55.000"/>
        <d v="2021-09-12T04:20:36.000"/>
        <d v="2021-09-18T18:30:02.000"/>
        <d v="2021-09-18T21:02:03.000"/>
        <d v="2021-09-18T20:35:05.000"/>
        <d v="2021-09-18T22:58:01.000"/>
        <d v="2021-09-17T12:52:15.000"/>
        <d v="2021-09-18T00:02:30.000"/>
        <d v="2021-09-18T00:02:41.000"/>
        <d v="2021-09-19T09:19:50.000"/>
        <d v="2021-09-19T09:43:46.000"/>
        <d v="2021-09-19T12:34:51.000"/>
        <d v="2018-11-16T03:07:09.000"/>
        <d v="2021-09-19T14:15:48.000"/>
        <d v="2021-09-17T15:02:06.000"/>
        <d v="2021-09-19T15:30:12.000"/>
        <d v="2021-09-19T17:04:20.000"/>
        <d v="2021-09-19T17:07:04.000"/>
        <d v="2021-09-19T20:14:49.000"/>
        <d v="2021-09-19T15:00:39.000"/>
        <d v="2021-09-19T17:01:41.000"/>
        <d v="2021-09-19T20:00:31.000"/>
        <d v="2021-09-19T23:00:44.000"/>
        <d v="2021-09-20T14:01:12.000"/>
        <d v="2021-09-20T14:01:20.000"/>
        <d v="2021-09-20T14:01:26.000"/>
        <d v="2021-09-20T14:01:37.000"/>
        <d v="2021-09-20T18:10:38.000"/>
        <d v="2021-09-20T18:15:52.000"/>
        <d v="2021-09-20T16:34:13.000"/>
        <d v="2021-09-20T21:06:42.000"/>
        <d v="2021-09-05T01:43:31.000"/>
        <d v="2021-09-19T23:05:26.000"/>
        <d v="2021-09-21T02:49:39.000"/>
        <d v="2021-09-21T03:18:02.000"/>
        <d v="2021-09-21T03:20:28.000"/>
        <d v="2021-09-21T03:49:10.000"/>
        <d v="2021-09-21T04:31:52.000"/>
        <d v="2021-09-18T05:55:09.000"/>
        <d v="2021-09-17T21:08:11.000"/>
        <d v="2021-09-19T08:07:47.000"/>
        <d v="2021-09-21T12:06:30.000"/>
        <d v="2021-09-21T12:47:44.000"/>
        <d v="2021-09-21T15:10:07.000"/>
        <d v="2021-09-21T17:54:04.000"/>
        <d v="2021-09-21T18:02:56.000"/>
        <d v="2021-09-21T19:04:05.000"/>
        <d v="2021-09-21T19:04:26.000"/>
        <d v="2021-09-21T19:05:16.000"/>
        <d v="2021-09-21T19:12:19.000"/>
        <d v="2021-09-17T13:35:48.000"/>
        <d v="2021-09-21T19:13:42.000"/>
        <d v="2021-09-21T19:37:04.000"/>
        <d v="2021-09-21T19:46:34.000"/>
        <d v="2021-09-21T19:47:03.000"/>
        <d v="2021-09-21T19:51:05.000"/>
        <d v="2021-09-21T19:59:31.000"/>
        <d v="2021-09-21T20:00:00.000"/>
        <d v="2021-09-21T20:01:35.000"/>
        <d v="2021-09-21T20:02:18.000"/>
        <d v="2021-09-21T20:07:47.000"/>
        <d v="2021-09-21T20:08:12.000"/>
        <d v="2021-09-21T20:09:09.000"/>
        <d v="2021-09-21T20:19:33.000"/>
        <d v="2021-09-21T20:27:33.000"/>
        <d v="2021-09-21T20:29:44.000"/>
        <d v="2021-09-21T20:31:10.000"/>
        <d v="2021-09-21T20:39:33.000"/>
        <d v="2021-09-21T20:40:51.000"/>
        <d v="2021-09-21T20:49:20.000"/>
        <d v="2021-09-21T21:15:29.000"/>
        <d v="2021-09-17T12:27:53.000"/>
        <d v="2021-09-17T21:03:57.000"/>
        <d v="2021-09-21T11:59:12.000"/>
        <d v="2021-09-21T21:22:47.000"/>
        <d v="2021-09-21T21:31:16.000"/>
        <d v="2021-09-21T22:10:26.000"/>
        <d v="2021-09-21T22:25:45.000"/>
        <d v="2021-09-21T22:25:48.000"/>
        <d v="2021-09-21T22:26:28.000"/>
        <d v="2021-09-21T22:30:19.000"/>
        <d v="2021-09-21T22:31:28.000"/>
        <d v="2021-09-21T22:35:54.000"/>
        <d v="2021-09-21T22:36:39.000"/>
        <d v="2021-09-21T23:09:47.000"/>
        <d v="2021-09-21T23:41:55.000"/>
        <d v="2021-09-22T00:05:56.000"/>
        <d v="2021-09-22T00:14:06.000"/>
        <d v="2021-09-22T00:37:09.000"/>
        <d v="2021-09-21T19:03:45.000"/>
        <d v="2021-09-22T01:56:05.000"/>
        <d v="2021-09-22T02:05:43.000"/>
        <d v="2021-09-22T03:22:34.000"/>
        <d v="2021-09-22T04:14:06.000"/>
        <d v="2021-09-22T04:49:00.000"/>
        <d v="2021-09-22T04:58:47.000"/>
        <d v="2021-09-22T05:31:31.000"/>
        <d v="2021-09-22T06:04:05.000"/>
        <d v="2021-09-22T06:19:19.000"/>
        <d v="2021-09-22T06:25:27.000"/>
        <d v="2021-09-21T22:11:00.000"/>
        <d v="2021-09-22T11:41:00.000"/>
        <d v="2021-09-22T14:19:38.000"/>
        <d v="2021-09-22T14:20:44.000"/>
        <d v="2021-09-22T14:22:34.000"/>
        <d v="2021-09-22T14:36:55.000"/>
        <d v="2021-09-22T14:49:00.000"/>
        <d v="2021-09-22T15:09:39.000"/>
        <d v="2021-09-21T19:41:12.000"/>
        <d v="2021-09-22T15:20:15.000"/>
        <d v="2021-09-22T17:18:42.000"/>
        <d v="2021-09-22T17:57:02.000"/>
        <d v="2021-09-23T01:33:01.000"/>
        <d v="2021-09-21T03:15:39.000"/>
        <d v="2021-09-23T02:46:01.000"/>
        <d v="2018-10-22T21:25:46.000"/>
        <d v="2021-09-23T03:06:08.000"/>
        <d v="2021-08-29T17:21:50.000"/>
        <d v="2021-09-23T04:21:32.000"/>
        <d v="2021-09-23T21:46:28.000"/>
        <d v="2021-09-23T21:53:07.000"/>
        <d v="2021-09-17T18:47:41.000"/>
        <d v="2021-09-18T18:26:47.000"/>
        <d v="2021-09-19T03:04:24.000"/>
        <d v="2021-09-23T22:21:33.000"/>
        <d v="2021-09-23T22:34:01.000"/>
        <d v="2020-02-08T16:54:42.000"/>
        <d v="2021-09-23T22:46:59.000"/>
        <d v="2021-09-24T02:01:26.000"/>
        <d v="2021-09-24T02:48:16.000"/>
        <d v="2021-09-23T21:43:00.000"/>
        <d v="2021-09-24T02:50:31.000"/>
        <d v="2021-09-24T17:42:29.000"/>
        <d v="2021-09-25T01:13:28.000"/>
        <d v="2021-09-20T19:10:20.000"/>
        <d v="2021-09-21T19:15:53.000"/>
        <d v="2021-09-25T05:12:08.000"/>
        <d v="2021-09-25T05:22:53.000"/>
        <d v="2021-09-20T19:12:16.000"/>
        <d v="2021-09-25T05:51:04.000"/>
        <d v="2021-09-25T13:31:36.000"/>
        <d v="2021-09-25T13:38:09.000"/>
      </sharedItems>
      <fieldGroup par="67" base="15">
        <rangePr groupBy="days" autoEnd="1" autoStart="1" startDate="2018-10-22T21:25:46.000" endDate="2021-09-25T13:38:09.000"/>
        <groupItems count="368">
          <s v="&lt;10/22/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5/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15">
        <rangePr groupBy="months" autoEnd="1" autoStart="1" startDate="2018-10-22T21:25:46.000" endDate="2021-09-25T13:38:09.000"/>
        <groupItems count="14">
          <s v="&lt;10/22/2018"/>
          <s v="Jan"/>
          <s v="Feb"/>
          <s v="Mar"/>
          <s v="Apr"/>
          <s v="May"/>
          <s v="Jun"/>
          <s v="Jul"/>
          <s v="Aug"/>
          <s v="Sep"/>
          <s v="Oct"/>
          <s v="Nov"/>
          <s v="Dec"/>
          <s v="&gt;9/25/2021"/>
        </groupItems>
      </fieldGroup>
    </cacheField>
    <cacheField name="Years" databaseField="0">
      <sharedItems containsMixedTypes="0" count="0"/>
      <fieldGroup base="15">
        <rangePr groupBy="years" autoEnd="1" autoStart="1" startDate="2018-10-22T21:25:46.000" endDate="2021-09-25T13:38:09.000"/>
        <groupItems count="6">
          <s v="&lt;10/22/2018"/>
          <s v="2018"/>
          <s v="2019"/>
          <s v="2020"/>
          <s v="2021"/>
          <s v="&gt;9/25/2021"/>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174">
  <r>
    <s v="xxiperiodismo"/>
    <s v="rravelo27"/>
    <s v="192, 192, 192"/>
    <n v="5"/>
    <m/>
    <n v="40"/>
    <m/>
    <m/>
    <m/>
    <m/>
    <s v="No"/>
    <n v="3"/>
    <m/>
    <m/>
    <s v="MentionsInRetweet"/>
    <x v="0"/>
    <s v="͏_x000a__x000a_͏_x000a__x000a_͏_x000a__x000a_╭╮_x000a_┋┋_x000a_┣🌎#AstilleroINFORMA✅_x000a_┋┋👉@julioastillero🚢_x000a_┛┗ 🟥1a3pm🟪LUN🅰️VIE_x000a__x000a_͏_x000a_H⭕️Y👉JUEVES_x000a_#MesaSEGURA _x000a_🗣_x000a_👇_x000a__x000a_🗣@GCorreaCabrera_x000a_🗣@roncoblu_x000a_🗣@RRAvelo27_x000a__x000a_🟢#ENvivo✅_x000a_👉YT▶️https://t.co/YgayeW4Xp6_x000a__x000a_#MIGRACION_x000a_#caravanamigrante_x000a__x000a_ 👉https://t.co/DszHKZiwM9👈_x000a__x000a_͏_x000a__x000a_͏_x000a__x000a_. https://t.co/Kkzuxn8LmK https://t.co/PadyPYAdxL"/>
    <s v="https://www.youtube.com/channel/UCRja7nxirrJ4yEUa9pPkFmw https://www.youtube.com/watch?v=SAkyfdQhNLw&amp;feature=youtu.be https://twitter.com/GCorreaCabrera/status/1438536476061491211"/>
    <s v="youtube.com youtube.com twitter.com"/>
    <s v="astilleroinforma mesasegura envivo migracion caravanamigrante"/>
    <s v="https://pbs.twimg.com/ext_tw_video_thumb/1438555724775231489/pu/img/3eMPChFtKy7dWr8h.jpg"/>
    <s v="https://pbs.twimg.com/ext_tw_video_thumb/1438555724775231489/pu/img/3eMPChFtKy7dWr8h.jpg"/>
    <d v="2021-09-16T17:40:12.000"/>
    <d v="2021-09-16T00:00:00.000"/>
    <s v="17:40:12"/>
    <s v="https://twitter.com/xxiperiodismo/status/1438558348778016771"/>
    <m/>
    <m/>
    <s v="1438558348778016771"/>
    <m/>
    <b v="0"/>
    <n v="0"/>
    <s v=""/>
    <b v="1"/>
    <s v="vi"/>
    <m/>
    <s v="1438536476061491211"/>
    <b v="0"/>
    <n v="6"/>
    <s v="1438556169916796930"/>
    <s v="Twitter for Android"/>
    <b v="0"/>
    <s v="1438556169916796930"/>
    <s v="Tweet"/>
    <n v="0"/>
    <n v="0"/>
    <m/>
    <m/>
    <m/>
    <m/>
    <m/>
    <m/>
    <m/>
    <m/>
    <n v="1"/>
    <s v="6"/>
    <s v="6"/>
    <m/>
    <m/>
    <m/>
    <m/>
    <m/>
    <m/>
    <m/>
    <m/>
    <m/>
  </r>
  <r>
    <s v="vim_media"/>
    <s v="darinelzacarias"/>
    <s v="192, 192, 192"/>
    <n v="5"/>
    <m/>
    <n v="40"/>
    <m/>
    <m/>
    <m/>
    <m/>
    <s v="No"/>
    <n v="8"/>
    <m/>
    <m/>
    <s v="Mentions"/>
    <x v="1"/>
    <s v="“We are migrants, we are not criminals!” Central American, Venezuelan &amp;amp; Haitian migrants continue to make their way through #Chiapas, Mexico as the Mexican National Guard attempts to stop them. Solidarity with all migrants! ✊🏿❤️🎥: @Darinelzacarias #CaravanaMigrante https://t.co/sJWMRlCBln"/>
    <m/>
    <m/>
    <s v="chiapas caravanamigrante"/>
    <s v="https://pbs.twimg.com/ext_tw_video_thumb/1432953181168971778/pu/img/8ecDRGo4Sy-MKE2n.jpg"/>
    <s v="https://pbs.twimg.com/ext_tw_video_thumb/1432953181168971778/pu/img/8ecDRGo4Sy-MKE2n.jpg"/>
    <d v="2021-09-01T06:28:13.000"/>
    <d v="2021-09-01T00:00:00.000"/>
    <s v="06:28:13"/>
    <s v="https://twitter.com/vim_media/status/1432953423612321797"/>
    <m/>
    <m/>
    <s v="1432953423612321797"/>
    <m/>
    <b v="0"/>
    <n v="523"/>
    <s v=""/>
    <b v="0"/>
    <s v="en"/>
    <m/>
    <s v=""/>
    <b v="0"/>
    <n v="147"/>
    <s v=""/>
    <s v="Twitter for iPhone"/>
    <b v="0"/>
    <s v="1432953423612321797"/>
    <s v="Retweet"/>
    <n v="0"/>
    <n v="0"/>
    <m/>
    <m/>
    <m/>
    <m/>
    <m/>
    <m/>
    <m/>
    <m/>
    <n v="1"/>
    <s v="17"/>
    <s v="17"/>
    <n v="1"/>
    <n v="2.7777777777777777"/>
    <n v="0"/>
    <n v="0"/>
    <n v="0"/>
    <n v="0"/>
    <n v="35"/>
    <n v="97.22222222222223"/>
    <n v="36"/>
  </r>
  <r>
    <s v="dontreadthis97"/>
    <s v="darinelzacarias"/>
    <s v="192, 192, 192"/>
    <n v="5"/>
    <m/>
    <n v="40"/>
    <m/>
    <m/>
    <m/>
    <m/>
    <s v="No"/>
    <n v="9"/>
    <m/>
    <m/>
    <s v="MentionsInRetweet"/>
    <x v="2"/>
    <s v="“We are migrants, we are not criminals!” Central American, Venezuelan &amp;amp; Haitian migrants continue to make their way through #Chiapas, Mexico as the Mexican National Guard attempts to stop them. Solidarity with all migrants! ✊🏿❤️🎥: @Darinelzacarias #CaravanaMigrante https://t.co/sJWMRlCBln"/>
    <m/>
    <m/>
    <s v="chiapas caravanamigrante"/>
    <s v="https://pbs.twimg.com/ext_tw_video_thumb/1432953181168971778/pu/img/8ecDRGo4Sy-MKE2n.jpg"/>
    <s v="https://pbs.twimg.com/ext_tw_video_thumb/1432953181168971778/pu/img/8ecDRGo4Sy-MKE2n.jpg"/>
    <d v="2021-09-16T19:17:50.000"/>
    <d v="2021-09-16T00:00:00.000"/>
    <s v="19:17:50"/>
    <s v="https://twitter.com/dontreadthis97/status/1438582920277594118"/>
    <m/>
    <m/>
    <s v="1438582920277594118"/>
    <m/>
    <b v="0"/>
    <n v="0"/>
    <s v=""/>
    <b v="0"/>
    <s v="en"/>
    <m/>
    <s v=""/>
    <b v="0"/>
    <n v="147"/>
    <s v="1432953423612321797"/>
    <s v="Twitter Web App"/>
    <b v="0"/>
    <s v="1432953423612321797"/>
    <s v="Tweet"/>
    <n v="0"/>
    <n v="0"/>
    <m/>
    <m/>
    <m/>
    <m/>
    <m/>
    <m/>
    <m/>
    <m/>
    <n v="1"/>
    <s v="17"/>
    <s v="17"/>
    <m/>
    <m/>
    <m/>
    <m/>
    <m/>
    <m/>
    <m/>
    <m/>
    <m/>
  </r>
  <r>
    <s v="julioastillero"/>
    <s v="rravelo27"/>
    <s v="192, 192, 192"/>
    <n v="5"/>
    <m/>
    <n v="40"/>
    <m/>
    <m/>
    <m/>
    <m/>
    <s v="Yes"/>
    <n v="11"/>
    <m/>
    <m/>
    <s v="MentionsInRetweet"/>
    <x v="3"/>
    <s v="͏_x000a__x000a_͏_x000a__x000a_͏_x000a__x000a_╭╮_x000a_┋┋_x000a_┣🌎#AstilleroINFORMA✅_x000a_┋┋👉@julioastillero🚢_x000a_┛┗ 🟥1a3pm🟪LUN🅰️VIE_x000a__x000a_͏_x000a_H⭕️Y👉JUEVES_x000a_#MesaSEGURA _x000a_🗣_x000a_👇_x000a__x000a_🗣@GCorreaCabrera_x000a_🗣@roncoblu_x000a_🗣@RRAvelo27_x000a__x000a_🟢#ENvivo✅_x000a_👉YT▶️https://t.co/YgayeW4Xp6_x000a__x000a_#MIGRACION_x000a_#caravanamigrante_x000a__x000a_ 👉https://t.co/DszHKZiwM9👈_x000a__x000a_͏_x000a__x000a_͏_x000a__x000a_. https://t.co/Kkzuxn8LmK https://t.co/PadyPYAdxL"/>
    <s v="https://www.youtube.com/channel/UCRja7nxirrJ4yEUa9pPkFmw https://www.youtube.com/watch?v=SAkyfdQhNLw&amp;feature=youtu.be https://twitter.com/GCorreaCabrera/status/1438536476061491211"/>
    <s v="youtube.com youtube.com twitter.com"/>
    <s v="astilleroinforma mesasegura envivo migracion caravanamigrante"/>
    <s v="https://pbs.twimg.com/ext_tw_video_thumb/1438555724775231489/pu/img/3eMPChFtKy7dWr8h.jpg"/>
    <s v="https://pbs.twimg.com/ext_tw_video_thumb/1438555724775231489/pu/img/3eMPChFtKy7dWr8h.jpg"/>
    <d v="2021-09-16T17:39:03.000"/>
    <d v="2021-09-16T00:00:00.000"/>
    <s v="17:39:03"/>
    <s v="https://twitter.com/julioastillero/status/1438558061103394818"/>
    <m/>
    <m/>
    <s v="1438558061103394818"/>
    <m/>
    <b v="0"/>
    <n v="0"/>
    <s v=""/>
    <b v="1"/>
    <s v="vi"/>
    <m/>
    <s v="1438536476061491211"/>
    <b v="0"/>
    <n v="6"/>
    <s v="1438556169916796930"/>
    <s v="Twitter for iPhone"/>
    <b v="0"/>
    <s v="1438556169916796930"/>
    <s v="Tweet"/>
    <n v="0"/>
    <n v="0"/>
    <m/>
    <m/>
    <m/>
    <m/>
    <m/>
    <m/>
    <m/>
    <m/>
    <n v="1"/>
    <s v="6"/>
    <s v="6"/>
    <m/>
    <m/>
    <m/>
    <m/>
    <m/>
    <m/>
    <m/>
    <m/>
    <m/>
  </r>
  <r>
    <s v="gcorreacabrera"/>
    <s v="rravelo27"/>
    <s v="192, 192, 192"/>
    <n v="5"/>
    <m/>
    <n v="40"/>
    <m/>
    <m/>
    <m/>
    <m/>
    <s v="Yes"/>
    <n v="12"/>
    <m/>
    <m/>
    <s v="MentionsInRetweet"/>
    <x v="4"/>
    <s v="͏_x000a__x000a_͏_x000a__x000a_͏_x000a__x000a_╭╮_x000a_┋┋_x000a_┣🌎#AstilleroINFORMA✅_x000a_┋┋👉@julioastillero🚢_x000a_┛┗ 🟥1a3pm🟪LUN🅰️VIE_x000a__x000a_͏_x000a_H⭕️Y👉JUEVES_x000a_#MesaSEGURA _x000a_🗣_x000a_👇_x000a__x000a_🗣@GCorreaCabrera_x000a_🗣@roncoblu_x000a_🗣@RRAvelo27_x000a__x000a_🟢#ENvivo✅_x000a_👉YT▶️https://t.co/YgayeW4Xp6_x000a__x000a_#MIGRACION_x000a_#caravanamigrante_x000a__x000a_ 👉https://t.co/DszHKZiwM9👈_x000a__x000a_͏_x000a__x000a_͏_x000a__x000a_. https://t.co/Kkzuxn8LmK https://t.co/PadyPYAdxL"/>
    <s v="https://www.youtube.com/channel/UCRja7nxirrJ4yEUa9pPkFmw https://www.youtube.com/watch?v=SAkyfdQhNLw&amp;feature=youtu.be https://twitter.com/GCorreaCabrera/status/1438536476061491211"/>
    <s v="youtube.com youtube.com twitter.com"/>
    <s v="astilleroinforma mesasegura envivo migracion caravanamigrante"/>
    <s v="https://pbs.twimg.com/ext_tw_video_thumb/1438555724775231489/pu/img/3eMPChFtKy7dWr8h.jpg"/>
    <s v="https://pbs.twimg.com/ext_tw_video_thumb/1438555724775231489/pu/img/3eMPChFtKy7dWr8h.jpg"/>
    <d v="2021-09-16T17:46:41.000"/>
    <d v="2021-09-16T00:00:00.000"/>
    <s v="17:46:41"/>
    <s v="https://twitter.com/gcorreacabrera/status/1438559983176671240"/>
    <m/>
    <m/>
    <s v="1438559983176671240"/>
    <m/>
    <b v="0"/>
    <n v="0"/>
    <s v=""/>
    <b v="1"/>
    <s v="vi"/>
    <m/>
    <s v="1438536476061491211"/>
    <b v="0"/>
    <n v="6"/>
    <s v="1438556169916796930"/>
    <s v="Twitter for Android"/>
    <b v="0"/>
    <s v="1438556169916796930"/>
    <s v="Tweet"/>
    <n v="0"/>
    <n v="0"/>
    <m/>
    <m/>
    <m/>
    <m/>
    <m/>
    <m/>
    <m/>
    <m/>
    <n v="1"/>
    <s v="6"/>
    <s v="6"/>
    <m/>
    <m/>
    <m/>
    <m/>
    <m/>
    <m/>
    <m/>
    <m/>
    <m/>
  </r>
  <r>
    <s v="rravelo27"/>
    <s v="roncoblu"/>
    <s v="192, 192, 192"/>
    <n v="5"/>
    <m/>
    <n v="40"/>
    <m/>
    <m/>
    <m/>
    <m/>
    <s v="No"/>
    <n v="13"/>
    <m/>
    <m/>
    <s v="MentionsInRetweet"/>
    <x v="5"/>
    <s v="͏_x000a__x000a_͏_x000a__x000a_͏_x000a__x000a_╭╮_x000a_┋┋_x000a_┣🌎#AstilleroINFORMA✅_x000a_┋┋👉@julioastillero🚢_x000a_┛┗ 🟥1a3pm🟪LUN🅰️VIE_x000a__x000a_͏_x000a_H⭕️Y👉JUEVES_x000a_#MesaSEGURA _x000a_🗣_x000a_👇_x000a__x000a_🗣@GCorreaCabrera_x000a_🗣@roncoblu_x000a_🗣@RRAvelo27_x000a__x000a_🟢#ENvivo✅_x000a_👉YT▶️https://t.co/YgayeW4Xp6_x000a__x000a_#MIGRACION_x000a_#caravanamigrante_x000a__x000a_ 👉https://t.co/DszHKZiwM9👈_x000a__x000a_͏_x000a__x000a_͏_x000a__x000a_. https://t.co/Kkzuxn8LmK https://t.co/PadyPYAdxL"/>
    <s v="https://www.youtube.com/channel/UCRja7nxirrJ4yEUa9pPkFmw https://www.youtube.com/watch?v=SAkyfdQhNLw&amp;feature=youtu.be https://twitter.com/GCorreaCabrera/status/1438536476061491211"/>
    <s v="youtube.com youtube.com twitter.com"/>
    <s v="astilleroinforma mesasegura envivo migracion caravanamigrante"/>
    <s v="https://pbs.twimg.com/ext_tw_video_thumb/1438555724775231489/pu/img/3eMPChFtKy7dWr8h.jpg"/>
    <s v="https://pbs.twimg.com/ext_tw_video_thumb/1438555724775231489/pu/img/3eMPChFtKy7dWr8h.jpg"/>
    <d v="2021-09-16T17:53:51.000"/>
    <d v="2021-09-16T00:00:00.000"/>
    <s v="17:53:51"/>
    <s v="https://twitter.com/rravelo27/status/1438561786739953665"/>
    <m/>
    <m/>
    <s v="1438561786739953665"/>
    <m/>
    <b v="0"/>
    <n v="0"/>
    <s v=""/>
    <b v="1"/>
    <s v="vi"/>
    <m/>
    <s v="1438536476061491211"/>
    <b v="0"/>
    <n v="6"/>
    <s v="1438556169916796930"/>
    <s v="Twitter for Android"/>
    <b v="0"/>
    <s v="1438556169916796930"/>
    <s v="Tweet"/>
    <n v="0"/>
    <n v="0"/>
    <m/>
    <m/>
    <m/>
    <m/>
    <m/>
    <m/>
    <m/>
    <m/>
    <n v="1"/>
    <s v="6"/>
    <s v="6"/>
    <m/>
    <m/>
    <m/>
    <m/>
    <m/>
    <m/>
    <m/>
    <m/>
    <m/>
  </r>
  <r>
    <s v="comoleerenbici"/>
    <s v="rravelo27"/>
    <s v="Gray"/>
    <n v="10"/>
    <m/>
    <n v="20"/>
    <m/>
    <m/>
    <m/>
    <m/>
    <s v="Yes"/>
    <n v="17"/>
    <m/>
    <m/>
    <s v="Mentions"/>
    <x v="6"/>
    <s v="͏_x000a__x000a_͏_x000a__x000a_͏_x000a__x000a_╭╮_x000a_┋┋_x000a_┣🌎#AstilleroINFORMA✅_x000a_┋┋👉@julioastillero🚢_x000a_┛┗ 🟥1a3pm🟪LUN🅰️VIE_x000a__x000a_͏_x000a_H⭕️Y👉JUEVES_x000a_#MesaSEGURA _x000a_🗣_x000a_👇_x000a__x000a_🗣@GCorreaCabrera_x000a_🗣@roncoblu_x000a_🗣@RRAvelo27_x000a__x000a_🟢#ENvivo✅_x000a_👉YT▶️https://t.co/YgayeW4Xp6_x000a__x000a_#MIGRACION_x000a_#caravanamigrante_x000a__x000a_ 👉https://t.co/DszHKZiwM9👈_x000a__x000a_͏_x000a__x000a_͏_x000a__x000a_. https://t.co/Kkzuxn8LmK https://t.co/PadyPYAdxL"/>
    <s v="https://www.youtube.com/channel/UCRja7nxirrJ4yEUa9pPkFmw https://www.youtube.com/watch?v=SAkyfdQhNLw&amp;feature=youtu.be https://twitter.com/GCorreaCabrera/status/1438536476061491211"/>
    <s v="youtube.com youtube.com twitter.com"/>
    <s v="astilleroinforma mesasegura envivo migracion caravanamigrante"/>
    <s v="https://pbs.twimg.com/ext_tw_video_thumb/1438555724775231489/pu/img/3eMPChFtKy7dWr8h.jpg"/>
    <s v="https://pbs.twimg.com/ext_tw_video_thumb/1438555724775231489/pu/img/3eMPChFtKy7dWr8h.jpg"/>
    <d v="2021-09-16T17:31:32.000"/>
    <d v="2021-09-16T00:00:00.000"/>
    <s v="17:31:32"/>
    <s v="https://twitter.com/comoleerenbici/status/1438556169916796930"/>
    <m/>
    <m/>
    <s v="1438556169916796930"/>
    <m/>
    <b v="0"/>
    <n v="8"/>
    <s v=""/>
    <b v="1"/>
    <s v="vi"/>
    <m/>
    <s v="1438536476061491211"/>
    <b v="0"/>
    <n v="6"/>
    <s v=""/>
    <s v="Twitter for iPhone"/>
    <b v="0"/>
    <s v="1438556169916796930"/>
    <s v="Tweet"/>
    <n v="0"/>
    <n v="0"/>
    <m/>
    <m/>
    <m/>
    <m/>
    <m/>
    <m/>
    <m/>
    <m/>
    <n v="4"/>
    <s v="6"/>
    <s v="6"/>
    <m/>
    <m/>
    <m/>
    <m/>
    <m/>
    <m/>
    <m/>
    <m/>
    <m/>
  </r>
  <r>
    <s v="comoleerenbici"/>
    <s v="rravelo27"/>
    <s v="Gray"/>
    <n v="10"/>
    <m/>
    <n v="20"/>
    <m/>
    <m/>
    <m/>
    <m/>
    <s v="Yes"/>
    <n v="18"/>
    <m/>
    <m/>
    <s v="MentionsInRetweet"/>
    <x v="7"/>
    <s v="͏_x000a__x000a_͏_x000a__x000a_͏_x000a__x000a_╭╮_x000a_┋┋_x000a_┣🌎#AstilleroINFORMA✅_x000a_┋┋👉@julioastillero🚢_x000a_┛┗ 🟥1a3pm🟪LUN🅰️VIE_x000a__x000a_͏_x000a_H⭕️Y👉JUEVES_x000a_#MesaSEGURA _x000a_🗣_x000a_👇_x000a__x000a_🗣@GCorreaCabrera_x000a_🗣@roncoblu_x000a_🗣@RRAvelo27_x000a__x000a_🟢#ENvivo✅_x000a_👉YT▶️https://t.co/YgayeW4Xp6_x000a__x000a_#MIGRACION_x000a_#caravanamigrante_x000a__x000a_ 👉https://t.co/DszHKZiwM9👈_x000a__x000a_͏_x000a__x000a_͏_x000a__x000a_. https://t.co/Kkzuxn8LmK https://t.co/PadyPYAdxL"/>
    <s v="https://www.youtube.com/channel/UCRja7nxirrJ4yEUa9pPkFmw https://www.youtube.com/watch?v=SAkyfdQhNLw&amp;feature=youtu.be https://twitter.com/GCorreaCabrera/status/1438536476061491211"/>
    <s v="youtube.com youtube.com twitter.com"/>
    <s v="astilleroinforma mesasegura envivo migracion caravanamigrante"/>
    <s v="https://pbs.twimg.com/ext_tw_video_thumb/1438555724775231489/pu/img/3eMPChFtKy7dWr8h.jpg"/>
    <s v="https://pbs.twimg.com/ext_tw_video_thumb/1438555724775231489/pu/img/3eMPChFtKy7dWr8h.jpg"/>
    <d v="2021-09-16T18:11:55.000"/>
    <d v="2021-09-16T00:00:00.000"/>
    <s v="18:11:55"/>
    <s v="https://twitter.com/comoleerenbici/status/1438566333629751299"/>
    <m/>
    <m/>
    <s v="1438566333629751299"/>
    <m/>
    <b v="0"/>
    <n v="0"/>
    <s v=""/>
    <b v="1"/>
    <s v="vi"/>
    <m/>
    <s v="1438536476061491211"/>
    <b v="0"/>
    <n v="6"/>
    <s v="1438556169916796930"/>
    <s v="Twitter for iPhone"/>
    <b v="0"/>
    <s v="1438556169916796930"/>
    <s v="Tweet"/>
    <n v="0"/>
    <n v="0"/>
    <m/>
    <m/>
    <m/>
    <m/>
    <m/>
    <m/>
    <m/>
    <m/>
    <n v="4"/>
    <s v="6"/>
    <s v="6"/>
    <m/>
    <m/>
    <m/>
    <m/>
    <m/>
    <m/>
    <m/>
    <m/>
    <m/>
  </r>
  <r>
    <s v="carminamontesi2"/>
    <s v="rravelo27"/>
    <s v="192, 192, 192"/>
    <n v="5"/>
    <m/>
    <n v="40"/>
    <m/>
    <m/>
    <m/>
    <m/>
    <s v="No"/>
    <n v="19"/>
    <m/>
    <m/>
    <s v="MentionsInRetweet"/>
    <x v="8"/>
    <s v="͏_x000a__x000a_͏_x000a__x000a_͏_x000a__x000a_╭╮_x000a_┋┋_x000a_┣🌎#AstilleroINFORMA✅_x000a_┋┋👉@julioastillero🚢_x000a_┛┗ 🟥1a3pm🟪LUN🅰️VIE_x000a__x000a_͏_x000a_H⭕️Y👉JUEVES_x000a_#MesaSEGURA _x000a_🗣_x000a_👇_x000a__x000a_🗣@GCorreaCabrera_x000a_🗣@roncoblu_x000a_🗣@RRAvelo27_x000a__x000a_🟢#ENvivo✅_x000a_👉YT▶️https://t.co/YgayeW4Xp6_x000a__x000a_#MIGRACION_x000a_#caravanamigrante_x000a__x000a_ 👉https://t.co/DszHKZiwM9👈_x000a__x000a_͏_x000a__x000a_͏_x000a__x000a_. https://t.co/Kkzuxn8LmK https://t.co/PadyPYAdxL"/>
    <s v="https://www.youtube.com/channel/UCRja7nxirrJ4yEUa9pPkFmw https://www.youtube.com/watch?v=SAkyfdQhNLw&amp;feature=youtu.be https://twitter.com/GCorreaCabrera/status/1438536476061491211"/>
    <s v="youtube.com youtube.com twitter.com"/>
    <s v="astilleroinforma mesasegura envivo migracion caravanamigrante"/>
    <s v="https://pbs.twimg.com/ext_tw_video_thumb/1438555724775231489/pu/img/3eMPChFtKy7dWr8h.jpg"/>
    <s v="https://pbs.twimg.com/ext_tw_video_thumb/1438555724775231489/pu/img/3eMPChFtKy7dWr8h.jpg"/>
    <d v="2021-09-16T21:04:19.000"/>
    <d v="2021-09-16T00:00:00.000"/>
    <s v="21:04:19"/>
    <s v="https://twitter.com/carminamontesi2/status/1438609715932631051"/>
    <m/>
    <m/>
    <s v="1438609715932631051"/>
    <m/>
    <b v="0"/>
    <n v="0"/>
    <s v=""/>
    <b v="1"/>
    <s v="vi"/>
    <m/>
    <s v="1438536476061491211"/>
    <b v="0"/>
    <n v="6"/>
    <s v="1438556169916796930"/>
    <s v="Twitter Web App"/>
    <b v="0"/>
    <s v="1438556169916796930"/>
    <s v="Tweet"/>
    <n v="0"/>
    <n v="0"/>
    <m/>
    <m/>
    <m/>
    <m/>
    <m/>
    <m/>
    <m/>
    <m/>
    <n v="1"/>
    <s v="6"/>
    <s v="6"/>
    <m/>
    <m/>
    <m/>
    <m/>
    <m/>
    <m/>
    <m/>
    <m/>
    <m/>
  </r>
  <r>
    <s v="cbarrachina1"/>
    <s v="cbarrachina1"/>
    <s v="192, 192, 192"/>
    <n v="5"/>
    <m/>
    <n v="40"/>
    <m/>
    <m/>
    <m/>
    <m/>
    <s v="No"/>
    <n v="37"/>
    <m/>
    <m/>
    <s v="Tweet"/>
    <x v="9"/>
    <s v="La reflexión sobre #migrantes, #caravanamigrante y #crimenorganizado acaba de ser publicado en el medio venezolano Tal Cual._x000a_https://t.co/S8vriLMe7y"/>
    <s v="https://talcualdigital.com/el-bloqueo-migratorio-en-mexico-fortalece-al-crimen-organizado-por-carlos-barrachina-l/"/>
    <s v="talcualdigital.com"/>
    <s v="migrantes caravanamigrante crimenorganizado"/>
    <m/>
    <s v="https://pbs.twimg.com/profile_images/1280959478968602634/RoWxx_BL_normal.jpg"/>
    <d v="2021-09-17T13:01:25.000"/>
    <d v="2021-09-17T00:00:00.000"/>
    <s v="13:01:25"/>
    <s v="https://twitter.com/cbarrachina1/status/1438850579279843333"/>
    <m/>
    <m/>
    <s v="1438850579279843333"/>
    <m/>
    <b v="0"/>
    <n v="0"/>
    <s v=""/>
    <b v="0"/>
    <s v="es"/>
    <m/>
    <s v=""/>
    <b v="0"/>
    <n v="0"/>
    <s v=""/>
    <s v="Twitter for Android"/>
    <b v="0"/>
    <s v="1438850579279843333"/>
    <s v="Tweet"/>
    <n v="0"/>
    <n v="0"/>
    <m/>
    <m/>
    <m/>
    <m/>
    <m/>
    <m/>
    <m/>
    <m/>
    <n v="1"/>
    <s v="4"/>
    <s v="4"/>
    <n v="0"/>
    <n v="0"/>
    <n v="0"/>
    <n v="0"/>
    <n v="0"/>
    <n v="0"/>
    <n v="17"/>
    <n v="100"/>
    <n v="17"/>
  </r>
  <r>
    <s v="annamaribel4"/>
    <s v="chrispeverieri"/>
    <s v="192, 192, 192"/>
    <n v="5"/>
    <m/>
    <n v="40"/>
    <m/>
    <m/>
    <m/>
    <m/>
    <s v="No"/>
    <n v="38"/>
    <m/>
    <m/>
    <s v="Retweet"/>
    <x v="10"/>
    <s v="#Messico | Ciò che sta succedendo nei pressi di Tapachula è inquietante: dopo aver dissolto con violenze e deportazioni le #caravanamigrante, GN e INM danno la caccia ai migranti, negli hotel, per strada, nei taxi. È una spietata caccia all’uomo!_x000a_https://t.co/wGSkrwiZXG"/>
    <s v="https://www.diariodelsur.com.mx/local/activa-guardia-nacional-busqueda-de-migrantes-en-taxis-7222717.html"/>
    <s v="com.mx"/>
    <s v="messico caravanamigrante"/>
    <m/>
    <s v="https://pbs.twimg.com/profile_images/1403720673319604229/iqWgXDdc_normal.jpg"/>
    <d v="2021-09-17T13:31:09.000"/>
    <d v="2021-09-17T00:00:00.000"/>
    <s v="13:31:09"/>
    <s v="https://twitter.com/annamaribel4/status/1438858063910408194"/>
    <m/>
    <m/>
    <s v="1438858063910408194"/>
    <m/>
    <b v="0"/>
    <n v="0"/>
    <s v=""/>
    <b v="0"/>
    <s v="it"/>
    <m/>
    <s v=""/>
    <b v="0"/>
    <n v="4"/>
    <s v="1438842141804056579"/>
    <s v="Twitter for Android"/>
    <b v="0"/>
    <s v="1438842141804056579"/>
    <s v="Tweet"/>
    <n v="0"/>
    <n v="0"/>
    <m/>
    <m/>
    <m/>
    <m/>
    <m/>
    <m/>
    <m/>
    <m/>
    <n v="1"/>
    <s v="3"/>
    <s v="3"/>
    <n v="1"/>
    <n v="2.5"/>
    <n v="0"/>
    <n v="0"/>
    <n v="0"/>
    <n v="0"/>
    <n v="39"/>
    <n v="97.5"/>
    <n v="40"/>
  </r>
  <r>
    <s v="svirgola2"/>
    <s v="chrispeverieri"/>
    <s v="192, 192, 192"/>
    <n v="5"/>
    <m/>
    <n v="40"/>
    <m/>
    <m/>
    <m/>
    <m/>
    <s v="No"/>
    <n v="39"/>
    <m/>
    <m/>
    <s v="Retweet"/>
    <x v="11"/>
    <s v="#Messico | Ciò che sta succedendo nei pressi di Tapachula è inquietante: dopo aver dissolto con violenze e deportazioni le #caravanamigrante, GN e INM danno la caccia ai migranti, negli hotel, per strada, nei taxi. È una spietata caccia all’uomo!_x000a_https://t.co/wGSkrwiZXG"/>
    <s v="https://www.diariodelsur.com.mx/local/activa-guardia-nacional-busqueda-de-migrantes-en-taxis-7222717.html"/>
    <s v="com.mx"/>
    <s v="messico caravanamigrante"/>
    <m/>
    <s v="https://pbs.twimg.com/profile_images/1249795862336802816/F6P8jK6s_normal.jpg"/>
    <d v="2021-09-17T13:39:24.000"/>
    <d v="2021-09-17T00:00:00.000"/>
    <s v="13:39:24"/>
    <s v="https://twitter.com/svirgola2/status/1438860137213616128"/>
    <m/>
    <m/>
    <s v="1438860137213616128"/>
    <m/>
    <b v="0"/>
    <n v="0"/>
    <s v=""/>
    <b v="0"/>
    <s v="it"/>
    <m/>
    <s v=""/>
    <b v="0"/>
    <n v="4"/>
    <s v="1438842141804056579"/>
    <s v="Twitter Web App"/>
    <b v="0"/>
    <s v="1438842141804056579"/>
    <s v="Tweet"/>
    <n v="0"/>
    <n v="0"/>
    <m/>
    <m/>
    <m/>
    <m/>
    <m/>
    <m/>
    <m/>
    <m/>
    <n v="1"/>
    <s v="3"/>
    <s v="3"/>
    <n v="1"/>
    <n v="2.5"/>
    <n v="0"/>
    <n v="0"/>
    <n v="0"/>
    <n v="0"/>
    <n v="39"/>
    <n v="97.5"/>
    <n v="40"/>
  </r>
  <r>
    <s v="cokteleria"/>
    <s v="cokteleria"/>
    <s v="192, 192, 192"/>
    <n v="5"/>
    <m/>
    <n v="40"/>
    <m/>
    <m/>
    <m/>
    <m/>
    <s v="No"/>
    <n v="40"/>
    <m/>
    <m/>
    <s v="Tweet"/>
    <x v="12"/>
    <s v="El club rotario y rotaract  Por amor a las calles #PozaRica entregó 1788 comidas calientes entre la población de #PozaRica #Tihuatlan #Papantla #Coatzintla #Cazones #Distrito4185 #HuracanGrace #CaravanaMigrante #ServirParaCambiarVida https://t.co/RWJmJsS0m6"/>
    <m/>
    <m/>
    <s v="pozarica pozarica tihuatlan papantla coatzintla cazones distrito4185 huracangrace caravanamigrante servirparacambiarvida"/>
    <s v="https://pbs.twimg.com/media/E_ff6a6XIAI9oBe.jpg"/>
    <s v="https://pbs.twimg.com/media/E_ff6a6XIAI9oBe.jpg"/>
    <d v="2021-09-17T13:57:56.000"/>
    <d v="2021-09-17T00:00:00.000"/>
    <s v="13:57:56"/>
    <s v="https://twitter.com/cokteleria/status/1438864803720830986"/>
    <m/>
    <m/>
    <s v="1438864803720830986"/>
    <m/>
    <b v="0"/>
    <n v="0"/>
    <s v=""/>
    <b v="0"/>
    <s v="es"/>
    <m/>
    <s v=""/>
    <b v="0"/>
    <n v="1"/>
    <s v=""/>
    <s v="Twitter for Android"/>
    <b v="0"/>
    <s v="1438864803720830986"/>
    <s v="Tweet"/>
    <n v="0"/>
    <n v="0"/>
    <m/>
    <m/>
    <m/>
    <m/>
    <m/>
    <m/>
    <m/>
    <m/>
    <n v="1"/>
    <s v="27"/>
    <s v="27"/>
    <n v="0"/>
    <n v="0"/>
    <n v="0"/>
    <n v="0"/>
    <n v="0"/>
    <n v="0"/>
    <n v="28"/>
    <n v="100"/>
    <n v="28"/>
  </r>
  <r>
    <s v="bauzaoficial"/>
    <s v="cokteleria"/>
    <s v="192, 192, 192"/>
    <n v="5"/>
    <m/>
    <n v="40"/>
    <m/>
    <m/>
    <m/>
    <m/>
    <s v="No"/>
    <n v="41"/>
    <m/>
    <m/>
    <s v="Retweet"/>
    <x v="13"/>
    <s v="El club rotario y rotaract  Por amor a las calles #PozaRica entregó 1788 comidas calientes entre la población de #PozaRica #Tihuatlan #Papantla #Coatzintla #Cazones #Distrito4185 #HuracanGrace #CaravanaMigrante #ServirParaCambiarVida https://t.co/RWJmJsS0m6"/>
    <m/>
    <m/>
    <s v="pozarica pozarica tihuatlan papantla coatzintla cazones distrito4185 huracangrace caravanamigrante servirparacambiarvida"/>
    <s v="https://pbs.twimg.com/media/E_ff6a6XIAI9oBe.jpg"/>
    <s v="https://pbs.twimg.com/media/E_ff6a6XIAI9oBe.jpg"/>
    <d v="2021-09-17T14:17:34.000"/>
    <d v="2021-09-17T00:00:00.000"/>
    <s v="14:17:34"/>
    <s v="https://twitter.com/bauzaoficial/status/1438869745651048459"/>
    <m/>
    <m/>
    <s v="1438869745651048459"/>
    <m/>
    <b v="0"/>
    <n v="0"/>
    <s v=""/>
    <b v="0"/>
    <s v="es"/>
    <m/>
    <s v=""/>
    <b v="0"/>
    <n v="1"/>
    <s v="1438864803720830986"/>
    <s v="Twitter for Android"/>
    <b v="0"/>
    <s v="1438864803720830986"/>
    <s v="Tweet"/>
    <n v="0"/>
    <n v="0"/>
    <m/>
    <m/>
    <m/>
    <m/>
    <m/>
    <m/>
    <m/>
    <m/>
    <n v="1"/>
    <s v="27"/>
    <s v="27"/>
    <n v="0"/>
    <n v="0"/>
    <n v="0"/>
    <n v="0"/>
    <n v="0"/>
    <n v="0"/>
    <n v="28"/>
    <n v="100"/>
    <n v="28"/>
  </r>
  <r>
    <s v="obritob"/>
    <s v="obritob"/>
    <s v="192, 192, 192"/>
    <n v="5"/>
    <m/>
    <n v="40"/>
    <m/>
    <m/>
    <m/>
    <m/>
    <s v="No"/>
    <n v="42"/>
    <m/>
    <m/>
    <s v="Tweet"/>
    <x v="14"/>
    <s v="Realizan velada migrantes en Tapachula, para pedir a Dios que las autoridades los dejen seguir su camino a EU. Colocaron velas a los pies de Benito Juárez en el centro de este municipio de Chiapas... #caravanamigrante https://t.co/av4wo2KmoX"/>
    <m/>
    <m/>
    <s v="caravanamigrante"/>
    <s v="https://pbs.twimg.com/ext_tw_video_thumb/1438882543554777089/pu/img/ZHV8mtiM5xf5qrBa.jpg"/>
    <s v="https://pbs.twimg.com/ext_tw_video_thumb/1438882543554777089/pu/img/ZHV8mtiM5xf5qrBa.jpg"/>
    <d v="2021-09-17T15:08:55.000"/>
    <d v="2021-09-17T00:00:00.000"/>
    <s v="15:08:55"/>
    <s v="https://twitter.com/obritob/status/1438882664564633602"/>
    <m/>
    <m/>
    <s v="1438882664564633602"/>
    <m/>
    <b v="0"/>
    <n v="0"/>
    <s v=""/>
    <b v="0"/>
    <s v="es"/>
    <m/>
    <s v=""/>
    <b v="0"/>
    <n v="0"/>
    <s v=""/>
    <s v="Twitter for Android"/>
    <b v="0"/>
    <s v="1438882664564633602"/>
    <s v="Tweet"/>
    <n v="0"/>
    <n v="0"/>
    <m/>
    <m/>
    <m/>
    <m/>
    <m/>
    <m/>
    <m/>
    <m/>
    <n v="1"/>
    <s v="4"/>
    <s v="4"/>
    <n v="0"/>
    <n v="0"/>
    <n v="0"/>
    <n v="0"/>
    <n v="0"/>
    <n v="0"/>
    <n v="36"/>
    <n v="100"/>
    <n v="36"/>
  </r>
  <r>
    <s v="mexnewztam"/>
    <s v="mexnewz"/>
    <s v="192, 192, 192"/>
    <n v="5"/>
    <m/>
    <n v="40"/>
    <m/>
    <m/>
    <m/>
    <m/>
    <s v="No"/>
    <n v="43"/>
    <m/>
    <m/>
    <s v="Retweet"/>
    <x v="15"/>
    <s v="Detectan #COVID en 20% de pruebas realizadas a #Migrantes | #Estados #Nacional #México #COVID19 #CaravanaMigrante #COVIDMigrantes https://t.co/Bhc5A2NVuW https://t.co/oqEag6OZtv"/>
    <s v="https://www.mexnewz.mx/detectan-covid-en-20-de-pruebas-realizadas-a-migrantes/"/>
    <s v="mexnewz.mx"/>
    <s v="covid migrantes estados nacional méxico covid19 caravanamigrante covidmigrantes"/>
    <s v="https://pbs.twimg.com/media/E_fumieXsAIlIMT.jpg"/>
    <s v="https://pbs.twimg.com/media/E_fumieXsAIlIMT.jpg"/>
    <d v="2021-09-17T15:21:39.000"/>
    <d v="2021-09-17T00:00:00.000"/>
    <s v="15:21:39"/>
    <s v="https://twitter.com/mexnewztam/status/1438885869801418753"/>
    <m/>
    <m/>
    <s v="1438885869801418753"/>
    <m/>
    <b v="0"/>
    <n v="0"/>
    <s v=""/>
    <b v="0"/>
    <s v="es"/>
    <m/>
    <s v=""/>
    <b v="0"/>
    <n v="1"/>
    <s v="1438880952873361413"/>
    <s v="Twitter for Android"/>
    <b v="0"/>
    <s v="1438880952873361413"/>
    <s v="Tweet"/>
    <n v="0"/>
    <n v="0"/>
    <m/>
    <m/>
    <m/>
    <m/>
    <m/>
    <m/>
    <m/>
    <m/>
    <n v="1"/>
    <s v="26"/>
    <s v="26"/>
    <n v="0"/>
    <n v="0"/>
    <n v="0"/>
    <n v="0"/>
    <n v="0"/>
    <n v="0"/>
    <n v="15"/>
    <n v="100"/>
    <n v="15"/>
  </r>
  <r>
    <s v="albypiero"/>
    <s v="chrispeverieri"/>
    <s v="192, 192, 192"/>
    <n v="5"/>
    <m/>
    <n v="40"/>
    <m/>
    <m/>
    <m/>
    <m/>
    <s v="No"/>
    <n v="44"/>
    <m/>
    <m/>
    <s v="Retweet"/>
    <x v="16"/>
    <s v="#FronteraSur | «Il flusso migratorio è straripato, cercano di evitare di cadere nelle mani delle autorità migratorie messicane che li obbligano a fermarsi a Tapachula, ribattezzata città-carcere»._x000a_#Messico #CaravanaMigrante _x000a_https://t.co/Mx5YCbGU2Z"/>
    <s v="https://movimientomigrantemesoamericano.org/2021/09/16/se-desborda-flujo-migratorio/"/>
    <s v="movimientomigrantemesoamericano.org"/>
    <s v="fronterasur messico caravanamigrante"/>
    <m/>
    <s v="https://pbs.twimg.com/profile_images/1136895681518546945/8aJcYgog_normal.jpg"/>
    <d v="2021-09-17T21:45:08.000"/>
    <d v="2021-09-17T00:00:00.000"/>
    <s v="21:45:08"/>
    <s v="https://twitter.com/albypiero/status/1438982377213153283"/>
    <m/>
    <m/>
    <s v="1438982377213153283"/>
    <m/>
    <b v="0"/>
    <n v="0"/>
    <s v=""/>
    <b v="0"/>
    <s v="it"/>
    <m/>
    <s v=""/>
    <b v="0"/>
    <n v="2"/>
    <s v="1438972013033529344"/>
    <s v="Twitter for Android"/>
    <b v="0"/>
    <s v="1438972013033529344"/>
    <s v="Tweet"/>
    <n v="0"/>
    <n v="0"/>
    <m/>
    <m/>
    <m/>
    <m/>
    <m/>
    <m/>
    <m/>
    <m/>
    <n v="1"/>
    <s v="3"/>
    <s v="3"/>
    <n v="0"/>
    <n v="0"/>
    <n v="0"/>
    <n v="0"/>
    <n v="0"/>
    <n v="0"/>
    <n v="29"/>
    <n v="100"/>
    <n v="29"/>
  </r>
  <r>
    <s v="actingcbp"/>
    <s v="actingcbp"/>
    <s v="192, 192, 192"/>
    <n v="5"/>
    <m/>
    <n v="40"/>
    <m/>
    <m/>
    <m/>
    <m/>
    <s v="No"/>
    <n v="45"/>
    <m/>
    <m/>
    <s v="Tweet"/>
    <x v="17"/>
    <s v="Detectan #COVID en 20% de pruebas realizadas a #Migrantes | #Estados #Nacional #México #COVID19 #CaravanaMigrante #COVIDMigrantes https://t.co/zVk92VcRAc https://t.co/whuK65bvZb"/>
    <s v="https://www.mexnewz.mx/detectan-covid-en-20-de-pruebas-realizadas-a-migrantes/"/>
    <s v="mexnewz.mx"/>
    <s v="covid migrantes estados nacional méxico covid19 caravanamigrante covidmigrantes"/>
    <s v="https://pbs.twimg.com/media/E_fumieXsAIlIMT.jpg"/>
    <s v="https://pbs.twimg.com/media/E_fumieXsAIlIMT.jpg"/>
    <d v="2021-09-17T21:51:07.000"/>
    <d v="2021-09-17T00:00:00.000"/>
    <s v="21:51:07"/>
    <s v="https://twitter.com/actingcbp/status/1438983884474142723"/>
    <m/>
    <m/>
    <s v="1438983884474142723"/>
    <m/>
    <b v="0"/>
    <n v="0"/>
    <s v=""/>
    <b v="0"/>
    <s v="es"/>
    <m/>
    <s v=""/>
    <b v="0"/>
    <n v="0"/>
    <s v=""/>
    <s v="Twitter for Android"/>
    <b v="0"/>
    <s v="1438983884474142723"/>
    <s v="Tweet"/>
    <n v="0"/>
    <n v="0"/>
    <m/>
    <m/>
    <m/>
    <m/>
    <m/>
    <m/>
    <m/>
    <m/>
    <n v="1"/>
    <s v="4"/>
    <s v="4"/>
    <n v="0"/>
    <n v="0"/>
    <n v="0"/>
    <n v="0"/>
    <n v="0"/>
    <n v="0"/>
    <n v="15"/>
    <n v="100"/>
    <n v="15"/>
  </r>
  <r>
    <s v="infomediamx4"/>
    <s v="infomediamx4"/>
    <s v="192, 192, 192"/>
    <n v="5"/>
    <m/>
    <n v="40"/>
    <m/>
    <m/>
    <m/>
    <m/>
    <s v="No"/>
    <n v="46"/>
    <m/>
    <m/>
    <s v="Tweet"/>
    <x v="18"/>
    <s v="#Nacionales #CaravanaMigrante_x000a__x000a_Muere atropellada una menor que viajaba con un grupo de migrantes_x000a__x000a_▶️  https://t.co/tJ2E5vfRKz https://t.co/QnMKoy2mVI"/>
    <s v="http://www.infomediamx.com/65774/"/>
    <s v="infomediamx.com"/>
    <s v="nacionales caravanamigrante"/>
    <s v="https://pbs.twimg.com/media/E_hOe6QXsAgEBPR.jpg"/>
    <s v="https://pbs.twimg.com/media/E_hOe6QXsAgEBPR.jpg"/>
    <d v="2021-09-17T22:01:01.000"/>
    <d v="2021-09-17T00:00:00.000"/>
    <s v="22:01:01"/>
    <s v="https://twitter.com/infomediamx4/status/1438986376070975489"/>
    <m/>
    <m/>
    <s v="1438986376070975489"/>
    <m/>
    <b v="0"/>
    <n v="0"/>
    <s v=""/>
    <b v="0"/>
    <s v="es"/>
    <m/>
    <s v=""/>
    <b v="0"/>
    <n v="0"/>
    <s v=""/>
    <s v="Hootsuite Inc."/>
    <b v="0"/>
    <s v="1438986376070975489"/>
    <s v="Tweet"/>
    <n v="0"/>
    <n v="0"/>
    <m/>
    <m/>
    <m/>
    <m/>
    <m/>
    <m/>
    <m/>
    <m/>
    <n v="1"/>
    <s v="4"/>
    <s v="4"/>
    <n v="0"/>
    <n v="0"/>
    <n v="0"/>
    <n v="0"/>
    <n v="0"/>
    <n v="0"/>
    <n v="13"/>
    <n v="100"/>
    <n v="13"/>
  </r>
  <r>
    <s v="cesar_alonso__"/>
    <s v="eunicerendon"/>
    <s v="192, 192, 192"/>
    <n v="5"/>
    <m/>
    <n v="40"/>
    <m/>
    <m/>
    <m/>
    <m/>
    <s v="No"/>
    <n v="47"/>
    <m/>
    <m/>
    <s v="Retweet"/>
    <x v="19"/>
    <s v="Cientos de #migrantes en lugar de seguir la ruta de la costa, hacia Huixtla y Mapastepec, donde al menos cuatro caravanas fueron disueltas con #violencia a principios de este mes, ahora optan por rutas más riesgosas como el de la Frailesca de #Chiapas. #CaravanaMigrante _x000a_🧵👇🏻 https://t.co/MuBpDZByBo"/>
    <m/>
    <m/>
    <s v="migrantes violencia chiapas caravanamigrante"/>
    <s v="https://pbs.twimg.com/media/E_hf8JkUcAEu7lU.jpg"/>
    <s v="https://pbs.twimg.com/media/E_hf8JkUcAEu7lU.jpg"/>
    <d v="2021-09-17T23:32:35.000"/>
    <d v="2021-09-17T00:00:00.000"/>
    <s v="23:32:35"/>
    <s v="https://twitter.com/cesar_alonso__/status/1439009417240920066"/>
    <m/>
    <m/>
    <s v="1439009417240920066"/>
    <m/>
    <b v="0"/>
    <n v="0"/>
    <s v=""/>
    <b v="0"/>
    <s v="es"/>
    <m/>
    <s v=""/>
    <b v="0"/>
    <n v="5"/>
    <s v="1439005569382162434"/>
    <s v="Twitter for Android"/>
    <b v="0"/>
    <s v="1439005569382162434"/>
    <s v="Tweet"/>
    <n v="0"/>
    <n v="0"/>
    <m/>
    <m/>
    <m/>
    <m/>
    <m/>
    <m/>
    <m/>
    <m/>
    <n v="1"/>
    <s v="10"/>
    <s v="10"/>
    <n v="0"/>
    <n v="0"/>
    <n v="0"/>
    <n v="0"/>
    <n v="0"/>
    <n v="0"/>
    <n v="44"/>
    <n v="100"/>
    <n v="44"/>
  </r>
  <r>
    <s v="agendamigrante"/>
    <s v="eunicerendon"/>
    <s v="192, 192, 192"/>
    <n v="5"/>
    <m/>
    <n v="40"/>
    <m/>
    <m/>
    <m/>
    <m/>
    <s v="No"/>
    <n v="48"/>
    <m/>
    <m/>
    <s v="Retweet"/>
    <x v="20"/>
    <s v="Cientos de #migrantes en lugar de seguir la ruta de la costa, hacia Huixtla y Mapastepec, donde al menos cuatro caravanas fueron disueltas con #violencia a principios de este mes, ahora optan por rutas más riesgosas como el de la Frailesca de #Chiapas. #CaravanaMigrante _x000a_🧵👇🏻 https://t.co/MuBpDZByBo"/>
    <m/>
    <m/>
    <s v="migrantes violencia chiapas caravanamigrante"/>
    <s v="https://pbs.twimg.com/media/E_hf8JkUcAEu7lU.jpg"/>
    <s v="https://pbs.twimg.com/media/E_hf8JkUcAEu7lU.jpg"/>
    <d v="2021-09-17T23:35:01.000"/>
    <d v="2021-09-17T00:00:00.000"/>
    <s v="23:35:01"/>
    <s v="https://twitter.com/agendamigrante/status/1439010030880059392"/>
    <m/>
    <m/>
    <s v="1439010030880059392"/>
    <m/>
    <b v="0"/>
    <n v="0"/>
    <s v=""/>
    <b v="0"/>
    <s v="es"/>
    <m/>
    <s v=""/>
    <b v="0"/>
    <n v="5"/>
    <s v="1439005569382162434"/>
    <s v="Twitter for Android"/>
    <b v="0"/>
    <s v="1439005569382162434"/>
    <s v="Tweet"/>
    <n v="0"/>
    <n v="0"/>
    <m/>
    <m/>
    <m/>
    <m/>
    <m/>
    <m/>
    <m/>
    <m/>
    <n v="1"/>
    <s v="10"/>
    <s v="10"/>
    <n v="0"/>
    <n v="0"/>
    <n v="0"/>
    <n v="0"/>
    <n v="0"/>
    <n v="0"/>
    <n v="44"/>
    <n v="100"/>
    <n v="44"/>
  </r>
  <r>
    <s v="viral_mx"/>
    <s v="eunicerendon"/>
    <s v="192, 192, 192"/>
    <n v="5"/>
    <m/>
    <n v="40"/>
    <m/>
    <m/>
    <m/>
    <m/>
    <s v="No"/>
    <n v="49"/>
    <m/>
    <m/>
    <s v="Retweet"/>
    <x v="21"/>
    <s v="Cientos de #migrantes en lugar de seguir la ruta de la costa, hacia Huixtla y Mapastepec, donde al menos cuatro caravanas fueron disueltas con #violencia a principios de este mes, ahora optan por rutas más riesgosas como el de la Frailesca de #Chiapas. #CaravanaMigrante _x000a_🧵👇🏻 https://t.co/MuBpDZByBo"/>
    <m/>
    <m/>
    <s v="migrantes violencia chiapas caravanamigrante"/>
    <s v="https://pbs.twimg.com/media/E_hf8JkUcAEu7lU.jpg"/>
    <s v="https://pbs.twimg.com/media/E_hf8JkUcAEu7lU.jpg"/>
    <d v="2021-09-18T00:22:34.000"/>
    <d v="2021-09-18T00:00:00.000"/>
    <s v="00:22:34"/>
    <s v="https://twitter.com/viral_mx/status/1439021998135398401"/>
    <m/>
    <m/>
    <s v="1439021998135398401"/>
    <m/>
    <b v="0"/>
    <n v="0"/>
    <s v=""/>
    <b v="0"/>
    <s v="es"/>
    <m/>
    <s v=""/>
    <b v="0"/>
    <n v="5"/>
    <s v="1439005569382162434"/>
    <s v="Twitter for Android"/>
    <b v="0"/>
    <s v="1439005569382162434"/>
    <s v="Tweet"/>
    <n v="0"/>
    <n v="0"/>
    <m/>
    <m/>
    <m/>
    <m/>
    <m/>
    <m/>
    <m/>
    <m/>
    <n v="1"/>
    <s v="10"/>
    <s v="10"/>
    <n v="0"/>
    <n v="0"/>
    <n v="0"/>
    <n v="0"/>
    <n v="0"/>
    <n v="0"/>
    <n v="44"/>
    <n v="100"/>
    <n v="44"/>
  </r>
  <r>
    <s v="real_marquis"/>
    <s v="catturd2"/>
    <s v="192, 192, 192"/>
    <n v="5"/>
    <m/>
    <n v="40"/>
    <m/>
    <m/>
    <m/>
    <m/>
    <s v="No"/>
    <n v="50"/>
    <m/>
    <m/>
    <s v="Mentions"/>
    <x v="22"/>
    <s v="#USA #Haitians #GeorgeSoros #globalism #BorderCrisis #migrants #GeoFence #caravanamigrante #Invasion _x000a__x000a_@catturd2 https://t.co/VbsQ3oDFjG"/>
    <m/>
    <m/>
    <s v="usa haitians georgesoros globalism bordercrisis migrants geofence caravanamigrante invasion"/>
    <s v="https://pbs.twimg.com/media/E_j4M2KXEAAItzb.jpg"/>
    <s v="https://pbs.twimg.com/media/E_j4M2KXEAAItzb.jpg"/>
    <d v="2021-09-18T10:25:20.000"/>
    <d v="2021-09-18T00:00:00.000"/>
    <s v="10:25:20"/>
    <s v="https://twitter.com/real_marquis/status/1439173686284668929"/>
    <m/>
    <m/>
    <s v="1439173686284668929"/>
    <m/>
    <b v="0"/>
    <n v="0"/>
    <s v=""/>
    <b v="0"/>
    <s v="und"/>
    <m/>
    <s v=""/>
    <b v="0"/>
    <n v="0"/>
    <s v=""/>
    <s v="Twitter Web App"/>
    <b v="0"/>
    <s v="1439173686284668929"/>
    <s v="Tweet"/>
    <n v="0"/>
    <n v="0"/>
    <m/>
    <m/>
    <m/>
    <m/>
    <m/>
    <m/>
    <m/>
    <m/>
    <n v="1"/>
    <s v="13"/>
    <s v="13"/>
    <n v="0"/>
    <n v="0"/>
    <n v="0"/>
    <n v="0"/>
    <n v="0"/>
    <n v="0"/>
    <n v="10"/>
    <n v="100"/>
    <n v="10"/>
  </r>
  <r>
    <s v="eunicerendon"/>
    <s v="eunicerendon"/>
    <s v="Gray"/>
    <n v="10"/>
    <m/>
    <n v="20"/>
    <m/>
    <m/>
    <m/>
    <m/>
    <s v="No"/>
    <n v="51"/>
    <m/>
    <m/>
    <s v="Tweet"/>
    <x v="23"/>
    <s v="Cientos de #migrantes en lugar de seguir la ruta de la costa, hacia Huixtla y Mapastepec, donde al menos cuatro caravanas fueron disueltas con #violencia a principios de este mes, ahora optan por rutas más riesgosas como el de la Frailesca de #Chiapas. #CaravanaMigrante _x000a_🧵👇🏻 https://t.co/MuBpDZByBo"/>
    <m/>
    <m/>
    <s v="migrantes violencia chiapas caravanamigrante"/>
    <s v="https://pbs.twimg.com/media/E_hf8JkUcAEu7lU.jpg"/>
    <s v="https://pbs.twimg.com/media/E_hf8JkUcAEu7lU.jpg"/>
    <d v="2021-09-17T23:17:17.000"/>
    <d v="2021-09-17T00:00:00.000"/>
    <s v="23:17:17"/>
    <s v="https://twitter.com/eunicerendon/status/1439005569382162434"/>
    <m/>
    <m/>
    <s v="1439005569382162434"/>
    <m/>
    <b v="0"/>
    <n v="14"/>
    <s v=""/>
    <b v="0"/>
    <s v="es"/>
    <m/>
    <s v=""/>
    <b v="0"/>
    <n v="5"/>
    <s v=""/>
    <s v="Twitter for Android"/>
    <b v="0"/>
    <s v="1439005569382162434"/>
    <s v="Tweet"/>
    <n v="0"/>
    <n v="0"/>
    <m/>
    <m/>
    <m/>
    <m/>
    <m/>
    <m/>
    <m/>
    <m/>
    <n v="4"/>
    <s v="10"/>
    <s v="10"/>
    <n v="0"/>
    <n v="0"/>
    <n v="0"/>
    <n v="0"/>
    <n v="0"/>
    <n v="0"/>
    <n v="44"/>
    <n v="100"/>
    <n v="44"/>
  </r>
  <r>
    <s v="eunicerendon"/>
    <s v="eunicerendon"/>
    <s v="Gray"/>
    <n v="10"/>
    <m/>
    <n v="20"/>
    <m/>
    <m/>
    <m/>
    <m/>
    <s v="No"/>
    <n v="52"/>
    <m/>
    <m/>
    <s v="Tweet"/>
    <x v="24"/>
    <s v="“Muchos somos extorsionados por #policías estatales y municipales, choferes de mototaxis, colectivos, incluso, en los hoteles nos suben el costo por los servicios” migrante haitiano. #CaravanaMigrante"/>
    <m/>
    <m/>
    <s v="policías caravanamigrante"/>
    <m/>
    <s v="https://pbs.twimg.com/profile_images/1428883324966109189/hCXYHKH6_normal.jpg"/>
    <d v="2021-09-17T23:19:10.000"/>
    <d v="2021-09-17T00:00:00.000"/>
    <s v="23:19:10"/>
    <s v="https://twitter.com/eunicerendon/status/1439006042470289408"/>
    <m/>
    <m/>
    <s v="1439006042470289408"/>
    <s v="1439005878011654145"/>
    <b v="0"/>
    <n v="3"/>
    <s v="137104854"/>
    <b v="0"/>
    <s v="es"/>
    <m/>
    <s v=""/>
    <b v="0"/>
    <n v="0"/>
    <s v=""/>
    <s v="Twitter for Android"/>
    <b v="0"/>
    <s v="1439005878011654145"/>
    <s v="Tweet"/>
    <n v="0"/>
    <n v="0"/>
    <m/>
    <m/>
    <m/>
    <m/>
    <m/>
    <m/>
    <m/>
    <m/>
    <n v="4"/>
    <s v="10"/>
    <s v="10"/>
    <n v="0"/>
    <n v="0"/>
    <n v="0"/>
    <n v="0"/>
    <n v="0"/>
    <n v="0"/>
    <n v="26"/>
    <n v="100"/>
    <n v="26"/>
  </r>
  <r>
    <s v="luisglez33"/>
    <s v="eunicerendon"/>
    <s v="192, 192, 192"/>
    <n v="5"/>
    <m/>
    <n v="40"/>
    <m/>
    <m/>
    <m/>
    <m/>
    <s v="No"/>
    <n v="53"/>
    <m/>
    <m/>
    <s v="Retweet"/>
    <x v="25"/>
    <s v="Cientos de #migrantes en lugar de seguir la ruta de la costa, hacia Huixtla y Mapastepec, donde al menos cuatro caravanas fueron disueltas con #violencia a principios de este mes, ahora optan por rutas más riesgosas como el de la Frailesca de #Chiapas. #CaravanaMigrante _x000a_🧵👇🏻 https://t.co/MuBpDZByBo"/>
    <m/>
    <m/>
    <s v="migrantes violencia chiapas caravanamigrante"/>
    <s v="https://pbs.twimg.com/media/E_hf8JkUcAEu7lU.jpg"/>
    <s v="https://pbs.twimg.com/media/E_hf8JkUcAEu7lU.jpg"/>
    <d v="2021-09-18T12:19:57.000"/>
    <d v="2021-09-18T00:00:00.000"/>
    <s v="12:19:57"/>
    <s v="https://twitter.com/luisglez33/status/1439202532954312705"/>
    <m/>
    <m/>
    <s v="1439202532954312705"/>
    <m/>
    <b v="0"/>
    <n v="0"/>
    <s v=""/>
    <b v="0"/>
    <s v="es"/>
    <m/>
    <s v=""/>
    <b v="0"/>
    <n v="5"/>
    <s v="1439005569382162434"/>
    <s v="Twitter for iPhone"/>
    <b v="0"/>
    <s v="1439005569382162434"/>
    <s v="Tweet"/>
    <n v="0"/>
    <n v="0"/>
    <m/>
    <m/>
    <m/>
    <m/>
    <m/>
    <m/>
    <m/>
    <m/>
    <n v="1"/>
    <s v="10"/>
    <s v="10"/>
    <n v="0"/>
    <n v="0"/>
    <n v="0"/>
    <n v="0"/>
    <n v="0"/>
    <n v="0"/>
    <n v="44"/>
    <n v="100"/>
    <n v="44"/>
  </r>
  <r>
    <s v="rmilell66"/>
    <s v="meltingpoteu"/>
    <s v="192, 192, 192"/>
    <n v="5"/>
    <m/>
    <n v="40"/>
    <m/>
    <m/>
    <m/>
    <m/>
    <s v="No"/>
    <n v="54"/>
    <m/>
    <m/>
    <s v="MentionsInRetweet"/>
    <x v="26"/>
    <s v="#FronteraSur | Migliaia di migranti e richiedenti asilo intrappolati dal fallimento del sistema di asilo._x000a__x000a_Qui la mia intervista per @MeltingPotEU a Nimsi Arroyo, albergue Hospitalidad y Solidaridad di #Tapachula_x000a_#Mexico #CaravanaMigrante_x000a__x000a_https://t.co/TaTf4yw6VC"/>
    <s v="https://www.meltingpot.org/Tapachula-frontiera-sud-del-Messico-migliaia-di-persone.html"/>
    <s v="meltingpot.org"/>
    <s v="fronterasur tapachula mexico caravanamigrante"/>
    <m/>
    <s v="https://pbs.twimg.com/profile_images/1421725294520672257/yghrXN73_normal.jpg"/>
    <d v="2021-09-18T12:20:17.000"/>
    <d v="2021-09-18T00:00:00.000"/>
    <s v="12:20:17"/>
    <s v="https://twitter.com/rmilell66/status/1439202617477971978"/>
    <m/>
    <m/>
    <s v="1439202617477971978"/>
    <m/>
    <b v="0"/>
    <n v="0"/>
    <s v=""/>
    <b v="0"/>
    <s v="it"/>
    <m/>
    <s v=""/>
    <b v="0"/>
    <n v="3"/>
    <s v="1438973080861356033"/>
    <s v="Twitter for Android"/>
    <b v="0"/>
    <s v="1438973080861356033"/>
    <s v="Tweet"/>
    <n v="0"/>
    <n v="0"/>
    <m/>
    <m/>
    <m/>
    <m/>
    <m/>
    <m/>
    <m/>
    <m/>
    <n v="1"/>
    <s v="3"/>
    <s v="3"/>
    <n v="0"/>
    <n v="0"/>
    <n v="0"/>
    <n v="0"/>
    <n v="0"/>
    <n v="0"/>
    <n v="31"/>
    <n v="100"/>
    <n v="31"/>
  </r>
  <r>
    <s v="jcmnuevoleon"/>
    <s v="jcmnuevoleon"/>
    <s v="192, 192, 192"/>
    <n v="5"/>
    <m/>
    <n v="40"/>
    <m/>
    <m/>
    <m/>
    <m/>
    <s v="No"/>
    <n v="56"/>
    <m/>
    <m/>
    <s v="Tweet"/>
    <x v="27"/>
    <s v="La migración es natural, no ilegal. Defendamos el derecho de nuestrxs hermanxs a una vida plena y libre de violencia #CaravanaMigrante_x000a_Adelante!_x000a_https://t.co/q4iNlzb7OT"/>
    <s v="https://jucomex.com/2021/09/13/ser-migrante-no-es-ser-delincuente/"/>
    <s v="jucomex.com"/>
    <s v="caravanamigrante"/>
    <m/>
    <s v="https://pbs.twimg.com/profile_images/1400631307386896387/6KkKcfhq_normal.jpg"/>
    <d v="2021-09-18T15:09:39.000"/>
    <d v="2021-09-18T00:00:00.000"/>
    <s v="15:09:39"/>
    <s v="https://twitter.com/jcmnuevoleon/status/1439245237071777799"/>
    <m/>
    <m/>
    <s v="1439245237071777799"/>
    <m/>
    <b v="0"/>
    <n v="5"/>
    <s v=""/>
    <b v="0"/>
    <s v="es"/>
    <m/>
    <s v=""/>
    <b v="0"/>
    <n v="1"/>
    <s v=""/>
    <s v="Twitter for Android"/>
    <b v="0"/>
    <s v="1439245237071777799"/>
    <s v="Tweet"/>
    <n v="0"/>
    <n v="0"/>
    <s v="-100.421037,25.4805381 _x000a_-100.166146,25.4805381 _x000a_-100.166146,25.802899 _x000a_-100.421037,25.802899"/>
    <s v="Mexico"/>
    <s v="MX"/>
    <s v="Monterrey, Nuevo León"/>
    <s v="b19e24ce42ccd6aa"/>
    <s v="Monterrey"/>
    <s v="city"/>
    <s v="https://api.twitter.com/1.1/geo/id/b19e24ce42ccd6aa.json"/>
    <n v="1"/>
    <s v="25"/>
    <s v="25"/>
    <n v="0"/>
    <n v="0"/>
    <n v="0"/>
    <n v="0"/>
    <n v="0"/>
    <n v="0"/>
    <n v="22"/>
    <n v="100"/>
    <n v="22"/>
  </r>
  <r>
    <s v="eliphaleth"/>
    <s v="jcmnuevoleon"/>
    <s v="192, 192, 192"/>
    <n v="5"/>
    <m/>
    <n v="40"/>
    <m/>
    <m/>
    <m/>
    <m/>
    <s v="No"/>
    <n v="57"/>
    <m/>
    <m/>
    <s v="Retweet"/>
    <x v="28"/>
    <s v="La migración es natural, no ilegal. Defendamos el derecho de nuestrxs hermanxs a una vida plena y libre de violencia #CaravanaMigrante_x000a_Adelante!_x000a_https://t.co/q4iNlzb7OT"/>
    <s v="https://jucomex.com/2021/09/13/ser-migrante-no-es-ser-delincuente/"/>
    <s v="jucomex.com"/>
    <s v="caravanamigrante"/>
    <m/>
    <s v="https://pbs.twimg.com/profile_images/1391953789796638720/RminQRQh_normal.jpg"/>
    <d v="2021-09-18T16:44:36.000"/>
    <d v="2021-09-18T00:00:00.000"/>
    <s v="16:44:36"/>
    <s v="https://twitter.com/eliphaleth/status/1439269135138050053"/>
    <m/>
    <m/>
    <s v="1439269135138050053"/>
    <m/>
    <b v="0"/>
    <n v="0"/>
    <s v=""/>
    <b v="0"/>
    <s v="es"/>
    <m/>
    <s v=""/>
    <b v="0"/>
    <n v="1"/>
    <s v="1439245237071777799"/>
    <s v="Twitter for Android"/>
    <b v="0"/>
    <s v="1439245237071777799"/>
    <s v="Tweet"/>
    <n v="0"/>
    <n v="0"/>
    <m/>
    <m/>
    <m/>
    <m/>
    <m/>
    <m/>
    <m/>
    <m/>
    <n v="1"/>
    <s v="25"/>
    <s v="25"/>
    <n v="0"/>
    <n v="0"/>
    <n v="0"/>
    <n v="0"/>
    <n v="0"/>
    <n v="0"/>
    <n v="22"/>
    <n v="100"/>
    <n v="22"/>
  </r>
  <r>
    <s v="real_marquis"/>
    <s v="realjameswoods"/>
    <s v="192, 192, 192"/>
    <n v="5"/>
    <m/>
    <n v="40"/>
    <m/>
    <m/>
    <m/>
    <m/>
    <s v="No"/>
    <n v="58"/>
    <m/>
    <m/>
    <s v="Mentions"/>
    <x v="29"/>
    <s v="#JoeBiden has already killed more kids than #COVID19 _x000a_... and it's Week #28 in Delaware ..._x000a__x000a_#USA #Haitians #GeorgeSoros #globalism #BorderCrisis #migrants #GeoFence #caravanamigrante #Invasion _x000a__x000a_@RealJamesWoods https://t.co/wJjVujAYkU"/>
    <m/>
    <m/>
    <s v="joebiden covid19 usa haitians georgesoros globalism bordercrisis migrants geofence caravanamigrante invasion"/>
    <s v="https://pbs.twimg.com/media/E_j8gzSWQAA1Gcx.jpg"/>
    <s v="https://pbs.twimg.com/media/E_j8gzSWQAA1Gcx.jpg"/>
    <d v="2021-09-18T10:43:53.000"/>
    <d v="2021-09-18T00:00:00.000"/>
    <s v="10:43:53"/>
    <s v="https://twitter.com/real_marquis/status/1439178357644611584"/>
    <m/>
    <m/>
    <s v="1439178357644611584"/>
    <m/>
    <b v="0"/>
    <n v="1"/>
    <s v=""/>
    <b v="0"/>
    <s v="en"/>
    <m/>
    <s v=""/>
    <b v="0"/>
    <n v="1"/>
    <s v=""/>
    <s v="Twitter Web App"/>
    <b v="0"/>
    <s v="1439178357644611584"/>
    <s v="Tweet"/>
    <n v="0"/>
    <n v="0"/>
    <m/>
    <m/>
    <m/>
    <m/>
    <m/>
    <m/>
    <m/>
    <m/>
    <n v="1"/>
    <s v="13"/>
    <s v="13"/>
    <n v="0"/>
    <n v="0"/>
    <n v="1"/>
    <n v="4.166666666666667"/>
    <n v="0"/>
    <n v="0"/>
    <n v="23"/>
    <n v="95.83333333333333"/>
    <n v="24"/>
  </r>
  <r>
    <s v="gardenpeace9"/>
    <s v="realjameswoods"/>
    <s v="192, 192, 192"/>
    <n v="5"/>
    <m/>
    <n v="40"/>
    <m/>
    <m/>
    <m/>
    <m/>
    <s v="No"/>
    <n v="59"/>
    <m/>
    <m/>
    <s v="MentionsInRetweet"/>
    <x v="30"/>
    <s v="#JoeBiden has already killed more kids than #COVID19 _x000a_... and it's Week #28 in Delaware ..._x000a__x000a_#USA #Haitians #GeorgeSoros #globalism #BorderCrisis #migrants #GeoFence #caravanamigrante #Invasion _x000a__x000a_@RealJamesWoods https://t.co/wJjVujAYkU"/>
    <m/>
    <m/>
    <s v="joebiden covid19 usa haitians georgesoros globalism bordercrisis migrants geofence caravanamigrante invasion"/>
    <s v="https://pbs.twimg.com/media/E_j8gzSWQAA1Gcx.jpg"/>
    <s v="https://pbs.twimg.com/media/E_j8gzSWQAA1Gcx.jpg"/>
    <d v="2021-09-18T18:05:22.000"/>
    <d v="2021-09-18T00:00:00.000"/>
    <s v="18:05:22"/>
    <s v="https://twitter.com/gardenpeace9/status/1439289459481141250"/>
    <m/>
    <m/>
    <s v="1439289459481141250"/>
    <m/>
    <b v="0"/>
    <n v="0"/>
    <s v=""/>
    <b v="0"/>
    <s v="en"/>
    <m/>
    <s v=""/>
    <b v="0"/>
    <n v="1"/>
    <s v="1439178357644611584"/>
    <s v="Twitter for Android"/>
    <b v="0"/>
    <s v="1439178357644611584"/>
    <s v="Tweet"/>
    <n v="0"/>
    <n v="0"/>
    <m/>
    <m/>
    <m/>
    <m/>
    <m/>
    <m/>
    <m/>
    <m/>
    <n v="1"/>
    <s v="13"/>
    <s v="13"/>
    <m/>
    <m/>
    <m/>
    <m/>
    <m/>
    <m/>
    <m/>
    <m/>
    <m/>
  </r>
  <r>
    <s v="pdpagina"/>
    <s v="angelesmariscal"/>
    <s v="192, 192, 192"/>
    <n v="5"/>
    <m/>
    <n v="40"/>
    <m/>
    <m/>
    <m/>
    <m/>
    <s v="No"/>
    <n v="61"/>
    <m/>
    <m/>
    <s v="Mentions"/>
    <x v="31"/>
    <s v="🔸 1. AL inicio de la semana, la #CaravanaMigrante se topó no solo con el cerco de la @GN_MEXICO_, sino con un sistema migratorio corrupto y colapsado. _x000a__x000a_Aquí una #crónica de @AngelesMariscal _x000a__x000a_https://t.co/I3UUzeaxeO"/>
    <s v="https://piedepagina.mx/tapachula-la-ciudad-prision/"/>
    <s v="piedepagina.mx"/>
    <s v="caravanamigrante crónica"/>
    <m/>
    <s v="https://pbs.twimg.com/profile_images/1109290763538567169/aK6umQ7B_normal.png"/>
    <d v="2021-09-12T15:15:20.000"/>
    <d v="2021-09-12T00:00:00.000"/>
    <s v="15:15:20"/>
    <s v="https://twitter.com/pdpagina/status/1437072342056935430"/>
    <m/>
    <m/>
    <s v="1437072342056935430"/>
    <s v="1437070944707678210"/>
    <b v="0"/>
    <n v="9"/>
    <s v="3087410276"/>
    <b v="0"/>
    <s v="es"/>
    <m/>
    <s v=""/>
    <b v="0"/>
    <n v="1"/>
    <s v=""/>
    <s v="TweetDeck"/>
    <b v="0"/>
    <s v="1437070944707678210"/>
    <s v="Retweet"/>
    <n v="0"/>
    <n v="0"/>
    <m/>
    <m/>
    <m/>
    <m/>
    <m/>
    <m/>
    <m/>
    <m/>
    <n v="1"/>
    <s v="5"/>
    <s v="5"/>
    <m/>
    <m/>
    <m/>
    <m/>
    <m/>
    <m/>
    <m/>
    <m/>
    <m/>
  </r>
  <r>
    <s v="pepepareja"/>
    <s v="angelesmariscal"/>
    <s v="192, 192, 192"/>
    <n v="5"/>
    <m/>
    <n v="40"/>
    <m/>
    <m/>
    <m/>
    <m/>
    <s v="No"/>
    <n v="62"/>
    <m/>
    <m/>
    <s v="MentionsInRetweet"/>
    <x v="32"/>
    <s v="🔸 1. AL inicio de la semana, la #CaravanaMigrante se topó no solo con el cerco de la @GN_MEXICO_, sino con un sistema migratorio corrupto y colapsado. _x000a__x000a_Aquí una #crónica de @AngelesMariscal _x000a__x000a_https://t.co/I3UUzeaxeO"/>
    <s v="https://piedepagina.mx/tapachula-la-ciudad-prision/"/>
    <s v="piedepagina.mx"/>
    <s v="caravanamigrante crónica"/>
    <m/>
    <s v="https://pbs.twimg.com/profile_images/1136554139/dissonanze_rimabud_normal.jpg"/>
    <d v="2021-09-18T18:29:55.000"/>
    <d v="2021-09-18T00:00:00.000"/>
    <s v="18:29:55"/>
    <s v="https://twitter.com/pepepareja/status/1439295636759883777"/>
    <m/>
    <m/>
    <s v="1439295636759883777"/>
    <m/>
    <b v="0"/>
    <n v="0"/>
    <s v=""/>
    <b v="0"/>
    <s v="es"/>
    <m/>
    <s v=""/>
    <b v="0"/>
    <n v="1"/>
    <s v="1437072342056935430"/>
    <s v="Twitter for Android"/>
    <b v="0"/>
    <s v="1437072342056935430"/>
    <s v="Tweet"/>
    <n v="0"/>
    <n v="0"/>
    <m/>
    <m/>
    <m/>
    <m/>
    <m/>
    <m/>
    <m/>
    <m/>
    <n v="1"/>
    <s v="5"/>
    <s v="5"/>
    <m/>
    <m/>
    <m/>
    <m/>
    <m/>
    <m/>
    <m/>
    <m/>
    <m/>
  </r>
  <r>
    <s v="isain"/>
    <s v="isain"/>
    <s v="192, 192, 192"/>
    <n v="5"/>
    <m/>
    <n v="40"/>
    <m/>
    <m/>
    <m/>
    <m/>
    <s v="No"/>
    <n v="65"/>
    <m/>
    <m/>
    <s v="Tweet"/>
    <x v="33"/>
    <s v="#Tapachula #Chiapas #FronteraSur #Migrantes #Migración #CaravanaMigrante #CaravanaDeMigrantes https://t.co/VzKlZuJjTn"/>
    <m/>
    <m/>
    <s v="tapachula chiapas fronterasur migrantes migración caravanamigrante caravanademigrantes"/>
    <s v="https://pbs.twimg.com/ext_tw_video_thumb/1436907039775657985/pu/img/4JkMcfWlp9SQde_7.jpg"/>
    <s v="https://pbs.twimg.com/ext_tw_video_thumb/1436907039775657985/pu/img/4JkMcfWlp9SQde_7.jpg"/>
    <d v="2021-09-12T04:20:36.000"/>
    <d v="2021-09-12T00:00:00.000"/>
    <s v="04:20:36"/>
    <s v="https://twitter.com/isain/status/1436907573949706240"/>
    <m/>
    <m/>
    <s v="1436907573949706240"/>
    <m/>
    <b v="0"/>
    <n v="5"/>
    <s v=""/>
    <b v="0"/>
    <s v="und"/>
    <m/>
    <s v=""/>
    <b v="0"/>
    <n v="8"/>
    <s v=""/>
    <s v="Twitter for iPhone"/>
    <b v="0"/>
    <s v="1436907573949706240"/>
    <s v="Retweet"/>
    <n v="0"/>
    <n v="0"/>
    <s v="-93.243094,16.645909 _x000a_-93.036225,16.645909 _x000a_-93.036225,16.838962 _x000a_-93.243094,16.838962"/>
    <s v="Mexico"/>
    <s v="MX"/>
    <s v="Tuxtla Gutiérrez, Chiapas"/>
    <s v="b462c87ea2b4ff26"/>
    <s v="Tuxtla Gutiérrez"/>
    <s v="city"/>
    <s v="https://api.twitter.com/1.1/geo/id/b462c87ea2b4ff26.json"/>
    <n v="1"/>
    <s v="5"/>
    <s v="5"/>
    <n v="0"/>
    <n v="0"/>
    <n v="0"/>
    <n v="0"/>
    <n v="0"/>
    <n v="0"/>
    <n v="7"/>
    <n v="100"/>
    <n v="7"/>
  </r>
  <r>
    <s v="pepepareja"/>
    <s v="isain"/>
    <s v="192, 192, 192"/>
    <n v="5"/>
    <m/>
    <n v="40"/>
    <m/>
    <m/>
    <m/>
    <m/>
    <s v="No"/>
    <n v="66"/>
    <m/>
    <m/>
    <s v="Retweet"/>
    <x v="34"/>
    <s v="#Tapachula #Chiapas #FronteraSur #Migrantes #Migración #CaravanaMigrante #CaravanaDeMigrantes https://t.co/VzKlZuJjTn"/>
    <m/>
    <m/>
    <s v="tapachula chiapas fronterasur migrantes migración caravanamigrante caravanademigrantes"/>
    <s v="https://pbs.twimg.com/ext_tw_video_thumb/1436907039775657985/pu/img/4JkMcfWlp9SQde_7.jpg"/>
    <s v="https://pbs.twimg.com/ext_tw_video_thumb/1436907039775657985/pu/img/4JkMcfWlp9SQde_7.jpg"/>
    <d v="2021-09-18T18:30:02.000"/>
    <d v="2021-09-18T00:00:00.000"/>
    <s v="18:30:02"/>
    <s v="https://twitter.com/pepepareja/status/1439295666082271238"/>
    <m/>
    <m/>
    <s v="1439295666082271238"/>
    <m/>
    <b v="0"/>
    <n v="0"/>
    <s v=""/>
    <b v="0"/>
    <s v="und"/>
    <m/>
    <s v=""/>
    <b v="0"/>
    <n v="8"/>
    <s v="1436907573949706240"/>
    <s v="Twitter for Android"/>
    <b v="0"/>
    <s v="1436907573949706240"/>
    <s v="Tweet"/>
    <n v="0"/>
    <n v="0"/>
    <m/>
    <m/>
    <m/>
    <m/>
    <m/>
    <m/>
    <m/>
    <m/>
    <n v="1"/>
    <s v="5"/>
    <s v="5"/>
    <n v="0"/>
    <n v="0"/>
    <n v="0"/>
    <n v="0"/>
    <n v="0"/>
    <n v="0"/>
    <n v="7"/>
    <n v="100"/>
    <n v="7"/>
  </r>
  <r>
    <s v="dalealplaymx"/>
    <s v="youtube"/>
    <s v="192, 192, 192"/>
    <n v="5"/>
    <m/>
    <n v="40"/>
    <m/>
    <m/>
    <m/>
    <m/>
    <s v="No"/>
    <n v="68"/>
    <m/>
    <m/>
    <s v="Mentions"/>
    <x v="35"/>
    <s v="#Migrantes #CaravanaMigrante #Noticias #Tamaulipas #Zacatecas #EstadosUnidos #Muro #Reynosa Migrantes haitianos desafían peligro y llegan a Tamaulipas https://t.co/yNcqvzU11K a través de @YouTube"/>
    <s v="https://www.youtube.com/watch?v=abKSyMU9OvY&amp;feature=youtu.be"/>
    <s v="youtube.com"/>
    <s v="migrantes caravanamigrante noticias tamaulipas zacatecas estadosunidos muro reynosa"/>
    <m/>
    <s v="https://pbs.twimg.com/profile_images/827173674352418816/dx9M0uxU_normal.jpg"/>
    <d v="2021-09-18T21:02:03.000"/>
    <d v="2021-09-18T00:00:00.000"/>
    <s v="21:02:03"/>
    <s v="https://twitter.com/dalealplaymx/status/1439333923004223491"/>
    <m/>
    <m/>
    <s v="1439333923004223491"/>
    <m/>
    <b v="0"/>
    <n v="0"/>
    <s v=""/>
    <b v="0"/>
    <s v="es"/>
    <m/>
    <s v=""/>
    <b v="0"/>
    <n v="0"/>
    <s v=""/>
    <s v="Twitter Web App"/>
    <b v="0"/>
    <s v="1439333923004223491"/>
    <s v="Tweet"/>
    <n v="0"/>
    <n v="0"/>
    <m/>
    <m/>
    <m/>
    <m/>
    <m/>
    <m/>
    <m/>
    <m/>
    <n v="1"/>
    <s v="24"/>
    <s v="24"/>
    <n v="0"/>
    <n v="0"/>
    <n v="0"/>
    <n v="0"/>
    <n v="0"/>
    <n v="0"/>
    <n v="20"/>
    <n v="100"/>
    <n v="20"/>
  </r>
  <r>
    <s v="foforo99"/>
    <s v="onu_derechos"/>
    <s v="Gray"/>
    <n v="10"/>
    <m/>
    <n v="20"/>
    <m/>
    <m/>
    <m/>
    <m/>
    <s v="No"/>
    <n v="69"/>
    <m/>
    <m/>
    <s v="Mentions"/>
    <x v="36"/>
    <s v="#Pregunta seria para @CNDH:_x000a__x000a_¿SERVIDORES PUBLICOS del @INAMI_mx tiene AUTORIZADO el uso de ARMAS (no letales como pistolas de descarga eléctrica) para el cumplimiento de sus funciones y obligaciones ❓🤔🙄_x000a__x000a_#CaravanaMigrante_x000a__x000a_cc. @ONUDHmexico @ONU_derechos_x000a_https://t.co/nHDqnz80Dg"/>
    <s v="https://quintanaroo.quadratin.com.mx/agentes-del-inm-disparan-pistola-electrica-contra-haitiano-en-veracruz/"/>
    <s v="com.mx"/>
    <s v="pregunta caravanamigrante"/>
    <m/>
    <s v="https://pbs.twimg.com/profile_images/825813643883401217/e4e_ZHoq_normal.jpg"/>
    <d v="2021-09-18T20:35:05.000"/>
    <d v="2021-09-18T00:00:00.000"/>
    <s v="20:35:05"/>
    <s v="https://twitter.com/foforo99/status/1439327136096169987"/>
    <m/>
    <m/>
    <s v="1439327136096169987"/>
    <m/>
    <b v="0"/>
    <n v="0"/>
    <s v=""/>
    <b v="0"/>
    <s v="es"/>
    <m/>
    <s v=""/>
    <b v="0"/>
    <n v="1"/>
    <s v=""/>
    <s v="Twitter for Android"/>
    <b v="0"/>
    <s v="1439327136096169987"/>
    <s v="Tweet"/>
    <n v="0"/>
    <n v="0"/>
    <m/>
    <m/>
    <m/>
    <m/>
    <m/>
    <m/>
    <m/>
    <m/>
    <n v="4"/>
    <s v="12"/>
    <s v="12"/>
    <m/>
    <m/>
    <m/>
    <m/>
    <m/>
    <m/>
    <m/>
    <m/>
    <m/>
  </r>
  <r>
    <s v="foforo99"/>
    <s v="onu_derechos"/>
    <s v="Gray"/>
    <n v="10"/>
    <m/>
    <n v="20"/>
    <m/>
    <m/>
    <m/>
    <m/>
    <s v="No"/>
    <n v="70"/>
    <m/>
    <m/>
    <s v="MentionsInRetweet"/>
    <x v="37"/>
    <s v="#Pregunta seria para @CNDH:_x000a__x000a_¿SERVIDORES PUBLICOS del @INAMI_mx tiene AUTORIZADO el uso de ARMAS (no letales como pistolas de descarga eléctrica) para el cumplimiento de sus funciones y obligaciones ❓🤔🙄_x000a__x000a_#CaravanaMigrante_x000a__x000a_cc. @ONUDHmexico @ONU_derechos_x000a_https://t.co/nHDqnz80Dg"/>
    <s v="https://quintanaroo.quadratin.com.mx/agentes-del-inm-disparan-pistola-electrica-contra-haitiano-en-veracruz/"/>
    <s v="com.mx"/>
    <s v="pregunta caravanamigrante"/>
    <m/>
    <s v="https://pbs.twimg.com/profile_images/825813643883401217/e4e_ZHoq_normal.jpg"/>
    <d v="2021-09-18T22:58:01.000"/>
    <d v="2021-09-18T00:00:00.000"/>
    <s v="22:58:01"/>
    <s v="https://twitter.com/foforo99/status/1439363109328769028"/>
    <m/>
    <m/>
    <s v="1439363109328769028"/>
    <m/>
    <b v="0"/>
    <n v="0"/>
    <s v=""/>
    <b v="0"/>
    <s v="es"/>
    <m/>
    <s v=""/>
    <b v="0"/>
    <n v="1"/>
    <s v="1439327136096169987"/>
    <s v="Twitter for Android"/>
    <b v="0"/>
    <s v="1439327136096169987"/>
    <s v="Tweet"/>
    <n v="0"/>
    <n v="0"/>
    <m/>
    <m/>
    <m/>
    <m/>
    <m/>
    <m/>
    <m/>
    <m/>
    <n v="4"/>
    <s v="12"/>
    <s v="12"/>
    <m/>
    <m/>
    <m/>
    <m/>
    <m/>
    <m/>
    <m/>
    <m/>
    <m/>
  </r>
  <r>
    <s v="palabritadepape"/>
    <s v="chrispeverieri"/>
    <s v="Gray"/>
    <n v="10"/>
    <m/>
    <n v="20"/>
    <m/>
    <m/>
    <m/>
    <m/>
    <s v="No"/>
    <n v="78"/>
    <m/>
    <m/>
    <s v="Retweet"/>
    <x v="38"/>
    <s v="#Messico | Ciò che sta succedendo nei pressi di Tapachula è inquietante: dopo aver dissolto con violenze e deportazioni le #caravanamigrante, GN e INM danno la caccia ai migranti, negli hotel, per strada, nei taxi. È una spietata caccia all’uomo!_x000a_https://t.co/wGSkrwiZXG"/>
    <s v="https://www.diariodelsur.com.mx/local/activa-guardia-nacional-busqueda-de-migrantes-en-taxis-7222717.html"/>
    <s v="com.mx"/>
    <s v="messico caravanamigrante"/>
    <m/>
    <s v="https://pbs.twimg.com/profile_images/3540584669/5476252f7dedd6043cf97669d8524be7_normal.jpeg"/>
    <d v="2021-09-17T12:52:15.000"/>
    <d v="2021-09-17T00:00:00.000"/>
    <s v="12:52:15"/>
    <s v="https://twitter.com/palabritadepape/status/1438848273142493192"/>
    <m/>
    <m/>
    <s v="1438848273142493192"/>
    <m/>
    <b v="0"/>
    <n v="0"/>
    <s v=""/>
    <b v="0"/>
    <s v="it"/>
    <m/>
    <s v=""/>
    <b v="0"/>
    <n v="4"/>
    <s v="1438842141804056579"/>
    <s v="Twitter for Android"/>
    <b v="0"/>
    <s v="1438842141804056579"/>
    <s v="Tweet"/>
    <n v="0"/>
    <n v="0"/>
    <m/>
    <m/>
    <m/>
    <m/>
    <m/>
    <m/>
    <m/>
    <m/>
    <n v="16"/>
    <s v="3"/>
    <s v="3"/>
    <n v="1"/>
    <n v="2.5"/>
    <n v="0"/>
    <n v="0"/>
    <n v="0"/>
    <n v="0"/>
    <n v="39"/>
    <n v="97.5"/>
    <n v="40"/>
  </r>
  <r>
    <s v="palabritadepape"/>
    <s v="chrispeverieri"/>
    <s v="Gray"/>
    <n v="10"/>
    <m/>
    <n v="20"/>
    <m/>
    <m/>
    <m/>
    <m/>
    <s v="No"/>
    <n v="79"/>
    <m/>
    <m/>
    <s v="Retweet"/>
    <x v="39"/>
    <s v="#FronteraSur | «Il flusso migratorio è straripato, cercano di evitare di cadere nelle mani delle autorità migratorie messicane che li obbligano a fermarsi a Tapachula, ribattezzata città-carcere»._x000a_#Messico #CaravanaMigrante _x000a_https://t.co/Mx5YCbGU2Z"/>
    <s v="https://movimientomigrantemesoamericano.org/2021/09/16/se-desborda-flujo-migratorio/"/>
    <s v="movimientomigrantemesoamericano.org"/>
    <s v="fronterasur messico caravanamigrante"/>
    <m/>
    <s v="https://pbs.twimg.com/profile_images/3540584669/5476252f7dedd6043cf97669d8524be7_normal.jpeg"/>
    <d v="2021-09-18T00:02:30.000"/>
    <d v="2021-09-18T00:00:00.000"/>
    <s v="00:02:30"/>
    <s v="https://twitter.com/palabritadepape/status/1439016947455307778"/>
    <m/>
    <m/>
    <s v="1439016947455307778"/>
    <m/>
    <b v="0"/>
    <n v="0"/>
    <s v=""/>
    <b v="0"/>
    <s v="it"/>
    <m/>
    <s v=""/>
    <b v="0"/>
    <n v="2"/>
    <s v="1438972013033529344"/>
    <s v="Twitter for Android"/>
    <b v="0"/>
    <s v="1438972013033529344"/>
    <s v="Tweet"/>
    <n v="0"/>
    <n v="0"/>
    <m/>
    <m/>
    <m/>
    <m/>
    <m/>
    <m/>
    <m/>
    <m/>
    <n v="16"/>
    <s v="3"/>
    <s v="3"/>
    <n v="0"/>
    <n v="0"/>
    <n v="0"/>
    <n v="0"/>
    <n v="0"/>
    <n v="0"/>
    <n v="29"/>
    <n v="100"/>
    <n v="29"/>
  </r>
  <r>
    <s v="palabritadepape"/>
    <s v="meltingpoteu"/>
    <s v="Gray"/>
    <n v="10"/>
    <m/>
    <n v="20"/>
    <m/>
    <m/>
    <m/>
    <m/>
    <s v="No"/>
    <n v="80"/>
    <m/>
    <m/>
    <s v="MentionsInRetweet"/>
    <x v="40"/>
    <s v="#FronteraSur | Migliaia di migranti e richiedenti asilo intrappolati dal fallimento del sistema di asilo._x000a__x000a_Qui la mia intervista per @MeltingPotEU a Nimsi Arroyo, albergue Hospitalidad y Solidaridad di #Tapachula_x000a_#Mexico #CaravanaMigrante_x000a__x000a_https://t.co/TaTf4yw6VC"/>
    <s v="https://www.meltingpot.org/Tapachula-frontiera-sud-del-Messico-migliaia-di-persone.html"/>
    <s v="meltingpot.org"/>
    <s v="fronterasur tapachula mexico caravanamigrante"/>
    <m/>
    <s v="https://pbs.twimg.com/profile_images/3540584669/5476252f7dedd6043cf97669d8524be7_normal.jpeg"/>
    <d v="2021-09-18T00:02:41.000"/>
    <d v="2021-09-18T00:00:00.000"/>
    <s v="00:02:41"/>
    <s v="https://twitter.com/palabritadepape/status/1439016992732860421"/>
    <m/>
    <m/>
    <s v="1439016992732860421"/>
    <m/>
    <b v="0"/>
    <n v="0"/>
    <s v=""/>
    <b v="0"/>
    <s v="it"/>
    <m/>
    <s v=""/>
    <b v="0"/>
    <n v="3"/>
    <s v="1438973080861356033"/>
    <s v="Twitter for Android"/>
    <b v="0"/>
    <s v="1438973080861356033"/>
    <s v="Tweet"/>
    <n v="0"/>
    <n v="0"/>
    <m/>
    <m/>
    <m/>
    <m/>
    <m/>
    <m/>
    <m/>
    <m/>
    <n v="4"/>
    <s v="3"/>
    <s v="3"/>
    <m/>
    <m/>
    <m/>
    <m/>
    <m/>
    <m/>
    <m/>
    <m/>
    <m/>
  </r>
  <r>
    <s v="palabritadepape"/>
    <s v="meltingpoteu"/>
    <s v="Gray"/>
    <n v="10"/>
    <m/>
    <n v="20"/>
    <m/>
    <m/>
    <m/>
    <m/>
    <s v="No"/>
    <n v="82"/>
    <m/>
    <m/>
    <s v="MentionsInRetweet"/>
    <x v="41"/>
    <s v="#FronteraSur | Migliaia di migranti e richiedenti asilo intrappolati dal fallimento del sistema di asilo._x000a__x000a_Qui la mia intervista per @MeltingPotEU a Nimsi Arroyo, albergue Hospitalidad y Solidaridad di #Tapachula_x000a_#Mexico #CaravanaMigrante _x000a_https://t.co/in5nQy2nk6"/>
    <s v="https://www.meltingpot.org/Tapachula-frontiera-sud-del-Messico-migliaia-di-persone.html"/>
    <s v="meltingpot.org"/>
    <s v="fronterasur tapachula mexico caravanamigrante"/>
    <m/>
    <s v="https://pbs.twimg.com/profile_images/3540584669/5476252f7dedd6043cf97669d8524be7_normal.jpeg"/>
    <d v="2021-09-19T09:19:50.000"/>
    <d v="2021-09-19T00:00:00.000"/>
    <s v="09:19:50"/>
    <s v="https://twitter.com/palabritadepape/status/1439519591949025281"/>
    <m/>
    <m/>
    <s v="1439519591949025281"/>
    <m/>
    <b v="0"/>
    <n v="0"/>
    <s v=""/>
    <b v="0"/>
    <s v="it"/>
    <m/>
    <s v=""/>
    <b v="0"/>
    <n v="3"/>
    <s v="1439501459356360704"/>
    <s v="Twitter for Android"/>
    <b v="0"/>
    <s v="1439501459356360704"/>
    <s v="Tweet"/>
    <n v="0"/>
    <n v="0"/>
    <m/>
    <m/>
    <m/>
    <m/>
    <m/>
    <m/>
    <m/>
    <m/>
    <n v="4"/>
    <s v="3"/>
    <s v="3"/>
    <m/>
    <m/>
    <m/>
    <m/>
    <m/>
    <m/>
    <m/>
    <m/>
    <m/>
  </r>
  <r>
    <s v="cheguevararoma"/>
    <s v="meltingpoteu"/>
    <s v="192, 192, 192"/>
    <n v="5"/>
    <m/>
    <n v="40"/>
    <m/>
    <m/>
    <m/>
    <m/>
    <s v="No"/>
    <n v="84"/>
    <m/>
    <m/>
    <s v="MentionsInRetweet"/>
    <x v="42"/>
    <s v="#FronteraSur | Migliaia di migranti e richiedenti asilo intrappolati dal fallimento del sistema di asilo._x000a__x000a_Qui la mia intervista per @MeltingPotEU a Nimsi Arroyo, albergue Hospitalidad y Solidaridad di #Tapachula_x000a_#Mexico #CaravanaMigrante _x000a_https://t.co/in5nQy2nk6"/>
    <s v="https://www.meltingpot.org/Tapachula-frontiera-sud-del-Messico-migliaia-di-persone.html"/>
    <s v="meltingpot.org"/>
    <s v="fronterasur tapachula mexico caravanamigrante"/>
    <m/>
    <s v="https://pbs.twimg.com/profile_images/1283387370910474242/Fiq0SJMk_normal.jpg"/>
    <d v="2021-09-19T09:43:46.000"/>
    <d v="2021-09-19T00:00:00.000"/>
    <s v="09:43:46"/>
    <s v="https://twitter.com/cheguevararoma/status/1439525614130802689"/>
    <m/>
    <m/>
    <s v="1439525614130802689"/>
    <m/>
    <b v="0"/>
    <n v="0"/>
    <s v=""/>
    <b v="0"/>
    <s v="it"/>
    <m/>
    <s v=""/>
    <b v="0"/>
    <n v="3"/>
    <s v="1439501459356360704"/>
    <s v="Twitter for Android"/>
    <b v="0"/>
    <s v="1439501459356360704"/>
    <s v="Tweet"/>
    <n v="0"/>
    <n v="0"/>
    <m/>
    <m/>
    <m/>
    <m/>
    <m/>
    <m/>
    <m/>
    <m/>
    <n v="1"/>
    <s v="3"/>
    <s v="3"/>
    <m/>
    <m/>
    <m/>
    <m/>
    <m/>
    <m/>
    <m/>
    <m/>
    <m/>
  </r>
  <r>
    <s v="fraespoesposito"/>
    <s v="meltingpoteu"/>
    <s v="192, 192, 192"/>
    <n v="5"/>
    <m/>
    <n v="40"/>
    <m/>
    <m/>
    <m/>
    <m/>
    <s v="No"/>
    <n v="86"/>
    <m/>
    <m/>
    <s v="MentionsInRetweet"/>
    <x v="43"/>
    <s v="#FronteraSur | Migliaia di migranti e richiedenti asilo intrappolati dal fallimento del sistema di asilo._x000a__x000a_Qui la mia intervista per @MeltingPotEU a Nimsi Arroyo, albergue Hospitalidad y Solidaridad di #Tapachula_x000a_#Mexico #CaravanaMigrante _x000a_https://t.co/in5nQy2nk6"/>
    <s v="https://www.meltingpot.org/Tapachula-frontiera-sud-del-Messico-migliaia-di-persone.html"/>
    <s v="meltingpot.org"/>
    <s v="fronterasur tapachula mexico caravanamigrante"/>
    <m/>
    <s v="https://pbs.twimg.com/profile_images/601332363382157312/1G7_6JwW_normal.jpg"/>
    <d v="2021-09-19T12:34:51.000"/>
    <d v="2021-09-19T00:00:00.000"/>
    <s v="12:34:51"/>
    <s v="https://twitter.com/fraespoesposito/status/1439568671635017730"/>
    <m/>
    <m/>
    <s v="1439568671635017730"/>
    <m/>
    <b v="0"/>
    <n v="0"/>
    <s v=""/>
    <b v="0"/>
    <s v="it"/>
    <m/>
    <s v=""/>
    <b v="0"/>
    <n v="3"/>
    <s v="1439501459356360704"/>
    <s v="Twitter for Android"/>
    <b v="0"/>
    <s v="1439501459356360704"/>
    <s v="Tweet"/>
    <n v="0"/>
    <n v="0"/>
    <m/>
    <m/>
    <m/>
    <m/>
    <m/>
    <m/>
    <m/>
    <m/>
    <n v="1"/>
    <s v="3"/>
    <s v="3"/>
    <m/>
    <m/>
    <m/>
    <m/>
    <m/>
    <m/>
    <m/>
    <m/>
    <m/>
  </r>
  <r>
    <s v="pmcdonnelllat"/>
    <s v="pmcdonnelllat"/>
    <s v="192, 192, 192"/>
    <n v="5"/>
    <m/>
    <n v="40"/>
    <m/>
    <m/>
    <m/>
    <m/>
    <s v="No"/>
    <n v="88"/>
    <m/>
    <m/>
    <s v="Tweet"/>
    <x v="44"/>
    <s v="#CaravanaMigrante Buses of migrants arrive wait to get into shelter in #Tijuana. Video: Liliana Nieto Del Río. https://t.co/pAgdEui47u"/>
    <m/>
    <m/>
    <s v="caravanamigrante tijuana"/>
    <s v="https://pbs.twimg.com/ext_tw_video_thumb/1063266920055488512/pu/img/ojq0cfhTX2yLgGGr.jpg"/>
    <s v="https://pbs.twimg.com/ext_tw_video_thumb/1063266920055488512/pu/img/ojq0cfhTX2yLgGGr.jpg"/>
    <d v="2018-11-16T03:07:09.000"/>
    <d v="2018-11-16T00:00:00.000"/>
    <s v="03:07:09"/>
    <s v="https://twitter.com/pmcdonnelllat/status/1063267200788848641"/>
    <m/>
    <m/>
    <s v="1063267200788848641"/>
    <s v="1063266912354873344"/>
    <b v="0"/>
    <n v="12"/>
    <s v="797932608"/>
    <b v="0"/>
    <s v="en"/>
    <m/>
    <s v=""/>
    <b v="0"/>
    <n v="15"/>
    <s v=""/>
    <s v="Twitter for iPhone"/>
    <b v="0"/>
    <s v="1063266912354873344"/>
    <s v="Retweet"/>
    <n v="0"/>
    <n v="0"/>
    <m/>
    <m/>
    <m/>
    <m/>
    <m/>
    <m/>
    <m/>
    <m/>
    <n v="1"/>
    <s v="23"/>
    <s v="23"/>
    <n v="0"/>
    <n v="0"/>
    <n v="0"/>
    <n v="0"/>
    <n v="0"/>
    <n v="0"/>
    <n v="17"/>
    <n v="100"/>
    <n v="17"/>
  </r>
  <r>
    <s v="gopnik_slavic"/>
    <s v="pmcdonnelllat"/>
    <s v="192, 192, 192"/>
    <n v="5"/>
    <m/>
    <n v="40"/>
    <m/>
    <m/>
    <m/>
    <m/>
    <s v="No"/>
    <n v="89"/>
    <m/>
    <m/>
    <s v="Retweet"/>
    <x v="45"/>
    <s v="#CaravanaMigrante Buses of migrants arrive wait to get into shelter in #Tijuana. Video: Liliana Nieto Del Río. https://t.co/pAgdEui47u"/>
    <m/>
    <m/>
    <s v="caravanamigrante tijuana"/>
    <s v="https://pbs.twimg.com/ext_tw_video_thumb/1063266920055488512/pu/img/ojq0cfhTX2yLgGGr.jpg"/>
    <s v="https://pbs.twimg.com/ext_tw_video_thumb/1063266920055488512/pu/img/ojq0cfhTX2yLgGGr.jpg"/>
    <d v="2021-09-19T14:15:48.000"/>
    <d v="2021-09-19T00:00:00.000"/>
    <s v="14:15:48"/>
    <s v="https://twitter.com/gopnik_slavic/status/1439594075917783045"/>
    <m/>
    <m/>
    <s v="1439594075917783045"/>
    <m/>
    <b v="0"/>
    <n v="0"/>
    <s v=""/>
    <b v="0"/>
    <s v="en"/>
    <m/>
    <s v=""/>
    <b v="0"/>
    <n v="15"/>
    <s v="1063267200788848641"/>
    <s v="Twitter for iPhone"/>
    <b v="0"/>
    <s v="1063267200788848641"/>
    <s v="Tweet"/>
    <n v="0"/>
    <n v="0"/>
    <m/>
    <m/>
    <m/>
    <m/>
    <m/>
    <m/>
    <m/>
    <m/>
    <n v="1"/>
    <s v="23"/>
    <s v="23"/>
    <n v="0"/>
    <n v="0"/>
    <n v="0"/>
    <n v="0"/>
    <n v="0"/>
    <n v="0"/>
    <n v="17"/>
    <n v="100"/>
    <n v="17"/>
  </r>
  <r>
    <s v="mexnewz"/>
    <s v="mexnewz"/>
    <s v="Gray"/>
    <n v="10"/>
    <m/>
    <n v="20"/>
    <m/>
    <m/>
    <m/>
    <m/>
    <s v="No"/>
    <n v="90"/>
    <m/>
    <m/>
    <s v="Tweet"/>
    <x v="46"/>
    <s v="Detectan #COVID en 20% de pruebas realizadas a #Migrantes | #Estados #Nacional #México #COVID19 #CaravanaMigrante #COVIDMigrantes https://t.co/Bhc5A2NVuW https://t.co/oqEag6OZtv"/>
    <s v="https://www.mexnewz.mx/detectan-covid-en-20-de-pruebas-realizadas-a-migrantes/"/>
    <s v="mexnewz.mx"/>
    <s v="covid migrantes estados nacional méxico covid19 caravanamigrante covidmigrantes"/>
    <s v="https://pbs.twimg.com/media/E_fumieXsAIlIMT.jpg"/>
    <s v="https://pbs.twimg.com/media/E_fumieXsAIlIMT.jpg"/>
    <d v="2021-09-17T15:02:06.000"/>
    <d v="2021-09-17T00:00:00.000"/>
    <s v="15:02:06"/>
    <s v="https://twitter.com/mexnewz/status/1438880952873361413"/>
    <m/>
    <m/>
    <s v="1438880952873361413"/>
    <m/>
    <b v="0"/>
    <n v="0"/>
    <s v=""/>
    <b v="0"/>
    <s v="es"/>
    <m/>
    <s v=""/>
    <b v="0"/>
    <n v="1"/>
    <s v=""/>
    <s v="Hootsuite Inc."/>
    <b v="0"/>
    <s v="1438880952873361413"/>
    <s v="Tweet"/>
    <n v="0"/>
    <n v="0"/>
    <m/>
    <m/>
    <m/>
    <m/>
    <m/>
    <m/>
    <m/>
    <m/>
    <n v="4"/>
    <s v="26"/>
    <s v="26"/>
    <n v="0"/>
    <n v="0"/>
    <n v="0"/>
    <n v="0"/>
    <n v="0"/>
    <n v="0"/>
    <n v="15"/>
    <n v="100"/>
    <n v="15"/>
  </r>
  <r>
    <s v="mexnewz"/>
    <s v="mexnewz"/>
    <s v="Gray"/>
    <n v="10"/>
    <m/>
    <n v="20"/>
    <m/>
    <m/>
    <m/>
    <m/>
    <s v="No"/>
    <n v="91"/>
    <m/>
    <m/>
    <s v="Tweet"/>
    <x v="47"/>
    <s v="#México y #Haití establecen mesa de #Diálogo por #Migrantes | #Nacional #Internacional #Migración #CaravanaMigrante https://t.co/28EUVZ14sU https://t.co/9XeI1lYcts"/>
    <s v="https://www.mexnewz.mx/mexico-y-haiti-establecen-mesa-de-dialogo-por-migrantes/"/>
    <s v="mexnewz.mx"/>
    <s v="méxico haití diálogo migrantes nacional internacional migración caravanamigrante"/>
    <s v="https://pbs.twimg.com/media/E_qINigWEAkTKE1.jpg"/>
    <s v="https://pbs.twimg.com/media/E_qINigWEAkTKE1.jpg"/>
    <d v="2021-09-19T15:30:12.000"/>
    <d v="2021-09-19T00:00:00.000"/>
    <s v="15:30:12"/>
    <s v="https://twitter.com/mexnewz/status/1439612798552657920"/>
    <m/>
    <m/>
    <s v="1439612798552657920"/>
    <m/>
    <b v="0"/>
    <n v="1"/>
    <s v=""/>
    <b v="0"/>
    <s v="es"/>
    <m/>
    <s v=""/>
    <b v="0"/>
    <n v="0"/>
    <s v=""/>
    <s v="Hootsuite Inc."/>
    <b v="0"/>
    <s v="1439612798552657920"/>
    <s v="Tweet"/>
    <n v="0"/>
    <n v="0"/>
    <m/>
    <m/>
    <m/>
    <m/>
    <m/>
    <m/>
    <m/>
    <m/>
    <n v="4"/>
    <s v="26"/>
    <s v="26"/>
    <n v="0"/>
    <n v="0"/>
    <n v="0"/>
    <n v="0"/>
    <n v="0"/>
    <n v="0"/>
    <n v="13"/>
    <n v="100"/>
    <n v="13"/>
  </r>
  <r>
    <s v="anaschwarz"/>
    <s v="gabinetemex"/>
    <s v="192, 192, 192"/>
    <n v="5"/>
    <m/>
    <n v="40"/>
    <m/>
    <m/>
    <m/>
    <m/>
    <s v="No"/>
    <n v="92"/>
    <m/>
    <m/>
    <s v="Retweet"/>
    <x v="48"/>
    <s v="36% tiene una buena opinión de los migrantes centroamericanos; 39.9% tiene una mala opinión. https://t.co/jmErc3Ilec _x000a__x000a_#CaravanaMigrante https://t.co/PEiPTn8LRO"/>
    <s v="http://gabinete.mx/index.php/es/component/k2/item/658-amlo-seguimiento-septiembre-2021"/>
    <s v="gabinete.mx"/>
    <m/>
    <s v="https://pbs.twimg.com/media/E_qdJWxVcAAhOWx.jpg"/>
    <s v="https://pbs.twimg.com/media/E_qdJWxVcAAhOWx.jpg"/>
    <d v="2021-09-19T17:04:20.000"/>
    <d v="2021-09-19T00:00:00.000"/>
    <s v="17:04:20"/>
    <s v="https://twitter.com/anaschwarz/status/1439636489340473346"/>
    <m/>
    <m/>
    <s v="1439636489340473346"/>
    <m/>
    <b v="0"/>
    <n v="0"/>
    <s v=""/>
    <b v="0"/>
    <s v="es"/>
    <m/>
    <s v=""/>
    <b v="0"/>
    <n v="3"/>
    <s v="1439635821565341698"/>
    <s v="Twitter for iPhone"/>
    <b v="0"/>
    <s v="1439635821565341698"/>
    <s v="Tweet"/>
    <n v="0"/>
    <n v="0"/>
    <m/>
    <m/>
    <m/>
    <m/>
    <m/>
    <m/>
    <m/>
    <m/>
    <n v="1"/>
    <s v="11"/>
    <s v="11"/>
    <n v="0"/>
    <n v="0"/>
    <n v="0"/>
    <n v="0"/>
    <n v="0"/>
    <n v="0"/>
    <n v="16"/>
    <n v="100"/>
    <n v="16"/>
  </r>
  <r>
    <s v="dianadi58"/>
    <s v="gabinetemex"/>
    <s v="Gray"/>
    <n v="10"/>
    <m/>
    <n v="20"/>
    <m/>
    <m/>
    <m/>
    <m/>
    <s v="No"/>
    <n v="93"/>
    <m/>
    <m/>
    <s v="Retweet"/>
    <x v="49"/>
    <s v="36% tiene una buena opinión de los migrantes centroamericanos; 39.9% tiene una mala opinión. https://t.co/jmErc3Ilec _x000a__x000a_#CaravanaMigrante https://t.co/PEiPTn8LRO"/>
    <s v="http://gabinete.mx/index.php/es/component/k2/item/658-amlo-seguimiento-septiembre-2021"/>
    <s v="gabinete.mx"/>
    <m/>
    <s v="https://pbs.twimg.com/media/E_qdJWxVcAAhOWx.jpg"/>
    <s v="https://pbs.twimg.com/media/E_qdJWxVcAAhOWx.jpg"/>
    <d v="2021-09-19T17:07:04.000"/>
    <d v="2021-09-19T00:00:00.000"/>
    <s v="17:07:04"/>
    <s v="https://twitter.com/dianadi58/status/1439637173905600512"/>
    <m/>
    <m/>
    <s v="1439637173905600512"/>
    <m/>
    <b v="0"/>
    <n v="0"/>
    <s v=""/>
    <b v="0"/>
    <s v="es"/>
    <m/>
    <s v=""/>
    <b v="0"/>
    <n v="3"/>
    <s v="1439635821565341698"/>
    <s v="Twitter for iPhone"/>
    <b v="0"/>
    <s v="1439635821565341698"/>
    <s v="Tweet"/>
    <n v="0"/>
    <n v="0"/>
    <m/>
    <m/>
    <m/>
    <m/>
    <m/>
    <m/>
    <m/>
    <m/>
    <n v="4"/>
    <s v="11"/>
    <s v="11"/>
    <n v="0"/>
    <n v="0"/>
    <n v="0"/>
    <n v="0"/>
    <n v="0"/>
    <n v="0"/>
    <n v="16"/>
    <n v="100"/>
    <n v="16"/>
  </r>
  <r>
    <s v="dianadi58"/>
    <s v="gabinetemex"/>
    <s v="Gray"/>
    <n v="10"/>
    <m/>
    <n v="20"/>
    <m/>
    <m/>
    <m/>
    <m/>
    <s v="No"/>
    <n v="94"/>
    <m/>
    <m/>
    <s v="Retweet"/>
    <x v="50"/>
    <s v="56.1% está de acuerdo en que se les impida el paso a los migrantes centroamericanos que encabezan la #CaravanaMigrante; 36.5% en desacuerdo. https://t.co/jmErc3Ilec https://t.co/xMyUw1UFXd"/>
    <s v="http://gabinete.mx/index.php/es/component/k2/item/658-amlo-seguimiento-septiembre-2021"/>
    <s v="gabinete.mx"/>
    <s v="caravanamigrante"/>
    <s v="https://pbs.twimg.com/media/E_rGE_jUUAEj4VP.jpg"/>
    <s v="https://pbs.twimg.com/media/E_rGE_jUUAEj4VP.jpg"/>
    <d v="2021-09-19T20:14:49.000"/>
    <d v="2021-09-19T00:00:00.000"/>
    <s v="20:14:49"/>
    <s v="https://twitter.com/dianadi58/status/1439684423197380615"/>
    <m/>
    <m/>
    <s v="1439684423197380615"/>
    <m/>
    <b v="0"/>
    <n v="0"/>
    <s v=""/>
    <b v="0"/>
    <s v="es"/>
    <m/>
    <s v=""/>
    <b v="0"/>
    <n v="3"/>
    <s v="1439680825524580354"/>
    <s v="Twitter for iPhone"/>
    <b v="0"/>
    <s v="1439680825524580354"/>
    <s v="Tweet"/>
    <n v="0"/>
    <n v="0"/>
    <m/>
    <m/>
    <m/>
    <m/>
    <m/>
    <m/>
    <m/>
    <m/>
    <n v="4"/>
    <s v="11"/>
    <s v="11"/>
    <n v="0"/>
    <n v="0"/>
    <n v="0"/>
    <n v="0"/>
    <n v="0"/>
    <n v="0"/>
    <n v="24"/>
    <n v="100"/>
    <n v="24"/>
  </r>
  <r>
    <s v="gabinetemex"/>
    <s v="gabinetemex"/>
    <s v="Gray"/>
    <n v="10"/>
    <m/>
    <n v="20"/>
    <m/>
    <m/>
    <m/>
    <m/>
    <s v="No"/>
    <n v="95"/>
    <m/>
    <m/>
    <s v="Tweet"/>
    <x v="51"/>
    <s v="78% tiene conocimiento sobre la #CaravanaMigrante en la frontera sur de México; 21.7% desconoce el tema. https://t.co/jmErc3Ilec https://t.co/HirOuWIwKK"/>
    <s v="http://gabinete.mx/index.php/es/component/k2/item/658-amlo-seguimiento-septiembre-2021"/>
    <s v="gabinete.mx"/>
    <s v="caravanamigrante"/>
    <s v="https://pbs.twimg.com/media/E_qBceAVQAAGXdI.jpg"/>
    <s v="https://pbs.twimg.com/media/E_qBceAVQAAGXdI.jpg"/>
    <d v="2021-09-19T15:00:39.000"/>
    <d v="2021-09-19T00:00:00.000"/>
    <s v="15:00:39"/>
    <s v="https://twitter.com/gabinetemex/status/1439605362630422534"/>
    <m/>
    <m/>
    <s v="1439605362630422534"/>
    <m/>
    <b v="0"/>
    <n v="1"/>
    <s v=""/>
    <b v="0"/>
    <s v="es"/>
    <m/>
    <s v=""/>
    <b v="0"/>
    <n v="2"/>
    <s v=""/>
    <s v="Emplifi"/>
    <b v="0"/>
    <s v="1439605362630422534"/>
    <s v="Tweet"/>
    <n v="0"/>
    <n v="0"/>
    <m/>
    <m/>
    <m/>
    <m/>
    <m/>
    <m/>
    <m/>
    <m/>
    <n v="16"/>
    <s v="11"/>
    <s v="11"/>
    <n v="0"/>
    <n v="0"/>
    <n v="0"/>
    <n v="0"/>
    <n v="0"/>
    <n v="0"/>
    <n v="17"/>
    <n v="100"/>
    <n v="17"/>
  </r>
  <r>
    <s v="gabinetemex"/>
    <s v="gabinetemex"/>
    <s v="Gray"/>
    <n v="10"/>
    <m/>
    <n v="20"/>
    <m/>
    <m/>
    <m/>
    <m/>
    <s v="No"/>
    <n v="96"/>
    <m/>
    <m/>
    <s v="Tweet"/>
    <x v="52"/>
    <s v="36% tiene una buena opinión de los migrantes centroamericanos; 39.9% tiene una mala opinión. https://t.co/jmErc3Ilec _x000a__x000a_#CaravanaMigrante https://t.co/PEiPTn8LRO"/>
    <s v="http://gabinete.mx/index.php/es/component/k2/item/658-amlo-seguimiento-septiembre-2021"/>
    <s v="gabinete.mx"/>
    <s v="caravanamigrante"/>
    <s v="https://pbs.twimg.com/media/E_qdJWxVcAAhOWx.jpg"/>
    <s v="https://pbs.twimg.com/media/E_qdJWxVcAAhOWx.jpg"/>
    <d v="2021-09-19T17:01:41.000"/>
    <d v="2021-09-19T00:00:00.000"/>
    <s v="17:01:41"/>
    <s v="https://twitter.com/gabinetemex/status/1439635821565341698"/>
    <m/>
    <m/>
    <s v="1439635821565341698"/>
    <m/>
    <b v="0"/>
    <n v="1"/>
    <s v=""/>
    <b v="0"/>
    <s v="es"/>
    <m/>
    <s v=""/>
    <b v="0"/>
    <n v="3"/>
    <s v=""/>
    <s v="Emplifi"/>
    <b v="0"/>
    <s v="1439635821565341698"/>
    <s v="Tweet"/>
    <n v="0"/>
    <n v="0"/>
    <m/>
    <m/>
    <m/>
    <m/>
    <m/>
    <m/>
    <m/>
    <m/>
    <n v="16"/>
    <s v="11"/>
    <s v="11"/>
    <n v="0"/>
    <n v="0"/>
    <n v="0"/>
    <n v="0"/>
    <n v="0"/>
    <n v="0"/>
    <n v="16"/>
    <n v="100"/>
    <n v="16"/>
  </r>
  <r>
    <s v="gabinetemex"/>
    <s v="gabinetemex"/>
    <s v="Gray"/>
    <n v="10"/>
    <m/>
    <n v="20"/>
    <m/>
    <m/>
    <m/>
    <m/>
    <s v="No"/>
    <n v="97"/>
    <m/>
    <m/>
    <s v="Tweet"/>
    <x v="53"/>
    <s v="56.1% está de acuerdo en que se les impida el paso a los migrantes centroamericanos que encabezan la #CaravanaMigrante; 36.5% en desacuerdo. https://t.co/jmErc3Ilec https://t.co/xMyUw1UFXd"/>
    <s v="http://gabinete.mx/index.php/es/component/k2/item/658-amlo-seguimiento-septiembre-2021"/>
    <s v="gabinete.mx"/>
    <s v="caravanamigrante"/>
    <s v="https://pbs.twimg.com/media/E_rGE_jUUAEj4VP.jpg"/>
    <s v="https://pbs.twimg.com/media/E_rGE_jUUAEj4VP.jpg"/>
    <d v="2021-09-19T20:00:31.000"/>
    <d v="2021-09-19T00:00:00.000"/>
    <s v="20:00:31"/>
    <s v="https://twitter.com/gabinetemex/status/1439680825524580354"/>
    <m/>
    <m/>
    <s v="1439680825524580354"/>
    <m/>
    <b v="0"/>
    <n v="1"/>
    <s v=""/>
    <b v="0"/>
    <s v="es"/>
    <m/>
    <s v=""/>
    <b v="0"/>
    <n v="3"/>
    <s v=""/>
    <s v="Emplifi"/>
    <b v="0"/>
    <s v="1439680825524580354"/>
    <s v="Tweet"/>
    <n v="0"/>
    <n v="0"/>
    <m/>
    <m/>
    <m/>
    <m/>
    <m/>
    <m/>
    <m/>
    <m/>
    <n v="16"/>
    <s v="11"/>
    <s v="11"/>
    <n v="0"/>
    <n v="0"/>
    <n v="0"/>
    <n v="0"/>
    <n v="0"/>
    <n v="0"/>
    <n v="24"/>
    <n v="100"/>
    <n v="24"/>
  </r>
  <r>
    <s v="gabinetemex"/>
    <s v="gabinetemex"/>
    <s v="Gray"/>
    <n v="10"/>
    <m/>
    <n v="20"/>
    <m/>
    <m/>
    <m/>
    <m/>
    <s v="No"/>
    <n v="98"/>
    <m/>
    <m/>
    <s v="Tweet"/>
    <x v="54"/>
    <s v="31.5% opina que las autoridades mexicanas actúan con exceso de violencia ante la #CaravanaMigrante y los migrantes centroamericanos. https://t.co/jmErc3Ilec https://t.co/W1pPD23d00"/>
    <s v="http://gabinete.mx/index.php/es/component/k2/item/658-amlo-seguimiento-septiembre-2021"/>
    <s v="gabinete.mx"/>
    <s v="caravanamigrante"/>
    <s v="https://pbs.twimg.com/media/E_rvU4tVIAMWBpk.jpg"/>
    <s v="https://pbs.twimg.com/media/E_rvU4tVIAMWBpk.jpg"/>
    <d v="2021-09-19T23:00:44.000"/>
    <d v="2021-09-19T00:00:00.000"/>
    <s v="23:00:44"/>
    <s v="https://twitter.com/gabinetemex/status/1439726178273677315"/>
    <m/>
    <m/>
    <s v="1439726178273677315"/>
    <m/>
    <b v="0"/>
    <n v="1"/>
    <s v=""/>
    <b v="0"/>
    <s v="es"/>
    <m/>
    <s v=""/>
    <b v="0"/>
    <n v="2"/>
    <s v=""/>
    <s v="Emplifi"/>
    <b v="0"/>
    <s v="1439726178273677315"/>
    <s v="Tweet"/>
    <n v="0"/>
    <n v="0"/>
    <m/>
    <m/>
    <m/>
    <m/>
    <m/>
    <m/>
    <m/>
    <m/>
    <n v="16"/>
    <s v="11"/>
    <s v="11"/>
    <n v="0"/>
    <n v="0"/>
    <n v="0"/>
    <n v="0"/>
    <n v="0"/>
    <n v="0"/>
    <n v="19"/>
    <n v="100"/>
    <n v="19"/>
  </r>
  <r>
    <s v="kaleydoscopio1"/>
    <s v="gabinetemex"/>
    <s v="Gray"/>
    <n v="10"/>
    <m/>
    <n v="20"/>
    <m/>
    <m/>
    <m/>
    <m/>
    <s v="No"/>
    <n v="99"/>
    <m/>
    <m/>
    <s v="Retweet"/>
    <x v="55"/>
    <s v="31.5% opina que las autoridades mexicanas actúan con exceso de violencia ante la #CaravanaMigrante y los migrantes centroamericanos. https://t.co/jmErc3Ilec https://t.co/W1pPD23d00"/>
    <s v="http://gabinete.mx/index.php/es/component/k2/item/658-amlo-seguimiento-septiembre-2021"/>
    <s v="gabinete.mx"/>
    <s v="caravanamigrante"/>
    <s v="https://pbs.twimg.com/media/E_rvU4tVIAMWBpk.jpg"/>
    <s v="https://pbs.twimg.com/media/E_rvU4tVIAMWBpk.jpg"/>
    <d v="2021-09-20T14:01:12.000"/>
    <d v="2021-09-20T00:00:00.000"/>
    <s v="14:01:12"/>
    <s v="https://twitter.com/kaleydoscopio1/status/1439952787828207619"/>
    <m/>
    <m/>
    <s v="1439952787828207619"/>
    <m/>
    <b v="0"/>
    <n v="0"/>
    <s v=""/>
    <b v="0"/>
    <s v="es"/>
    <m/>
    <s v=""/>
    <b v="0"/>
    <n v="2"/>
    <s v="1439726178273677315"/>
    <s v="TweetDeck"/>
    <b v="0"/>
    <s v="1439726178273677315"/>
    <s v="Tweet"/>
    <n v="0"/>
    <n v="0"/>
    <m/>
    <m/>
    <m/>
    <m/>
    <m/>
    <m/>
    <m/>
    <m/>
    <n v="16"/>
    <s v="11"/>
    <s v="11"/>
    <n v="0"/>
    <n v="0"/>
    <n v="0"/>
    <n v="0"/>
    <n v="0"/>
    <n v="0"/>
    <n v="19"/>
    <n v="100"/>
    <n v="19"/>
  </r>
  <r>
    <s v="kaleydoscopio1"/>
    <s v="gabinetemex"/>
    <s v="Gray"/>
    <n v="10"/>
    <m/>
    <n v="20"/>
    <m/>
    <m/>
    <m/>
    <m/>
    <s v="No"/>
    <n v="100"/>
    <m/>
    <m/>
    <s v="Retweet"/>
    <x v="56"/>
    <s v="56.1% está de acuerdo en que se les impida el paso a los migrantes centroamericanos que encabezan la #CaravanaMigrante; 36.5% en desacuerdo. https://t.co/jmErc3Ilec https://t.co/xMyUw1UFXd"/>
    <s v="http://gabinete.mx/index.php/es/component/k2/item/658-amlo-seguimiento-septiembre-2021"/>
    <s v="gabinete.mx"/>
    <s v="caravanamigrante"/>
    <s v="https://pbs.twimg.com/media/E_rGE_jUUAEj4VP.jpg"/>
    <s v="https://pbs.twimg.com/media/E_rGE_jUUAEj4VP.jpg"/>
    <d v="2021-09-20T14:01:20.000"/>
    <d v="2021-09-20T00:00:00.000"/>
    <s v="14:01:20"/>
    <s v="https://twitter.com/kaleydoscopio1/status/1439952820573065217"/>
    <m/>
    <m/>
    <s v="1439952820573065217"/>
    <m/>
    <b v="0"/>
    <n v="0"/>
    <s v=""/>
    <b v="0"/>
    <s v="es"/>
    <m/>
    <s v=""/>
    <b v="0"/>
    <n v="3"/>
    <s v="1439680825524580354"/>
    <s v="TweetDeck"/>
    <b v="0"/>
    <s v="1439680825524580354"/>
    <s v="Tweet"/>
    <n v="0"/>
    <n v="0"/>
    <m/>
    <m/>
    <m/>
    <m/>
    <m/>
    <m/>
    <m/>
    <m/>
    <n v="16"/>
    <s v="11"/>
    <s v="11"/>
    <n v="0"/>
    <n v="0"/>
    <n v="0"/>
    <n v="0"/>
    <n v="0"/>
    <n v="0"/>
    <n v="24"/>
    <n v="100"/>
    <n v="24"/>
  </r>
  <r>
    <s v="kaleydoscopio1"/>
    <s v="gabinetemex"/>
    <s v="Gray"/>
    <n v="10"/>
    <m/>
    <n v="20"/>
    <m/>
    <m/>
    <m/>
    <m/>
    <s v="No"/>
    <n v="101"/>
    <m/>
    <m/>
    <s v="Retweet"/>
    <x v="57"/>
    <s v="36% tiene una buena opinión de los migrantes centroamericanos; 39.9% tiene una mala opinión. https://t.co/jmErc3Ilec _x000a__x000a_#CaravanaMigrante https://t.co/PEiPTn8LRO"/>
    <s v="http://gabinete.mx/index.php/es/component/k2/item/658-amlo-seguimiento-septiembre-2021"/>
    <s v="gabinete.mx"/>
    <m/>
    <s v="https://pbs.twimg.com/media/E_qdJWxVcAAhOWx.jpg"/>
    <s v="https://pbs.twimg.com/media/E_qdJWxVcAAhOWx.jpg"/>
    <d v="2021-09-20T14:01:26.000"/>
    <d v="2021-09-20T00:00:00.000"/>
    <s v="14:01:26"/>
    <s v="https://twitter.com/kaleydoscopio1/status/1439952848159064064"/>
    <m/>
    <m/>
    <s v="1439952848159064064"/>
    <m/>
    <b v="0"/>
    <n v="0"/>
    <s v=""/>
    <b v="0"/>
    <s v="es"/>
    <m/>
    <s v=""/>
    <b v="0"/>
    <n v="3"/>
    <s v="1439635821565341698"/>
    <s v="TweetDeck"/>
    <b v="0"/>
    <s v="1439635821565341698"/>
    <s v="Tweet"/>
    <n v="0"/>
    <n v="0"/>
    <m/>
    <m/>
    <m/>
    <m/>
    <m/>
    <m/>
    <m/>
    <m/>
    <n v="16"/>
    <s v="11"/>
    <s v="11"/>
    <n v="0"/>
    <n v="0"/>
    <n v="0"/>
    <n v="0"/>
    <n v="0"/>
    <n v="0"/>
    <n v="16"/>
    <n v="100"/>
    <n v="16"/>
  </r>
  <r>
    <s v="kaleydoscopio1"/>
    <s v="gabinetemex"/>
    <s v="Gray"/>
    <n v="10"/>
    <m/>
    <n v="20"/>
    <m/>
    <m/>
    <m/>
    <m/>
    <s v="No"/>
    <n v="102"/>
    <m/>
    <m/>
    <s v="Retweet"/>
    <x v="58"/>
    <s v="78% tiene conocimiento sobre la #CaravanaMigrante en la frontera sur de México; 21.7% desconoce el tema. https://t.co/jmErc3Ilec https://t.co/HirOuWIwKK"/>
    <s v="http://gabinete.mx/index.php/es/component/k2/item/658-amlo-seguimiento-septiembre-2021"/>
    <s v="gabinete.mx"/>
    <s v="caravanamigrante"/>
    <s v="https://pbs.twimg.com/media/E_qBceAVQAAGXdI.jpg"/>
    <s v="https://pbs.twimg.com/media/E_qBceAVQAAGXdI.jpg"/>
    <d v="2021-09-20T14:01:37.000"/>
    <d v="2021-09-20T00:00:00.000"/>
    <s v="14:01:37"/>
    <s v="https://twitter.com/kaleydoscopio1/status/1439952892559904770"/>
    <m/>
    <m/>
    <s v="1439952892559904770"/>
    <m/>
    <b v="0"/>
    <n v="0"/>
    <s v=""/>
    <b v="0"/>
    <s v="es"/>
    <m/>
    <s v=""/>
    <b v="0"/>
    <n v="2"/>
    <s v="1439605362630422534"/>
    <s v="TweetDeck"/>
    <b v="0"/>
    <s v="1439605362630422534"/>
    <s v="Tweet"/>
    <n v="0"/>
    <n v="0"/>
    <m/>
    <m/>
    <m/>
    <m/>
    <m/>
    <m/>
    <m/>
    <m/>
    <n v="16"/>
    <s v="11"/>
    <s v="11"/>
    <n v="0"/>
    <n v="0"/>
    <n v="0"/>
    <n v="0"/>
    <n v="0"/>
    <n v="0"/>
    <n v="17"/>
    <n v="100"/>
    <n v="17"/>
  </r>
  <r>
    <s v="azteca_tamps"/>
    <s v="azteca_tamps"/>
    <s v="Gray"/>
    <n v="10"/>
    <m/>
    <n v="20"/>
    <m/>
    <m/>
    <m/>
    <m/>
    <s v="No"/>
    <n v="103"/>
    <m/>
    <m/>
    <s v="Tweet"/>
    <x v="59"/>
    <s v="#CaravanaMigrante_x000a_En su afán por lograr el sueño americano, migrantes haitianos y cubanos llegaron a #Tampico #Tamaulipas, donde se apostaron en la Central de Autobuses en espera de continuar con su trayecto https://t.co/Wqp3JSk4qW"/>
    <m/>
    <m/>
    <s v="caravanamigrante tampico tamaulipas"/>
    <s v="https://pbs.twimg.com/ext_tw_video_thumb/1440015136371138566/pu/img/5qwwWinrPeXR7GLV.jpg"/>
    <s v="https://pbs.twimg.com/ext_tw_video_thumb/1440015136371138566/pu/img/5qwwWinrPeXR7GLV.jpg"/>
    <d v="2021-09-20T18:10:38.000"/>
    <d v="2021-09-20T00:00:00.000"/>
    <s v="18:10:38"/>
    <s v="https://twitter.com/azteca_tamps/status/1440015561694461954"/>
    <m/>
    <m/>
    <s v="1440015561694461954"/>
    <m/>
    <b v="0"/>
    <n v="0"/>
    <s v=""/>
    <b v="0"/>
    <s v="es"/>
    <m/>
    <s v=""/>
    <b v="0"/>
    <n v="0"/>
    <s v=""/>
    <s v="Twitter for Android"/>
    <b v="0"/>
    <s v="1440015561694461954"/>
    <s v="Tweet"/>
    <n v="0"/>
    <n v="0"/>
    <m/>
    <m/>
    <m/>
    <m/>
    <m/>
    <m/>
    <m/>
    <m/>
    <n v="4"/>
    <s v="4"/>
    <s v="4"/>
    <n v="0"/>
    <n v="0"/>
    <n v="0"/>
    <n v="0"/>
    <n v="0"/>
    <n v="0"/>
    <n v="32"/>
    <n v="100"/>
    <n v="32"/>
  </r>
  <r>
    <s v="azteca_tamps"/>
    <s v="azteca_tamps"/>
    <s v="Gray"/>
    <n v="10"/>
    <m/>
    <n v="20"/>
    <m/>
    <m/>
    <m/>
    <m/>
    <s v="No"/>
    <n v="104"/>
    <m/>
    <m/>
    <s v="Tweet"/>
    <x v="60"/>
    <s v="#CaravanaMigrante_x000a_Este fin de semana más de 200 haitianos que pernoctaron en #SanFernando #Tamaulipas iniciaron su travesía en caravana hacia la frontera de #Reynosa https://t.co/FdqMwIn2sV"/>
    <m/>
    <m/>
    <s v="caravanamigrante sanfernando tamaulipas reynosa"/>
    <s v="https://pbs.twimg.com/ext_tw_video_thumb/1440016464904441861/pu/img/vY_ouaulG-xPSHzJ.jpg"/>
    <s v="https://pbs.twimg.com/ext_tw_video_thumb/1440016464904441861/pu/img/vY_ouaulG-xPSHzJ.jpg"/>
    <d v="2021-09-20T18:15:52.000"/>
    <d v="2021-09-20T00:00:00.000"/>
    <s v="18:15:52"/>
    <s v="https://twitter.com/azteca_tamps/status/1440016875908337665"/>
    <m/>
    <m/>
    <s v="1440016875908337665"/>
    <m/>
    <b v="0"/>
    <n v="2"/>
    <s v=""/>
    <b v="0"/>
    <s v="es"/>
    <m/>
    <s v=""/>
    <b v="0"/>
    <n v="0"/>
    <s v=""/>
    <s v="Twitter for Android"/>
    <b v="0"/>
    <s v="1440016875908337665"/>
    <s v="Tweet"/>
    <n v="0"/>
    <n v="0"/>
    <m/>
    <m/>
    <m/>
    <m/>
    <m/>
    <m/>
    <m/>
    <m/>
    <n v="4"/>
    <s v="4"/>
    <s v="4"/>
    <n v="0"/>
    <n v="0"/>
    <n v="0"/>
    <n v="0"/>
    <n v="0"/>
    <n v="0"/>
    <n v="24"/>
    <n v="100"/>
    <n v="24"/>
  </r>
  <r>
    <s v="alexvalan"/>
    <s v="sedenamx"/>
    <s v="192, 192, 192"/>
    <n v="5"/>
    <m/>
    <n v="40"/>
    <m/>
    <m/>
    <m/>
    <m/>
    <s v="No"/>
    <n v="105"/>
    <m/>
    <m/>
    <s v="Mentions"/>
    <x v="61"/>
    <s v="1. Durante esta madrugada la @SEDENAmx detuvo el paso de la #CaravanaMigrante en Tamaulipas. Los migrantes fueron bajados de los camiones en que viajaban y fueron obligados a caminar ni más ni menos que en San Fernando, Tamaulipas."/>
    <m/>
    <m/>
    <s v="caravanamigrante"/>
    <m/>
    <s v="https://pbs.twimg.com/profile_images/1405362508311891974/Pk_VYkUN_normal.jpg"/>
    <d v="2021-09-20T16:34:13.000"/>
    <d v="2021-09-20T00:00:00.000"/>
    <s v="16:34:13"/>
    <s v="https://twitter.com/alexvalan/status/1439991295007617028"/>
    <m/>
    <m/>
    <s v="1439991295007617028"/>
    <s v="1439991293183102981"/>
    <b v="0"/>
    <n v="3"/>
    <s v="754224450"/>
    <b v="0"/>
    <s v="es"/>
    <m/>
    <s v=""/>
    <b v="0"/>
    <n v="1"/>
    <s v=""/>
    <s v="Twitter for Android"/>
    <b v="0"/>
    <s v="1439991293183102981"/>
    <s v="Tweet"/>
    <n v="0"/>
    <n v="0"/>
    <m/>
    <m/>
    <m/>
    <m/>
    <m/>
    <m/>
    <m/>
    <m/>
    <n v="1"/>
    <s v="16"/>
    <s v="16"/>
    <n v="0"/>
    <n v="0"/>
    <n v="0"/>
    <n v="0"/>
    <n v="0"/>
    <n v="0"/>
    <n v="38"/>
    <n v="100"/>
    <n v="38"/>
  </r>
  <r>
    <s v="leav_11"/>
    <s v="sedenamx"/>
    <s v="192, 192, 192"/>
    <n v="5"/>
    <m/>
    <n v="40"/>
    <m/>
    <m/>
    <m/>
    <m/>
    <s v="No"/>
    <n v="106"/>
    <m/>
    <m/>
    <s v="MentionsInRetweet"/>
    <x v="62"/>
    <s v="1. Durante esta madrugada la @SEDENAmx detuvo el paso de la #CaravanaMigrante en Tamaulipas. Los migrantes fueron bajados de los camiones en que viajaban y fueron obligados a caminar ni más ni menos que en San Fernando, Tamaulipas."/>
    <m/>
    <m/>
    <s v="caravanamigrante"/>
    <m/>
    <s v="https://pbs.twimg.com/profile_images/1436200195222654979/X-0kvAuz_normal.jpg"/>
    <d v="2021-09-20T21:06:42.000"/>
    <d v="2021-09-20T00:00:00.000"/>
    <s v="21:06:42"/>
    <s v="https://twitter.com/leav_11/status/1440059868187017229"/>
    <m/>
    <m/>
    <s v="1440059868187017229"/>
    <m/>
    <b v="0"/>
    <n v="0"/>
    <s v=""/>
    <b v="0"/>
    <s v="es"/>
    <m/>
    <s v=""/>
    <b v="0"/>
    <n v="1"/>
    <s v="1439991295007617028"/>
    <s v="Twitter for Android"/>
    <b v="0"/>
    <s v="1439991295007617028"/>
    <s v="Tweet"/>
    <n v="0"/>
    <n v="0"/>
    <m/>
    <m/>
    <m/>
    <m/>
    <m/>
    <m/>
    <m/>
    <m/>
    <n v="1"/>
    <s v="16"/>
    <s v="16"/>
    <m/>
    <m/>
    <m/>
    <m/>
    <m/>
    <m/>
    <m/>
    <m/>
    <m/>
  </r>
  <r>
    <s v="gaboku_hirako"/>
    <s v="gaboku_hirako"/>
    <s v="Gray"/>
    <n v="10"/>
    <m/>
    <n v="20"/>
    <m/>
    <m/>
    <m/>
    <m/>
    <s v="No"/>
    <n v="108"/>
    <m/>
    <m/>
    <s v="Tweet"/>
    <x v="63"/>
    <s v="#CaravanaMigrante #TravesiaPorLaVida #EZLN https://t.co/mVMVtm2qT4"/>
    <s v="https://twitter.com/notienlacezap/status/1434305633826844675"/>
    <s v="twitter.com"/>
    <s v="caravanamigrante travesiaporlavida ezln"/>
    <m/>
    <s v="https://pbs.twimg.com/profile_images/1027277148204089344/xnY8zncw_normal.jpg"/>
    <d v="2021-09-05T01:43:31.000"/>
    <d v="2021-09-05T00:00:00.000"/>
    <s v="01:43:31"/>
    <s v="https://twitter.com/gaboku_hirako/status/1434331326149271552"/>
    <m/>
    <m/>
    <s v="1434331326149271552"/>
    <m/>
    <b v="0"/>
    <n v="3"/>
    <s v=""/>
    <b v="1"/>
    <s v="und"/>
    <m/>
    <s v="1434305633826844675"/>
    <b v="0"/>
    <n v="3"/>
    <s v=""/>
    <s v="Twitter for Android"/>
    <b v="0"/>
    <s v="1434331326149271552"/>
    <s v="Retweet"/>
    <n v="0"/>
    <n v="0"/>
    <m/>
    <m/>
    <m/>
    <m/>
    <m/>
    <m/>
    <m/>
    <m/>
    <n v="4"/>
    <s v="22"/>
    <s v="22"/>
    <n v="0"/>
    <n v="0"/>
    <n v="0"/>
    <n v="0"/>
    <n v="0"/>
    <n v="0"/>
    <n v="3"/>
    <n v="100"/>
    <n v="3"/>
  </r>
  <r>
    <s v="gaboku_hirako"/>
    <s v="gaboku_hirako"/>
    <s v="Gray"/>
    <n v="10"/>
    <m/>
    <n v="20"/>
    <m/>
    <m/>
    <m/>
    <m/>
    <s v="No"/>
    <n v="109"/>
    <m/>
    <m/>
    <s v="Tweet"/>
    <x v="64"/>
    <s v="Repugnante, están violentando DH y AMLO diciendo que sólo eran dos._x000a_#caravanamigrante _x000a_#haitianos https://t.co/SLaSOb7NTc"/>
    <s v="https://twitter.com/quadratin_chis/status/1439027984120299520"/>
    <s v="twitter.com"/>
    <s v="caravanamigrante haitianos"/>
    <m/>
    <s v="https://pbs.twimg.com/profile_images/1027277148204089344/xnY8zncw_normal.jpg"/>
    <d v="2021-09-19T23:05:26.000"/>
    <d v="2021-09-19T00:00:00.000"/>
    <s v="23:05:26"/>
    <s v="https://twitter.com/gaboku_hirako/status/1439727363185577985"/>
    <m/>
    <m/>
    <s v="1439727363185577985"/>
    <m/>
    <b v="0"/>
    <n v="0"/>
    <s v=""/>
    <b v="1"/>
    <s v="es"/>
    <m/>
    <s v="1439027984120299520"/>
    <b v="0"/>
    <n v="0"/>
    <s v=""/>
    <s v="Twitter for Android"/>
    <b v="0"/>
    <s v="1439727363185577985"/>
    <s v="Tweet"/>
    <n v="0"/>
    <n v="0"/>
    <m/>
    <m/>
    <m/>
    <m/>
    <m/>
    <m/>
    <m/>
    <m/>
    <n v="4"/>
    <s v="22"/>
    <s v="22"/>
    <n v="0"/>
    <n v="0"/>
    <n v="0"/>
    <n v="0"/>
    <n v="0"/>
    <n v="0"/>
    <n v="13"/>
    <n v="100"/>
    <n v="13"/>
  </r>
  <r>
    <s v="danielascalante"/>
    <s v="gaboku_hirako"/>
    <s v="192, 192, 192"/>
    <n v="5"/>
    <m/>
    <n v="40"/>
    <m/>
    <m/>
    <m/>
    <m/>
    <s v="No"/>
    <n v="110"/>
    <m/>
    <m/>
    <s v="Retweet"/>
    <x v="65"/>
    <s v="#CaravanaMigrante #TravesiaPorLaVida #EZLN https://t.co/mVMVtm2qT4"/>
    <s v="https://twitter.com/notienlacezap/status/1434305633826844675"/>
    <s v="twitter.com"/>
    <s v="caravanamigrante travesiaporlavida ezln"/>
    <m/>
    <s v="https://pbs.twimg.com/profile_images/1354294314239549447/aopcj9fY_normal.jpg"/>
    <d v="2021-09-21T02:49:39.000"/>
    <d v="2021-09-21T00:00:00.000"/>
    <s v="02:49:39"/>
    <s v="https://twitter.com/danielascalante/status/1440146177274507272"/>
    <m/>
    <m/>
    <s v="1440146177274507272"/>
    <m/>
    <b v="0"/>
    <n v="0"/>
    <s v=""/>
    <b v="1"/>
    <s v="und"/>
    <m/>
    <s v="1434305633826844675"/>
    <b v="0"/>
    <n v="3"/>
    <s v="1434331326149271552"/>
    <s v="Twitter Web App"/>
    <b v="0"/>
    <s v="1434331326149271552"/>
    <s v="Tweet"/>
    <n v="0"/>
    <n v="0"/>
    <m/>
    <m/>
    <m/>
    <m/>
    <m/>
    <m/>
    <m/>
    <m/>
    <n v="1"/>
    <s v="22"/>
    <s v="22"/>
    <n v="0"/>
    <n v="0"/>
    <n v="0"/>
    <n v="0"/>
    <n v="0"/>
    <n v="0"/>
    <n v="3"/>
    <n v="100"/>
    <n v="3"/>
  </r>
  <r>
    <s v="ccc9012"/>
    <s v="inami_mx"/>
    <s v="192, 192, 192"/>
    <n v="5"/>
    <m/>
    <n v="40"/>
    <m/>
    <m/>
    <m/>
    <m/>
    <s v="No"/>
    <n v="111"/>
    <m/>
    <m/>
    <s v="MentionsInRetweet"/>
    <x v="66"/>
    <s v="Un salvoconducto por 20 días está otorgando el @GobiernoMX por medio del @INAMI_mx, a personas que han llegado a #TuxtlaGutiérrez procedentes principalmente de #Haití. #CaravanaMigrante https://t.co/5SsgItFE7z"/>
    <m/>
    <m/>
    <s v="tuxtlagutiérrez haití caravanamigrante"/>
    <s v="https://pbs.twimg.com/ext_tw_video_thumb/1440152056862441476/pu/img/RypVaHbX_jWL8ylr.jpg"/>
    <s v="https://pbs.twimg.com/ext_tw_video_thumb/1440152056862441476/pu/img/RypVaHbX_jWL8ylr.jpg"/>
    <d v="2021-09-21T03:18:02.000"/>
    <d v="2021-09-21T00:00:00.000"/>
    <s v="03:18:02"/>
    <s v="https://twitter.com/ccc9012/status/1440153316810391556"/>
    <m/>
    <m/>
    <s v="1440153316810391556"/>
    <m/>
    <b v="0"/>
    <n v="0"/>
    <s v=""/>
    <b v="0"/>
    <s v="es"/>
    <m/>
    <s v=""/>
    <b v="0"/>
    <n v="13"/>
    <s v="1440152719369539592"/>
    <s v="Twitter for Android"/>
    <b v="0"/>
    <s v="1440152719369539592"/>
    <s v="Tweet"/>
    <n v="0"/>
    <n v="0"/>
    <m/>
    <m/>
    <m/>
    <m/>
    <m/>
    <m/>
    <m/>
    <m/>
    <n v="1"/>
    <s v="2"/>
    <s v="2"/>
    <m/>
    <m/>
    <m/>
    <m/>
    <m/>
    <m/>
    <m/>
    <m/>
    <m/>
  </r>
  <r>
    <s v="adriana_yafa"/>
    <s v="inami_mx"/>
    <s v="192, 192, 192"/>
    <n v="5"/>
    <m/>
    <n v="40"/>
    <m/>
    <m/>
    <m/>
    <m/>
    <s v="No"/>
    <n v="114"/>
    <m/>
    <m/>
    <s v="MentionsInRetweet"/>
    <x v="67"/>
    <s v="Un salvoconducto por 20 días está otorgando el @GobiernoMX por medio del @INAMI_mx, a personas que han llegado a #TuxtlaGutiérrez procedentes principalmente de #Haití. #CaravanaMigrante https://t.co/5SsgItFE7z"/>
    <m/>
    <m/>
    <s v="tuxtlagutiérrez haití caravanamigrante"/>
    <s v="https://pbs.twimg.com/ext_tw_video_thumb/1440152056862441476/pu/img/RypVaHbX_jWL8ylr.jpg"/>
    <s v="https://pbs.twimg.com/ext_tw_video_thumb/1440152056862441476/pu/img/RypVaHbX_jWL8ylr.jpg"/>
    <d v="2021-09-21T03:20:28.000"/>
    <d v="2021-09-21T00:00:00.000"/>
    <s v="03:20:28"/>
    <s v="https://twitter.com/adriana_yafa/status/1440153930126688260"/>
    <m/>
    <m/>
    <s v="1440153930126688260"/>
    <m/>
    <b v="0"/>
    <n v="0"/>
    <s v=""/>
    <b v="0"/>
    <s v="es"/>
    <m/>
    <s v=""/>
    <b v="0"/>
    <n v="13"/>
    <s v="1440152719369539592"/>
    <s v="Twitter for Android"/>
    <b v="0"/>
    <s v="1440152719369539592"/>
    <s v="Tweet"/>
    <n v="0"/>
    <n v="0"/>
    <m/>
    <m/>
    <m/>
    <m/>
    <m/>
    <m/>
    <m/>
    <m/>
    <n v="1"/>
    <s v="2"/>
    <s v="2"/>
    <m/>
    <m/>
    <m/>
    <m/>
    <m/>
    <m/>
    <m/>
    <m/>
    <m/>
  </r>
  <r>
    <s v="gclementej"/>
    <s v="inami_mx"/>
    <s v="192, 192, 192"/>
    <n v="5"/>
    <m/>
    <n v="40"/>
    <m/>
    <m/>
    <m/>
    <m/>
    <s v="No"/>
    <n v="117"/>
    <m/>
    <m/>
    <s v="MentionsInRetweet"/>
    <x v="68"/>
    <s v="Un salvoconducto por 20 días está otorgando el @GobiernoMX por medio del @INAMI_mx, a personas que han llegado a #TuxtlaGutiérrez procedentes principalmente de #Haití. #CaravanaMigrante https://t.co/5SsgItFE7z"/>
    <m/>
    <m/>
    <s v="tuxtlagutiérrez haití caravanamigrante"/>
    <s v="https://pbs.twimg.com/ext_tw_video_thumb/1440152056862441476/pu/img/RypVaHbX_jWL8ylr.jpg"/>
    <s v="https://pbs.twimg.com/ext_tw_video_thumb/1440152056862441476/pu/img/RypVaHbX_jWL8ylr.jpg"/>
    <d v="2021-09-21T03:49:10.000"/>
    <d v="2021-09-21T00:00:00.000"/>
    <s v="03:49:10"/>
    <s v="https://twitter.com/gclementej/status/1440161154945327112"/>
    <m/>
    <m/>
    <s v="1440161154945327112"/>
    <m/>
    <b v="0"/>
    <n v="0"/>
    <s v=""/>
    <b v="0"/>
    <s v="es"/>
    <m/>
    <s v=""/>
    <b v="0"/>
    <n v="13"/>
    <s v="1440152719369539592"/>
    <s v="Twitter for Android"/>
    <b v="0"/>
    <s v="1440152719369539592"/>
    <s v="Tweet"/>
    <n v="0"/>
    <n v="0"/>
    <m/>
    <m/>
    <m/>
    <m/>
    <m/>
    <m/>
    <m/>
    <m/>
    <n v="1"/>
    <s v="2"/>
    <s v="2"/>
    <m/>
    <m/>
    <m/>
    <m/>
    <m/>
    <m/>
    <m/>
    <m/>
    <m/>
  </r>
  <r>
    <s v="samuelspl"/>
    <s v="samuelspl"/>
    <s v="192, 192, 192"/>
    <n v="5"/>
    <m/>
    <n v="40"/>
    <m/>
    <m/>
    <m/>
    <m/>
    <s v="No"/>
    <n v="120"/>
    <m/>
    <m/>
    <s v="Tweet"/>
    <x v="69"/>
    <s v="https://t.co/JzJNWeiB7b_x000a_#Migrantes #Migracion #MigrantesHaitianos #CaravanaMigrante"/>
    <s v="https://www.youtube.com/watch?v=ItA1uxOf8TQ"/>
    <s v="youtube.com"/>
    <s v="migrantes migracion migranteshaitianos caravanamigrante"/>
    <m/>
    <s v="https://pbs.twimg.com/profile_images/801805981537554432/FTgyH__A_normal.jpg"/>
    <d v="2021-09-21T04:31:52.000"/>
    <d v="2021-09-21T00:00:00.000"/>
    <s v="04:31:52"/>
    <s v="https://twitter.com/samuelspl/status/1440171900265648129"/>
    <m/>
    <m/>
    <s v="1440171900265648129"/>
    <m/>
    <b v="0"/>
    <n v="1"/>
    <s v=""/>
    <b v="0"/>
    <s v="und"/>
    <m/>
    <s v=""/>
    <b v="0"/>
    <n v="0"/>
    <s v=""/>
    <s v="Twitter Web App"/>
    <b v="0"/>
    <s v="1440171900265648129"/>
    <s v="Tweet"/>
    <n v="0"/>
    <n v="0"/>
    <m/>
    <m/>
    <m/>
    <m/>
    <m/>
    <m/>
    <m/>
    <m/>
    <n v="1"/>
    <s v="4"/>
    <s v="4"/>
    <n v="0"/>
    <n v="0"/>
    <n v="0"/>
    <n v="0"/>
    <n v="0"/>
    <n v="0"/>
    <n v="4"/>
    <n v="100"/>
    <n v="4"/>
  </r>
  <r>
    <s v="meltingpoteu"/>
    <s v="chrispeverieri"/>
    <s v="192, 192, 192"/>
    <n v="5"/>
    <m/>
    <n v="40"/>
    <m/>
    <m/>
    <m/>
    <m/>
    <s v="Yes"/>
    <n v="121"/>
    <m/>
    <m/>
    <s v="Retweet"/>
    <x v="70"/>
    <s v="#FronteraSur | Migliaia di migranti e richiedenti asilo intrappolati dal fallimento del sistema di asilo._x000a__x000a_Qui la mia intervista per @MeltingPotEU a Nimsi Arroyo, albergue Hospitalidad y Solidaridad di #Tapachula_x000a_#Mexico #CaravanaMigrante_x000a__x000a_https://t.co/TaTf4yw6VC"/>
    <s v="https://www.meltingpot.org/Tapachula-frontiera-sud-del-Messico-migliaia-di-persone.html"/>
    <s v="meltingpot.org"/>
    <s v="fronterasur tapachula mexico caravanamigrante"/>
    <m/>
    <s v="https://pbs.twimg.com/profile_images/1375491056582729735/0YZmZkpo_normal.jpg"/>
    <d v="2021-09-18T05:55:09.000"/>
    <d v="2021-09-18T00:00:00.000"/>
    <s v="05:55:09"/>
    <s v="https://twitter.com/meltingpoteu/status/1439105692657496065"/>
    <m/>
    <m/>
    <s v="1439105692657496065"/>
    <m/>
    <b v="0"/>
    <n v="0"/>
    <s v=""/>
    <b v="0"/>
    <s v="it"/>
    <m/>
    <s v=""/>
    <b v="0"/>
    <n v="3"/>
    <s v="1438973080861356033"/>
    <s v="Twitter for Android"/>
    <b v="0"/>
    <s v="1438973080861356033"/>
    <s v="Tweet"/>
    <n v="0"/>
    <n v="0"/>
    <m/>
    <m/>
    <m/>
    <m/>
    <m/>
    <m/>
    <m/>
    <m/>
    <n v="1"/>
    <s v="3"/>
    <s v="3"/>
    <n v="0"/>
    <n v="0"/>
    <n v="0"/>
    <n v="0"/>
    <n v="0"/>
    <n v="0"/>
    <n v="31"/>
    <n v="100"/>
    <n v="31"/>
  </r>
  <r>
    <s v="chrispeverieri"/>
    <s v="meltingpoteu"/>
    <s v="Gray"/>
    <n v="10"/>
    <m/>
    <n v="20"/>
    <m/>
    <m/>
    <m/>
    <m/>
    <s v="Yes"/>
    <n v="122"/>
    <m/>
    <m/>
    <s v="Mentions"/>
    <x v="71"/>
    <s v="#FronteraSur | Migliaia di migranti e richiedenti asilo intrappolati dal fallimento del sistema di asilo._x000a__x000a_Qui la mia intervista per @MeltingPotEU a Nimsi Arroyo, albergue Hospitalidad y Solidaridad di #Tapachula_x000a_#Mexico #CaravanaMigrante_x000a__x000a_https://t.co/TaTf4yw6VC"/>
    <s v="https://www.meltingpot.org/Tapachula-frontiera-sud-del-Messico-migliaia-di-persone.html"/>
    <s v="meltingpot.org"/>
    <s v="fronterasur tapachula mexico caravanamigrante"/>
    <m/>
    <s v="https://pbs.twimg.com/profile_images/1290604044021637121/mkF_MKL3_normal.jpg"/>
    <d v="2021-09-17T21:08:11.000"/>
    <d v="2021-09-17T00:00:00.000"/>
    <s v="21:08:11"/>
    <s v="https://twitter.com/chrispeverieri/status/1438973080861356033"/>
    <m/>
    <m/>
    <s v="1438973080861356033"/>
    <m/>
    <b v="0"/>
    <n v="5"/>
    <s v=""/>
    <b v="0"/>
    <s v="it"/>
    <m/>
    <s v=""/>
    <b v="0"/>
    <n v="3"/>
    <s v=""/>
    <s v="Twitter for iPhone"/>
    <b v="0"/>
    <s v="1438973080861356033"/>
    <s v="Tweet"/>
    <n v="0"/>
    <n v="0"/>
    <m/>
    <m/>
    <m/>
    <m/>
    <m/>
    <m/>
    <m/>
    <m/>
    <n v="4"/>
    <s v="3"/>
    <s v="3"/>
    <n v="0"/>
    <n v="0"/>
    <n v="0"/>
    <n v="0"/>
    <n v="0"/>
    <n v="0"/>
    <n v="31"/>
    <n v="100"/>
    <n v="31"/>
  </r>
  <r>
    <s v="chrispeverieri"/>
    <s v="meltingpoteu"/>
    <s v="Gray"/>
    <n v="10"/>
    <m/>
    <n v="20"/>
    <m/>
    <m/>
    <m/>
    <m/>
    <s v="Yes"/>
    <n v="123"/>
    <m/>
    <m/>
    <s v="Mentions"/>
    <x v="72"/>
    <s v="#FronteraSur | Migliaia di migranti e richiedenti asilo intrappolati dal fallimento del sistema di asilo._x000a__x000a_Qui la mia intervista per @MeltingPotEU a Nimsi Arroyo, albergue Hospitalidad y Solidaridad di #Tapachula_x000a_#Mexico #CaravanaMigrante _x000a_https://t.co/in5nQy2nk6"/>
    <s v="https://www.meltingpot.org/Tapachula-frontiera-sud-del-Messico-migliaia-di-persone.html"/>
    <s v="meltingpot.org"/>
    <s v="fronterasur tapachula mexico caravanamigrante"/>
    <m/>
    <s v="https://pbs.twimg.com/profile_images/1290604044021637121/mkF_MKL3_normal.jpg"/>
    <d v="2021-09-19T08:07:47.000"/>
    <d v="2021-09-19T00:00:00.000"/>
    <s v="08:07:47"/>
    <s v="https://twitter.com/chrispeverieri/status/1439501459356360704"/>
    <m/>
    <m/>
    <s v="1439501459356360704"/>
    <m/>
    <b v="0"/>
    <n v="2"/>
    <s v=""/>
    <b v="0"/>
    <s v="it"/>
    <m/>
    <s v=""/>
    <b v="0"/>
    <n v="3"/>
    <s v=""/>
    <s v="Twitter for iPhone"/>
    <b v="0"/>
    <s v="1439501459356360704"/>
    <s v="Tweet"/>
    <n v="0"/>
    <n v="0"/>
    <m/>
    <m/>
    <m/>
    <m/>
    <m/>
    <m/>
    <m/>
    <m/>
    <n v="4"/>
    <s v="3"/>
    <s v="3"/>
    <n v="0"/>
    <n v="0"/>
    <n v="0"/>
    <n v="0"/>
    <n v="0"/>
    <n v="0"/>
    <n v="31"/>
    <n v="100"/>
    <n v="31"/>
  </r>
  <r>
    <s v="rodrigezthayri"/>
    <s v="chrispeverieri"/>
    <s v="192, 192, 192"/>
    <n v="5"/>
    <m/>
    <n v="40"/>
    <m/>
    <m/>
    <m/>
    <m/>
    <s v="No"/>
    <n v="124"/>
    <m/>
    <m/>
    <s v="Retweet"/>
    <x v="73"/>
    <s v="#FronteraSur | Dopo il fallimento delle #caravanamigrante dissolte con la forza dalle autorità, i migranti centro americani e haitiani cominciano a percorrere altri itinerari per arrivare negli USA. Diminuisce la presenza di migranti a Tapachula_x000a_#Mexico_x000a_https://t.co/lZfaaUCHGb"/>
    <s v="https://www.diariodelsur.com.mx/local/migrantes-intentan-salir-de-chiapas-con-rumbo-a-veracruz-7237222.html"/>
    <s v="com.mx"/>
    <s v="fronterasur caravanamigrante mexico"/>
    <m/>
    <s v="https://abs.twimg.com/sticky/default_profile_images/default_profile_normal.png"/>
    <d v="2021-09-21T12:06:30.000"/>
    <d v="2021-09-21T00:00:00.000"/>
    <s v="12:06:30"/>
    <s v="https://twitter.com/rodrigezthayri/status/1440286311869399050"/>
    <m/>
    <m/>
    <s v="1440286311869399050"/>
    <m/>
    <b v="0"/>
    <n v="0"/>
    <s v=""/>
    <b v="0"/>
    <s v="it"/>
    <m/>
    <s v=""/>
    <b v="0"/>
    <n v="3"/>
    <s v="1440284475644993555"/>
    <s v="Twitter for iPhone"/>
    <b v="0"/>
    <s v="1440284475644993555"/>
    <s v="Tweet"/>
    <n v="0"/>
    <n v="0"/>
    <m/>
    <m/>
    <m/>
    <m/>
    <m/>
    <m/>
    <m/>
    <m/>
    <n v="1"/>
    <s v="3"/>
    <s v="3"/>
    <n v="0"/>
    <n v="0"/>
    <n v="0"/>
    <n v="0"/>
    <n v="0"/>
    <n v="0"/>
    <n v="35"/>
    <n v="100"/>
    <n v="35"/>
  </r>
  <r>
    <s v="morgantux91"/>
    <s v="inami_mx"/>
    <s v="192, 192, 192"/>
    <n v="5"/>
    <m/>
    <n v="40"/>
    <m/>
    <m/>
    <m/>
    <m/>
    <s v="No"/>
    <n v="125"/>
    <m/>
    <m/>
    <s v="MentionsInRetweet"/>
    <x v="74"/>
    <s v="Un salvoconducto por 20 días está otorgando el @GobiernoMX por medio del @INAMI_mx, a personas que han llegado a #TuxtlaGutiérrez procedentes principalmente de #Haití. #CaravanaMigrante https://t.co/5SsgItFE7z"/>
    <m/>
    <m/>
    <s v="tuxtlagutiérrez haití caravanamigrante"/>
    <s v="https://pbs.twimg.com/ext_tw_video_thumb/1440152056862441476/pu/img/RypVaHbX_jWL8ylr.jpg"/>
    <s v="https://pbs.twimg.com/ext_tw_video_thumb/1440152056862441476/pu/img/RypVaHbX_jWL8ylr.jpg"/>
    <d v="2021-09-21T12:47:44.000"/>
    <d v="2021-09-21T00:00:00.000"/>
    <s v="12:47:44"/>
    <s v="https://twitter.com/morgantux91/status/1440296686316703744"/>
    <m/>
    <m/>
    <s v="1440296686316703744"/>
    <m/>
    <b v="0"/>
    <n v="0"/>
    <s v=""/>
    <b v="0"/>
    <s v="es"/>
    <m/>
    <s v=""/>
    <b v="0"/>
    <n v="13"/>
    <s v="1440152719369539592"/>
    <s v="Twitter Web App"/>
    <b v="0"/>
    <s v="1440152719369539592"/>
    <s v="Tweet"/>
    <n v="0"/>
    <n v="0"/>
    <m/>
    <m/>
    <m/>
    <m/>
    <m/>
    <m/>
    <m/>
    <m/>
    <n v="1"/>
    <s v="2"/>
    <s v="2"/>
    <m/>
    <m/>
    <m/>
    <m/>
    <m/>
    <m/>
    <m/>
    <m/>
    <m/>
  </r>
  <r>
    <s v="surpulso"/>
    <s v="surpulso"/>
    <s v="192, 192, 192"/>
    <n v="5"/>
    <m/>
    <n v="40"/>
    <m/>
    <m/>
    <m/>
    <m/>
    <s v="No"/>
    <n v="128"/>
    <m/>
    <m/>
    <s v="Tweet"/>
    <x v="75"/>
    <s v="#EstadosUnidos cierra su #frontera para frenar el cruce de más #migrantes._x000a_#MigrationEU #Migrantes #Haiti #Haitianmigrants #haitianos #caravanamigrante _x000a_https://t.co/aDJ8zRwRor"/>
    <s v="https://pulsosur.com/2021/09/20/estados-unidos-cierra-su-frontera-para-frenar-el-cruce-de-mas-migrantes-haitianos/"/>
    <s v="pulsosur.com"/>
    <s v="estadosunidos frontera migrantes migrationeu migrantes haiti haitianmigrants haitianos caravanamigrante"/>
    <m/>
    <s v="https://pbs.twimg.com/profile_images/1348757759706202121/uqTtMs7E_normal.jpg"/>
    <d v="2021-09-21T15:10:07.000"/>
    <d v="2021-09-21T00:00:00.000"/>
    <s v="15:10:07"/>
    <s v="https://twitter.com/surpulso/status/1440332520634007566"/>
    <m/>
    <m/>
    <s v="1440332520634007566"/>
    <m/>
    <b v="0"/>
    <n v="0"/>
    <s v=""/>
    <b v="0"/>
    <s v="es"/>
    <m/>
    <s v=""/>
    <b v="0"/>
    <n v="0"/>
    <s v=""/>
    <s v="Twitter Web App"/>
    <b v="0"/>
    <s v="1440332520634007566"/>
    <s v="Tweet"/>
    <n v="0"/>
    <n v="0"/>
    <m/>
    <m/>
    <m/>
    <m/>
    <m/>
    <m/>
    <m/>
    <m/>
    <n v="1"/>
    <s v="4"/>
    <s v="4"/>
    <n v="0"/>
    <n v="0"/>
    <n v="0"/>
    <n v="0"/>
    <n v="0"/>
    <n v="0"/>
    <n v="17"/>
    <n v="100"/>
    <n v="17"/>
  </r>
  <r>
    <s v="educhiapas"/>
    <s v="inami_mx"/>
    <s v="192, 192, 192"/>
    <n v="5"/>
    <m/>
    <n v="40"/>
    <m/>
    <m/>
    <m/>
    <m/>
    <s v="No"/>
    <n v="129"/>
    <m/>
    <m/>
    <s v="MentionsInRetweet"/>
    <x v="76"/>
    <s v="Un salvoconducto por 20 días está otorgando el @GobiernoMX por medio del @INAMI_mx, a personas que han llegado a #TuxtlaGutiérrez procedentes principalmente de #Haití. #CaravanaMigrante https://t.co/5SsgItFE7z"/>
    <m/>
    <m/>
    <s v="tuxtlagutiérrez haití caravanamigrante"/>
    <s v="https://pbs.twimg.com/ext_tw_video_thumb/1440152056862441476/pu/img/RypVaHbX_jWL8ylr.jpg"/>
    <s v="https://pbs.twimg.com/ext_tw_video_thumb/1440152056862441476/pu/img/RypVaHbX_jWL8ylr.jpg"/>
    <d v="2021-09-21T17:54:04.000"/>
    <d v="2021-09-21T00:00:00.000"/>
    <s v="17:54:04"/>
    <s v="https://twitter.com/educhiapas/status/1440373779725635597"/>
    <m/>
    <m/>
    <s v="1440373779725635597"/>
    <m/>
    <b v="0"/>
    <n v="0"/>
    <s v=""/>
    <b v="0"/>
    <s v="es"/>
    <m/>
    <s v=""/>
    <b v="0"/>
    <n v="13"/>
    <s v="1440152719369539592"/>
    <s v="Twitter for iPhone"/>
    <b v="0"/>
    <s v="1440152719369539592"/>
    <s v="Tweet"/>
    <n v="0"/>
    <n v="0"/>
    <m/>
    <m/>
    <m/>
    <m/>
    <m/>
    <m/>
    <m/>
    <m/>
    <n v="1"/>
    <s v="2"/>
    <s v="2"/>
    <m/>
    <m/>
    <m/>
    <m/>
    <m/>
    <m/>
    <m/>
    <m/>
    <m/>
  </r>
  <r>
    <s v="pirubruja"/>
    <s v="pirubruja"/>
    <s v="192, 192, 192"/>
    <n v="5"/>
    <m/>
    <n v="40"/>
    <m/>
    <m/>
    <m/>
    <m/>
    <s v="No"/>
    <n v="132"/>
    <m/>
    <m/>
    <s v="Tweet"/>
    <x v="77"/>
    <s v="Las tamaulipecas ya empezaron a presumir sus noviazgos con los #haitianos. Esto se va a descontrolar. 👶🏿_x000a__x000a_#Reynosa #Acuña #Haití #Migrantes #Viral #Tamaulipas #Golosas #CaravanaMigrante https://t.co/uJ0F5qljQI"/>
    <m/>
    <m/>
    <s v="haitianos reynosa acuña haití migrantes viral tamaulipas golosas caravanamigrante"/>
    <s v="https://pbs.twimg.com/media/E_0-V_TVUAYqPM4.jpg"/>
    <s v="https://pbs.twimg.com/media/E_0-V_TVUAYqPM4.jpg"/>
    <d v="2021-09-21T18:02:56.000"/>
    <d v="2021-09-21T00:00:00.000"/>
    <s v="18:02:56"/>
    <s v="https://twitter.com/pirubruja/status/1440376009992257539"/>
    <m/>
    <m/>
    <s v="1440376009992257539"/>
    <m/>
    <b v="0"/>
    <n v="0"/>
    <s v=""/>
    <b v="0"/>
    <s v="es"/>
    <m/>
    <s v=""/>
    <b v="0"/>
    <n v="0"/>
    <s v=""/>
    <s v="Twitter for iPhone"/>
    <b v="0"/>
    <s v="1440376009992257539"/>
    <s v="Tweet"/>
    <n v="0"/>
    <n v="0"/>
    <m/>
    <m/>
    <m/>
    <m/>
    <m/>
    <m/>
    <m/>
    <m/>
    <n v="1"/>
    <s v="4"/>
    <s v="4"/>
    <n v="0"/>
    <n v="0"/>
    <n v="0"/>
    <n v="0"/>
    <n v="0"/>
    <n v="0"/>
    <n v="24"/>
    <n v="100"/>
    <n v="24"/>
  </r>
  <r>
    <s v="belicejp"/>
    <s v="inami_mx"/>
    <s v="192, 192, 192"/>
    <n v="5"/>
    <m/>
    <n v="40"/>
    <m/>
    <m/>
    <m/>
    <m/>
    <s v="No"/>
    <n v="133"/>
    <m/>
    <m/>
    <s v="MentionsInRetweet"/>
    <x v="78"/>
    <s v=".@INAMI_mx envió a #Chiapas, por avión, a 120 #migrantes originarios de #Haití que formaron parte de la #CaravanaMigrante que llegó durante la semana y el pasado fin de semana a Acuña, en la frontera con Del Río, Texas._x000a__x000a_https://t.co/biPBr8C9hS"/>
    <s v="https://www.jornada.com.mx/notas/2021/09/21/estados/inm-envia-por-avion-a-120-haitianos-a-chiapas-desde-coahuila/"/>
    <s v="com.mx"/>
    <s v="chiapas migrantes haití caravanamigrante"/>
    <m/>
    <s v="https://pbs.twimg.com/profile_images/1216750479524294656/lDgQ18NW_normal.jpg"/>
    <d v="2021-09-21T19:04:05.000"/>
    <d v="2021-09-21T00:00:00.000"/>
    <s v="19:04:05"/>
    <s v="https://twitter.com/belicejp/status/1440391400944590865"/>
    <m/>
    <m/>
    <s v="1440391400944590865"/>
    <m/>
    <b v="0"/>
    <n v="0"/>
    <s v=""/>
    <b v="0"/>
    <s v="es"/>
    <m/>
    <s v=""/>
    <b v="0"/>
    <n v="6"/>
    <s v="1440391314235822089"/>
    <s v="Twitter for Android"/>
    <b v="0"/>
    <s v="1440391314235822089"/>
    <s v="Tweet"/>
    <n v="0"/>
    <n v="0"/>
    <m/>
    <m/>
    <m/>
    <m/>
    <m/>
    <m/>
    <m/>
    <m/>
    <n v="1"/>
    <s v="2"/>
    <s v="2"/>
    <m/>
    <m/>
    <m/>
    <m/>
    <m/>
    <m/>
    <m/>
    <m/>
    <m/>
  </r>
  <r>
    <s v="antonio69111557"/>
    <s v="inami_mx"/>
    <s v="192, 192, 192"/>
    <n v="5"/>
    <m/>
    <n v="40"/>
    <m/>
    <m/>
    <m/>
    <m/>
    <s v="No"/>
    <n v="135"/>
    <m/>
    <m/>
    <s v="MentionsInRetweet"/>
    <x v="79"/>
    <s v=".@INAMI_mx envió a #Chiapas, por avión, a 120 #migrantes originarios de #Haití que formaron parte de la #CaravanaMigrante que llegó durante la semana y el pasado fin de semana a Acuña, en la frontera con Del Río, Texas._x000a__x000a_https://t.co/biPBr8C9hS"/>
    <s v="https://www.jornada.com.mx/notas/2021/09/21/estados/inm-envia-por-avion-a-120-haitianos-a-chiapas-desde-coahuila/"/>
    <s v="com.mx"/>
    <s v="chiapas migrantes haití caravanamigrante"/>
    <m/>
    <s v="https://pbs.twimg.com/profile_images/1291206854274699265/3zG5dGq-_normal.jpg"/>
    <d v="2021-09-21T19:04:26.000"/>
    <d v="2021-09-21T00:00:00.000"/>
    <s v="19:04:26"/>
    <s v="https://twitter.com/antonio69111557/status/1440391487183679488"/>
    <m/>
    <m/>
    <s v="1440391487183679488"/>
    <m/>
    <b v="0"/>
    <n v="0"/>
    <s v=""/>
    <b v="0"/>
    <s v="es"/>
    <m/>
    <s v=""/>
    <b v="0"/>
    <n v="6"/>
    <s v="1440391314235822089"/>
    <s v="Twitter for Android"/>
    <b v="0"/>
    <s v="1440391314235822089"/>
    <s v="Tweet"/>
    <n v="0"/>
    <n v="0"/>
    <m/>
    <m/>
    <m/>
    <m/>
    <m/>
    <m/>
    <m/>
    <m/>
    <n v="1"/>
    <s v="2"/>
    <s v="2"/>
    <m/>
    <m/>
    <m/>
    <m/>
    <m/>
    <m/>
    <m/>
    <m/>
    <m/>
  </r>
  <r>
    <s v="joel_fm_"/>
    <s v="inami_mx"/>
    <s v="192, 192, 192"/>
    <n v="5"/>
    <m/>
    <n v="40"/>
    <m/>
    <m/>
    <m/>
    <m/>
    <s v="No"/>
    <n v="137"/>
    <m/>
    <m/>
    <s v="MentionsInRetweet"/>
    <x v="80"/>
    <s v=".@INAMI_mx envió a #Chiapas, por avión, a 120 #migrantes originarios de #Haití que formaron parte de la #CaravanaMigrante que llegó durante la semana y el pasado fin de semana a Acuña, en la frontera con Del Río, Texas._x000a__x000a_https://t.co/biPBr8C9hS"/>
    <s v="https://www.jornada.com.mx/notas/2021/09/21/estados/inm-envia-por-avion-a-120-haitianos-a-chiapas-desde-coahuila/"/>
    <s v="com.mx"/>
    <s v="chiapas migrantes haití caravanamigrante"/>
    <m/>
    <s v="https://pbs.twimg.com/profile_images/1437905246462758913/8XTelcEC_normal.jpg"/>
    <d v="2021-09-21T19:05:16.000"/>
    <d v="2021-09-21T00:00:00.000"/>
    <s v="19:05:16"/>
    <s v="https://twitter.com/joel_fm_/status/1440391699428102144"/>
    <m/>
    <m/>
    <s v="1440391699428102144"/>
    <m/>
    <b v="0"/>
    <n v="0"/>
    <s v=""/>
    <b v="0"/>
    <s v="es"/>
    <m/>
    <s v=""/>
    <b v="0"/>
    <n v="6"/>
    <s v="1440391314235822089"/>
    <s v="Twitter Web App"/>
    <b v="0"/>
    <s v="1440391314235822089"/>
    <s v="Tweet"/>
    <n v="0"/>
    <n v="0"/>
    <m/>
    <m/>
    <m/>
    <m/>
    <m/>
    <m/>
    <m/>
    <m/>
    <n v="1"/>
    <s v="2"/>
    <s v="2"/>
    <m/>
    <m/>
    <m/>
    <m/>
    <m/>
    <m/>
    <m/>
    <m/>
    <m/>
  </r>
  <r>
    <s v="artemioac"/>
    <s v="inami_mx"/>
    <s v="192, 192, 192"/>
    <n v="5"/>
    <m/>
    <n v="40"/>
    <m/>
    <m/>
    <m/>
    <m/>
    <s v="No"/>
    <n v="139"/>
    <m/>
    <m/>
    <s v="MentionsInRetweet"/>
    <x v="81"/>
    <s v=".@INAMI_mx envió a #Chiapas, por avión, a 120 #migrantes originarios de #Haití que formaron parte de la #CaravanaMigrante que llegó durante la semana y el pasado fin de semana a Acuña, en la frontera con Del Río, Texas._x000a__x000a_https://t.co/biPBr8C9hS"/>
    <s v="https://www.jornada.com.mx/notas/2021/09/21/estados/inm-envia-por-avion-a-120-haitianos-a-chiapas-desde-coahuila/"/>
    <s v="com.mx"/>
    <s v="chiapas migrantes haití caravanamigrante"/>
    <m/>
    <s v="https://pbs.twimg.com/profile_images/829554306554671105/BK3Ns23e_normal.jpg"/>
    <d v="2021-09-21T19:12:19.000"/>
    <d v="2021-09-21T00:00:00.000"/>
    <s v="19:12:19"/>
    <s v="https://twitter.com/artemioac/status/1440393471257288706"/>
    <m/>
    <m/>
    <s v="1440393471257288706"/>
    <m/>
    <b v="0"/>
    <n v="0"/>
    <s v=""/>
    <b v="0"/>
    <s v="es"/>
    <m/>
    <s v=""/>
    <b v="0"/>
    <n v="6"/>
    <s v="1440391314235822089"/>
    <s v="Twitter for iPhone"/>
    <b v="0"/>
    <s v="1440391314235822089"/>
    <s v="Tweet"/>
    <n v="0"/>
    <n v="0"/>
    <m/>
    <m/>
    <m/>
    <m/>
    <m/>
    <m/>
    <m/>
    <m/>
    <n v="1"/>
    <s v="2"/>
    <s v="2"/>
    <m/>
    <m/>
    <m/>
    <m/>
    <m/>
    <m/>
    <m/>
    <m/>
    <m/>
  </r>
  <r>
    <s v="amerigospot"/>
    <s v="chrispeverieri"/>
    <s v="Gray"/>
    <n v="10"/>
    <m/>
    <n v="20"/>
    <m/>
    <m/>
    <m/>
    <m/>
    <s v="No"/>
    <n v="141"/>
    <m/>
    <m/>
    <s v="Retweet"/>
    <x v="82"/>
    <s v="#Messico | Ciò che sta succedendo nei pressi di Tapachula è inquietante: dopo aver dissolto con violenze e deportazioni le #caravanamigrante, GN e INM danno la caccia ai migranti, negli hotel, per strada, nei taxi. È una spietata caccia all’uomo!_x000a_https://t.co/wGSkrwiZXG"/>
    <s v="https://www.diariodelsur.com.mx/local/activa-guardia-nacional-busqueda-de-migrantes-en-taxis-7222717.html"/>
    <s v="com.mx"/>
    <s v="messico caravanamigrante"/>
    <m/>
    <s v="https://pbs.twimg.com/profile_images/3482387200/56210e7c0dec246575b9c9b373fcd599_normal.jpeg"/>
    <d v="2021-09-17T13:35:48.000"/>
    <d v="2021-09-17T00:00:00.000"/>
    <s v="13:35:48"/>
    <s v="https://twitter.com/amerigospot/status/1438859233165025280"/>
    <m/>
    <m/>
    <s v="1438859233165025280"/>
    <m/>
    <b v="0"/>
    <n v="0"/>
    <s v=""/>
    <b v="0"/>
    <s v="it"/>
    <m/>
    <s v=""/>
    <b v="0"/>
    <n v="4"/>
    <s v="1438842141804056579"/>
    <s v="Twitter for iPhone"/>
    <b v="0"/>
    <s v="1438842141804056579"/>
    <s v="Tweet"/>
    <n v="0"/>
    <n v="0"/>
    <m/>
    <m/>
    <m/>
    <m/>
    <m/>
    <m/>
    <m/>
    <m/>
    <n v="4"/>
    <s v="3"/>
    <s v="3"/>
    <n v="1"/>
    <n v="2.5"/>
    <n v="0"/>
    <n v="0"/>
    <n v="0"/>
    <n v="0"/>
    <n v="39"/>
    <n v="97.5"/>
    <n v="40"/>
  </r>
  <r>
    <s v="amerigospot"/>
    <s v="chrispeverieri"/>
    <s v="Gray"/>
    <n v="10"/>
    <m/>
    <n v="20"/>
    <m/>
    <m/>
    <m/>
    <m/>
    <s v="No"/>
    <n v="142"/>
    <m/>
    <m/>
    <s v="Retweet"/>
    <x v="83"/>
    <s v="#FronteraSur | Dopo il fallimento delle #caravanamigrante dissolte con la forza dalle autorità, i migranti centro americani e haitiani cominciano a percorrere altri itinerari per arrivare negli USA. Diminuisce la presenza di migranti a Tapachula_x000a_#Mexico_x000a_https://t.co/lZfaaUCHGb"/>
    <s v="https://www.diariodelsur.com.mx/local/migrantes-intentan-salir-de-chiapas-con-rumbo-a-veracruz-7237222.html"/>
    <s v="com.mx"/>
    <s v="fronterasur caravanamigrante mexico"/>
    <m/>
    <s v="https://pbs.twimg.com/profile_images/3482387200/56210e7c0dec246575b9c9b373fcd599_normal.jpeg"/>
    <d v="2021-09-21T19:13:42.000"/>
    <d v="2021-09-21T00:00:00.000"/>
    <s v="19:13:42"/>
    <s v="https://twitter.com/amerigospot/status/1440393819866894348"/>
    <m/>
    <m/>
    <s v="1440393819866894348"/>
    <m/>
    <b v="0"/>
    <n v="0"/>
    <s v=""/>
    <b v="0"/>
    <s v="it"/>
    <m/>
    <s v=""/>
    <b v="0"/>
    <n v="3"/>
    <s v="1440284475644993555"/>
    <s v="Twitter for iPhone"/>
    <b v="0"/>
    <s v="1440284475644993555"/>
    <s v="Tweet"/>
    <n v="0"/>
    <n v="0"/>
    <m/>
    <m/>
    <m/>
    <m/>
    <m/>
    <m/>
    <m/>
    <m/>
    <n v="4"/>
    <s v="3"/>
    <s v="3"/>
    <n v="0"/>
    <n v="0"/>
    <n v="0"/>
    <n v="0"/>
    <n v="0"/>
    <n v="0"/>
    <n v="35"/>
    <n v="100"/>
    <n v="35"/>
  </r>
  <r>
    <s v="jay00291440"/>
    <s v="speakerpelosi"/>
    <s v="192, 192, 192"/>
    <n v="5"/>
    <m/>
    <n v="40"/>
    <m/>
    <m/>
    <m/>
    <m/>
    <s v="No"/>
    <n v="143"/>
    <m/>
    <m/>
    <s v="Mentions"/>
    <x v="84"/>
    <s v="@POTUS _x000a__x000a_WHAT HAPPENDED NO WORDS FOR CHINA???_x000a__x000a_CHASTISING ISRAEL, TALK WITH HAMAS???_x000a__x000a_FAILURE  You are already a LAME DUCK President_x000a__x000a_We Democrats will be run out in 2022. FAILED_x000a_@GOP_x000a_@DNC _x000a_@GOPLeader _x000a_@SpeakerPelosi _x000a_#DelRioBridge _x000a_#BorderCrisis _x000a_#CaravanaMigrante"/>
    <m/>
    <m/>
    <s v="delriobridge bordercrisis caravanamigrante"/>
    <m/>
    <s v="https://abs.twimg.com/sticky/default_profile_images/default_profile_normal.png"/>
    <d v="2021-09-21T19:37:04.000"/>
    <d v="2021-09-21T00:00:00.000"/>
    <s v="19:37:04"/>
    <s v="https://twitter.com/jay00291440/status/1440399700444672001"/>
    <m/>
    <m/>
    <s v="1440399700444672001"/>
    <m/>
    <b v="0"/>
    <n v="0"/>
    <s v="1349149096909668363"/>
    <b v="0"/>
    <s v="en"/>
    <m/>
    <s v=""/>
    <b v="0"/>
    <n v="0"/>
    <s v=""/>
    <s v="Twitter for Android"/>
    <b v="0"/>
    <s v="1440399700444672001"/>
    <s v="Tweet"/>
    <n v="0"/>
    <n v="0"/>
    <m/>
    <m/>
    <m/>
    <m/>
    <m/>
    <m/>
    <m/>
    <m/>
    <n v="1"/>
    <s v="9"/>
    <s v="9"/>
    <m/>
    <m/>
    <m/>
    <m/>
    <m/>
    <m/>
    <m/>
    <m/>
    <m/>
  </r>
  <r>
    <s v="irvin_212"/>
    <s v="nelvaldez"/>
    <s v="192, 192, 192"/>
    <n v="5"/>
    <m/>
    <n v="40"/>
    <m/>
    <m/>
    <m/>
    <m/>
    <s v="No"/>
    <n v="148"/>
    <m/>
    <m/>
    <s v="Retweet"/>
    <x v="85"/>
    <s v="Tremenda fotografía de EL PAÍS donde se aprecia al guardia fronterizo a caballo usando un látigo contra los haitianos que intentan cruzar la frontera._x000a__x000a_Los propios haitianos mencionaron a un reportero &quot;Biden nos trata como animales&quot;_x000a__x000a_#Haiti #CaravanaMigrante https://t.co/n7TD4zrKwN"/>
    <m/>
    <m/>
    <s v="haiti caravanamigrante"/>
    <s v="https://pbs.twimg.com/media/E_1U1pPVEAImP5O.jpg"/>
    <s v="https://pbs.twimg.com/media/E_1U1pPVEAImP5O.jpg"/>
    <d v="2021-09-21T19:46:34.000"/>
    <d v="2021-09-21T00:00:00.000"/>
    <s v="19:46:34"/>
    <s v="https://twitter.com/irvin_212/status/1440402092129017859"/>
    <m/>
    <m/>
    <s v="1440402092129017859"/>
    <m/>
    <b v="0"/>
    <n v="0"/>
    <s v=""/>
    <b v="0"/>
    <s v="es"/>
    <m/>
    <s v=""/>
    <b v="0"/>
    <n v="36"/>
    <s v="1440400738719440904"/>
    <s v="Twitter for iPhone"/>
    <b v="0"/>
    <s v="1440400738719440904"/>
    <s v="Tweet"/>
    <n v="0"/>
    <n v="0"/>
    <m/>
    <m/>
    <m/>
    <m/>
    <m/>
    <m/>
    <m/>
    <m/>
    <n v="1"/>
    <s v="1"/>
    <s v="1"/>
    <n v="0"/>
    <n v="0"/>
    <n v="0"/>
    <n v="0"/>
    <n v="0"/>
    <n v="0"/>
    <n v="38"/>
    <n v="100"/>
    <n v="38"/>
  </r>
  <r>
    <s v="prensagiff"/>
    <s v="giffmx"/>
    <s v="192, 192, 192"/>
    <n v="5"/>
    <m/>
    <n v="40"/>
    <m/>
    <m/>
    <m/>
    <m/>
    <s v="No"/>
    <n v="149"/>
    <m/>
    <m/>
    <s v="MentionsInRetweet"/>
    <x v="86"/>
    <s v="Ayer vivimos nuestro estreno mundial en el @giffmx   ¡Gracias a todos los que nos acompañaron! #loquequedaenelcamino #giff #migración #caravanamigrante #guatemala #cine #documental https://t.co/HAAJonSA3e"/>
    <m/>
    <m/>
    <s v="loquequedaenelcamino giff migración caravanamigrante guatemala cine documental"/>
    <s v="https://pbs.twimg.com/media/E_1Ow97UUAYV0Is.jpg"/>
    <s v="https://pbs.twimg.com/media/E_1Ow97UUAYV0Is.jpg"/>
    <d v="2021-09-21T19:47:03.000"/>
    <d v="2021-09-21T00:00:00.000"/>
    <s v="19:47:03"/>
    <s v="https://twitter.com/prensagiff/status/1440402214074281996"/>
    <m/>
    <m/>
    <s v="1440402214074281996"/>
    <m/>
    <b v="0"/>
    <n v="0"/>
    <s v=""/>
    <b v="0"/>
    <s v="es"/>
    <m/>
    <s v=""/>
    <b v="0"/>
    <n v="3"/>
    <s v="1440394370226667525"/>
    <s v="Twitter for Android"/>
    <b v="0"/>
    <s v="1440394370226667525"/>
    <s v="Tweet"/>
    <n v="0"/>
    <n v="0"/>
    <m/>
    <m/>
    <m/>
    <m/>
    <m/>
    <m/>
    <m/>
    <m/>
    <n v="1"/>
    <s v="7"/>
    <s v="7"/>
    <m/>
    <m/>
    <m/>
    <m/>
    <m/>
    <m/>
    <m/>
    <m/>
    <m/>
  </r>
  <r>
    <s v="est_bian"/>
    <s v="nelvaldez"/>
    <s v="192, 192, 192"/>
    <n v="5"/>
    <m/>
    <n v="40"/>
    <m/>
    <m/>
    <m/>
    <m/>
    <s v="No"/>
    <n v="151"/>
    <m/>
    <m/>
    <s v="Retweet"/>
    <x v="87"/>
    <s v="Tremenda fotografía de EL PAÍS donde se aprecia al guardia fronterizo a caballo usando un látigo contra los haitianos que intentan cruzar la frontera._x000a__x000a_Los propios haitianos mencionaron a un reportero &quot;Biden nos trata como animales&quot;_x000a__x000a_#Haiti #CaravanaMigrante https://t.co/n7TD4zrKwN"/>
    <m/>
    <m/>
    <s v="haiti caravanamigrante"/>
    <s v="https://pbs.twimg.com/media/E_1U1pPVEAImP5O.jpg"/>
    <s v="https://pbs.twimg.com/media/E_1U1pPVEAImP5O.jpg"/>
    <d v="2021-09-21T19:51:05.000"/>
    <d v="2021-09-21T00:00:00.000"/>
    <s v="19:51:05"/>
    <s v="https://twitter.com/est_bian/status/1440403226726043664"/>
    <m/>
    <m/>
    <s v="1440403226726043664"/>
    <m/>
    <b v="0"/>
    <n v="0"/>
    <s v=""/>
    <b v="0"/>
    <s v="es"/>
    <m/>
    <s v=""/>
    <b v="0"/>
    <n v="36"/>
    <s v="1440400738719440904"/>
    <s v="Twitter for iPhone"/>
    <b v="0"/>
    <s v="1440400738719440904"/>
    <s v="Tweet"/>
    <n v="0"/>
    <n v="0"/>
    <m/>
    <m/>
    <m/>
    <m/>
    <m/>
    <m/>
    <m/>
    <m/>
    <n v="1"/>
    <s v="1"/>
    <s v="1"/>
    <n v="0"/>
    <n v="0"/>
    <n v="0"/>
    <n v="0"/>
    <n v="0"/>
    <n v="0"/>
    <n v="38"/>
    <n v="100"/>
    <n v="38"/>
  </r>
  <r>
    <s v="rebekgonzalez"/>
    <s v="nelvaldez"/>
    <s v="192, 192, 192"/>
    <n v="5"/>
    <m/>
    <n v="40"/>
    <m/>
    <m/>
    <m/>
    <m/>
    <s v="No"/>
    <n v="152"/>
    <m/>
    <m/>
    <s v="Retweet"/>
    <x v="88"/>
    <s v="Tremenda fotografía de EL PAÍS donde se aprecia al guardia fronterizo a caballo usando un látigo contra los haitianos que intentan cruzar la frontera._x000a__x000a_Los propios haitianos mencionaron a un reportero &quot;Biden nos trata como animales&quot;_x000a__x000a_#Haiti #CaravanaMigrante https://t.co/n7TD4zrKwN"/>
    <m/>
    <m/>
    <s v="haiti caravanamigrante"/>
    <s v="https://pbs.twimg.com/media/E_1U1pPVEAImP5O.jpg"/>
    <s v="https://pbs.twimg.com/media/E_1U1pPVEAImP5O.jpg"/>
    <d v="2021-09-21T19:59:31.000"/>
    <d v="2021-09-21T00:00:00.000"/>
    <s v="19:59:31"/>
    <s v="https://twitter.com/rebekgonzalez/status/1440405347940716552"/>
    <m/>
    <m/>
    <s v="1440405347940716552"/>
    <m/>
    <b v="0"/>
    <n v="0"/>
    <s v=""/>
    <b v="0"/>
    <s v="es"/>
    <m/>
    <s v=""/>
    <b v="0"/>
    <n v="36"/>
    <s v="1440400738719440904"/>
    <s v="Twitter for iPhone"/>
    <b v="0"/>
    <s v="1440400738719440904"/>
    <s v="Tweet"/>
    <n v="0"/>
    <n v="0"/>
    <m/>
    <m/>
    <m/>
    <m/>
    <m/>
    <m/>
    <m/>
    <m/>
    <n v="1"/>
    <s v="1"/>
    <s v="1"/>
    <n v="0"/>
    <n v="0"/>
    <n v="0"/>
    <n v="0"/>
    <n v="0"/>
    <n v="0"/>
    <n v="38"/>
    <n v="100"/>
    <n v="38"/>
  </r>
  <r>
    <s v="jorge_navarro"/>
    <s v="nelvaldez"/>
    <s v="192, 192, 192"/>
    <n v="5"/>
    <m/>
    <n v="40"/>
    <m/>
    <m/>
    <m/>
    <m/>
    <s v="No"/>
    <n v="153"/>
    <m/>
    <m/>
    <s v="Retweet"/>
    <x v="89"/>
    <s v="Tremenda fotografía de EL PAÍS donde se aprecia al guardia fronterizo a caballo usando un látigo contra los haitianos que intentan cruzar la frontera._x000a__x000a_Los propios haitianos mencionaron a un reportero &quot;Biden nos trata como animales&quot;_x000a__x000a_#Haiti #CaravanaMigrante https://t.co/n7TD4zrKwN"/>
    <m/>
    <m/>
    <s v="haiti caravanamigrante"/>
    <s v="https://pbs.twimg.com/media/E_1U1pPVEAImP5O.jpg"/>
    <s v="https://pbs.twimg.com/media/E_1U1pPVEAImP5O.jpg"/>
    <d v="2021-09-21T20:00:00.000"/>
    <d v="2021-09-21T00:00:00.000"/>
    <s v="20:00:00"/>
    <s v="https://twitter.com/jorge_navarro/status/1440405472675127297"/>
    <m/>
    <m/>
    <s v="1440405472675127297"/>
    <m/>
    <b v="0"/>
    <n v="0"/>
    <s v=""/>
    <b v="0"/>
    <s v="es"/>
    <m/>
    <s v=""/>
    <b v="0"/>
    <n v="36"/>
    <s v="1440400738719440904"/>
    <s v="Twitter for Android"/>
    <b v="0"/>
    <s v="1440400738719440904"/>
    <s v="Tweet"/>
    <n v="0"/>
    <n v="0"/>
    <m/>
    <m/>
    <m/>
    <m/>
    <m/>
    <m/>
    <m/>
    <m/>
    <n v="1"/>
    <s v="1"/>
    <s v="1"/>
    <n v="0"/>
    <n v="0"/>
    <n v="0"/>
    <n v="0"/>
    <n v="0"/>
    <n v="0"/>
    <n v="38"/>
    <n v="100"/>
    <n v="38"/>
  </r>
  <r>
    <s v="isela_mr"/>
    <s v="nelvaldez"/>
    <s v="192, 192, 192"/>
    <n v="5"/>
    <m/>
    <n v="40"/>
    <m/>
    <m/>
    <m/>
    <m/>
    <s v="No"/>
    <n v="154"/>
    <m/>
    <m/>
    <s v="Retweet"/>
    <x v="90"/>
    <s v="Tremenda fotografía de EL PAÍS donde se aprecia al guardia fronterizo a caballo usando un látigo contra los haitianos que intentan cruzar la frontera._x000a__x000a_Los propios haitianos mencionaron a un reportero &quot;Biden nos trata como animales&quot;_x000a__x000a_#Haiti #CaravanaMigrante https://t.co/n7TD4zrKwN"/>
    <m/>
    <m/>
    <s v="haiti caravanamigrante"/>
    <s v="https://pbs.twimg.com/media/E_1U1pPVEAImP5O.jpg"/>
    <s v="https://pbs.twimg.com/media/E_1U1pPVEAImP5O.jpg"/>
    <d v="2021-09-21T20:01:35.000"/>
    <d v="2021-09-21T00:00:00.000"/>
    <s v="20:01:35"/>
    <s v="https://twitter.com/isela_mr/status/1440405869129134083"/>
    <m/>
    <m/>
    <s v="1440405869129134083"/>
    <m/>
    <b v="0"/>
    <n v="0"/>
    <s v=""/>
    <b v="0"/>
    <s v="es"/>
    <m/>
    <s v=""/>
    <b v="0"/>
    <n v="36"/>
    <s v="1440400738719440904"/>
    <s v="Twitter for Android"/>
    <b v="0"/>
    <s v="1440400738719440904"/>
    <s v="Tweet"/>
    <n v="0"/>
    <n v="0"/>
    <m/>
    <m/>
    <m/>
    <m/>
    <m/>
    <m/>
    <m/>
    <m/>
    <n v="1"/>
    <s v="1"/>
    <s v="1"/>
    <n v="0"/>
    <n v="0"/>
    <n v="0"/>
    <n v="0"/>
    <n v="0"/>
    <n v="0"/>
    <n v="38"/>
    <n v="100"/>
    <n v="38"/>
  </r>
  <r>
    <s v="acquadragon"/>
    <s v="nelvaldez"/>
    <s v="192, 192, 192"/>
    <n v="5"/>
    <m/>
    <n v="40"/>
    <m/>
    <m/>
    <m/>
    <m/>
    <s v="No"/>
    <n v="155"/>
    <m/>
    <m/>
    <s v="Retweet"/>
    <x v="91"/>
    <s v="Tremenda fotografía de EL PAÍS donde se aprecia al guardia fronterizo a caballo usando un látigo contra los haitianos que intentan cruzar la frontera._x000a__x000a_Los propios haitianos mencionaron a un reportero &quot;Biden nos trata como animales&quot;_x000a__x000a_#Haiti #CaravanaMigrante https://t.co/n7TD4zrKwN"/>
    <m/>
    <m/>
    <s v="haiti caravanamigrante"/>
    <s v="https://pbs.twimg.com/media/E_1U1pPVEAImP5O.jpg"/>
    <s v="https://pbs.twimg.com/media/E_1U1pPVEAImP5O.jpg"/>
    <d v="2021-09-21T20:02:18.000"/>
    <d v="2021-09-21T00:00:00.000"/>
    <s v="20:02:18"/>
    <s v="https://twitter.com/acquadragon/status/1440406051233226753"/>
    <m/>
    <m/>
    <s v="1440406051233226753"/>
    <m/>
    <b v="0"/>
    <n v="0"/>
    <s v=""/>
    <b v="0"/>
    <s v="es"/>
    <m/>
    <s v=""/>
    <b v="0"/>
    <n v="36"/>
    <s v="1440400738719440904"/>
    <s v="Twitter for iPhone"/>
    <b v="0"/>
    <s v="1440400738719440904"/>
    <s v="Tweet"/>
    <n v="0"/>
    <n v="0"/>
    <m/>
    <m/>
    <m/>
    <m/>
    <m/>
    <m/>
    <m/>
    <m/>
    <n v="1"/>
    <s v="1"/>
    <s v="1"/>
    <n v="0"/>
    <n v="0"/>
    <n v="0"/>
    <n v="0"/>
    <n v="0"/>
    <n v="0"/>
    <n v="38"/>
    <n v="100"/>
    <n v="38"/>
  </r>
  <r>
    <s v="pasillasmmtv"/>
    <s v="nelvaldez"/>
    <s v="192, 192, 192"/>
    <n v="5"/>
    <m/>
    <n v="40"/>
    <m/>
    <m/>
    <m/>
    <m/>
    <s v="No"/>
    <n v="156"/>
    <m/>
    <m/>
    <s v="Retweet"/>
    <x v="92"/>
    <s v="Tremenda fotografía de EL PAÍS donde se aprecia al guardia fronterizo a caballo usando un látigo contra los haitianos que intentan cruzar la frontera._x000a__x000a_Los propios haitianos mencionaron a un reportero &quot;Biden nos trata como animales&quot;_x000a__x000a_#Haiti #CaravanaMigrante https://t.co/n7TD4zrKwN"/>
    <m/>
    <m/>
    <s v="haiti caravanamigrante"/>
    <s v="https://pbs.twimg.com/media/E_1U1pPVEAImP5O.jpg"/>
    <s v="https://pbs.twimg.com/media/E_1U1pPVEAImP5O.jpg"/>
    <d v="2021-09-21T20:07:47.000"/>
    <d v="2021-09-21T00:00:00.000"/>
    <s v="20:07:47"/>
    <s v="https://twitter.com/pasillasmmtv/status/1440407431310311430"/>
    <m/>
    <m/>
    <s v="1440407431310311430"/>
    <m/>
    <b v="0"/>
    <n v="0"/>
    <s v=""/>
    <b v="0"/>
    <s v="es"/>
    <m/>
    <s v=""/>
    <b v="0"/>
    <n v="36"/>
    <s v="1440400738719440904"/>
    <s v="Twitter Web App"/>
    <b v="0"/>
    <s v="1440400738719440904"/>
    <s v="Tweet"/>
    <n v="0"/>
    <n v="0"/>
    <m/>
    <m/>
    <m/>
    <m/>
    <m/>
    <m/>
    <m/>
    <m/>
    <n v="1"/>
    <s v="1"/>
    <s v="1"/>
    <n v="0"/>
    <n v="0"/>
    <n v="0"/>
    <n v="0"/>
    <n v="0"/>
    <n v="0"/>
    <n v="38"/>
    <n v="100"/>
    <n v="38"/>
  </r>
  <r>
    <s v="gallofuego"/>
    <s v="nelvaldez"/>
    <s v="192, 192, 192"/>
    <n v="5"/>
    <m/>
    <n v="40"/>
    <m/>
    <m/>
    <m/>
    <m/>
    <s v="No"/>
    <n v="157"/>
    <m/>
    <m/>
    <s v="Retweet"/>
    <x v="93"/>
    <s v="Tremenda fotografía de EL PAÍS donde se aprecia al guardia fronterizo a caballo usando un látigo contra los haitianos que intentan cruzar la frontera._x000a__x000a_Los propios haitianos mencionaron a un reportero &quot;Biden nos trata como animales&quot;_x000a__x000a_#Haiti #CaravanaMigrante https://t.co/n7TD4zrKwN"/>
    <m/>
    <m/>
    <s v="haiti caravanamigrante"/>
    <s v="https://pbs.twimg.com/media/E_1U1pPVEAImP5O.jpg"/>
    <s v="https://pbs.twimg.com/media/E_1U1pPVEAImP5O.jpg"/>
    <d v="2021-09-21T20:08:12.000"/>
    <d v="2021-09-21T00:00:00.000"/>
    <s v="20:08:12"/>
    <s v="https://twitter.com/gallofuego/status/1440407536390205441"/>
    <m/>
    <m/>
    <s v="1440407536390205441"/>
    <m/>
    <b v="0"/>
    <n v="0"/>
    <s v=""/>
    <b v="0"/>
    <s v="es"/>
    <m/>
    <s v=""/>
    <b v="0"/>
    <n v="36"/>
    <s v="1440400738719440904"/>
    <s v="Twitter for Android"/>
    <b v="0"/>
    <s v="1440400738719440904"/>
    <s v="Tweet"/>
    <n v="0"/>
    <n v="0"/>
    <m/>
    <m/>
    <m/>
    <m/>
    <m/>
    <m/>
    <m/>
    <m/>
    <n v="1"/>
    <s v="1"/>
    <s v="1"/>
    <n v="0"/>
    <n v="0"/>
    <n v="0"/>
    <n v="0"/>
    <n v="0"/>
    <n v="0"/>
    <n v="38"/>
    <n v="100"/>
    <n v="38"/>
  </r>
  <r>
    <s v="loveyogurtlowfa"/>
    <s v="nelvaldez"/>
    <s v="192, 192, 192"/>
    <n v="5"/>
    <m/>
    <n v="40"/>
    <m/>
    <m/>
    <m/>
    <m/>
    <s v="No"/>
    <n v="158"/>
    <m/>
    <m/>
    <s v="Retweet"/>
    <x v="94"/>
    <s v="Tremenda fotografía de EL PAÍS donde se aprecia al guardia fronterizo a caballo usando un látigo contra los haitianos que intentan cruzar la frontera._x000a__x000a_Los propios haitianos mencionaron a un reportero &quot;Biden nos trata como animales&quot;_x000a__x000a_#Haiti #CaravanaMigrante https://t.co/n7TD4zrKwN"/>
    <m/>
    <m/>
    <s v="haiti caravanamigrante"/>
    <s v="https://pbs.twimg.com/media/E_1U1pPVEAImP5O.jpg"/>
    <s v="https://pbs.twimg.com/media/E_1U1pPVEAImP5O.jpg"/>
    <d v="2021-09-21T20:09:09.000"/>
    <d v="2021-09-21T00:00:00.000"/>
    <s v="20:09:09"/>
    <s v="https://twitter.com/loveyogurtlowfa/status/1440407772533723147"/>
    <m/>
    <m/>
    <s v="1440407772533723147"/>
    <m/>
    <b v="0"/>
    <n v="0"/>
    <s v=""/>
    <b v="0"/>
    <s v="es"/>
    <m/>
    <s v=""/>
    <b v="0"/>
    <n v="36"/>
    <s v="1440400738719440904"/>
    <s v="Twitter for iPhone"/>
    <b v="0"/>
    <s v="1440400738719440904"/>
    <s v="Tweet"/>
    <n v="0"/>
    <n v="0"/>
    <m/>
    <m/>
    <m/>
    <m/>
    <m/>
    <m/>
    <m/>
    <m/>
    <n v="1"/>
    <s v="1"/>
    <s v="1"/>
    <n v="0"/>
    <n v="0"/>
    <n v="0"/>
    <n v="0"/>
    <n v="0"/>
    <n v="0"/>
    <n v="38"/>
    <n v="100"/>
    <n v="38"/>
  </r>
  <r>
    <s v="minyon23625591"/>
    <s v="nelvaldez"/>
    <s v="192, 192, 192"/>
    <n v="5"/>
    <m/>
    <n v="40"/>
    <m/>
    <m/>
    <m/>
    <m/>
    <s v="No"/>
    <n v="159"/>
    <m/>
    <m/>
    <s v="Retweet"/>
    <x v="95"/>
    <s v="Tremenda fotografía de EL PAÍS donde se aprecia al guardia fronterizo a caballo usando un látigo contra los haitianos que intentan cruzar la frontera._x000a__x000a_Los propios haitianos mencionaron a un reportero &quot;Biden nos trata como animales&quot;_x000a__x000a_#Haiti #CaravanaMigrante https://t.co/n7TD4zrKwN"/>
    <m/>
    <m/>
    <s v="haiti caravanamigrante"/>
    <s v="https://pbs.twimg.com/media/E_1U1pPVEAImP5O.jpg"/>
    <s v="https://pbs.twimg.com/media/E_1U1pPVEAImP5O.jpg"/>
    <d v="2021-09-21T20:19:33.000"/>
    <d v="2021-09-21T00:00:00.000"/>
    <s v="20:19:33"/>
    <s v="https://twitter.com/minyon23625591/status/1440410389808697347"/>
    <m/>
    <m/>
    <s v="1440410389808697347"/>
    <m/>
    <b v="0"/>
    <n v="0"/>
    <s v=""/>
    <b v="0"/>
    <s v="es"/>
    <m/>
    <s v=""/>
    <b v="0"/>
    <n v="36"/>
    <s v="1440400738719440904"/>
    <s v="Twitter for iPhone"/>
    <b v="0"/>
    <s v="1440400738719440904"/>
    <s v="Tweet"/>
    <n v="0"/>
    <n v="0"/>
    <m/>
    <m/>
    <m/>
    <m/>
    <m/>
    <m/>
    <m/>
    <m/>
    <n v="1"/>
    <s v="1"/>
    <s v="1"/>
    <n v="0"/>
    <n v="0"/>
    <n v="0"/>
    <n v="0"/>
    <n v="0"/>
    <n v="0"/>
    <n v="38"/>
    <n v="100"/>
    <n v="38"/>
  </r>
  <r>
    <s v="jlgc0505"/>
    <s v="nelvaldez"/>
    <s v="192, 192, 192"/>
    <n v="5"/>
    <m/>
    <n v="40"/>
    <m/>
    <m/>
    <m/>
    <m/>
    <s v="No"/>
    <n v="160"/>
    <m/>
    <m/>
    <s v="Retweet"/>
    <x v="96"/>
    <s v="Tremenda fotografía de EL PAÍS donde se aprecia al guardia fronterizo a caballo usando un látigo contra los haitianos que intentan cruzar la frontera._x000a__x000a_Los propios haitianos mencionaron a un reportero &quot;Biden nos trata como animales&quot;_x000a__x000a_#Haiti #CaravanaMigrante https://t.co/n7TD4zrKwN"/>
    <m/>
    <m/>
    <s v="haiti caravanamigrante"/>
    <s v="https://pbs.twimg.com/media/E_1U1pPVEAImP5O.jpg"/>
    <s v="https://pbs.twimg.com/media/E_1U1pPVEAImP5O.jpg"/>
    <d v="2021-09-21T20:27:33.000"/>
    <d v="2021-09-21T00:00:00.000"/>
    <s v="20:27:33"/>
    <s v="https://twitter.com/jlgc0505/status/1440412406002245646"/>
    <m/>
    <m/>
    <s v="1440412406002245646"/>
    <m/>
    <b v="0"/>
    <n v="0"/>
    <s v=""/>
    <b v="0"/>
    <s v="es"/>
    <m/>
    <s v=""/>
    <b v="0"/>
    <n v="36"/>
    <s v="1440400738719440904"/>
    <s v="Twitter for Android"/>
    <b v="0"/>
    <s v="1440400738719440904"/>
    <s v="Tweet"/>
    <n v="0"/>
    <n v="0"/>
    <m/>
    <m/>
    <m/>
    <m/>
    <m/>
    <m/>
    <m/>
    <m/>
    <n v="1"/>
    <s v="1"/>
    <s v="1"/>
    <n v="0"/>
    <n v="0"/>
    <n v="0"/>
    <n v="0"/>
    <n v="0"/>
    <n v="0"/>
    <n v="38"/>
    <n v="100"/>
    <n v="38"/>
  </r>
  <r>
    <s v="apoloniovaldez"/>
    <s v="nelvaldez"/>
    <s v="192, 192, 192"/>
    <n v="5"/>
    <m/>
    <n v="40"/>
    <m/>
    <m/>
    <m/>
    <m/>
    <s v="No"/>
    <n v="161"/>
    <m/>
    <m/>
    <s v="Retweet"/>
    <x v="97"/>
    <s v="Tremenda fotografía de EL PAÍS donde se aprecia al guardia fronterizo a caballo usando un látigo contra los haitianos que intentan cruzar la frontera._x000a__x000a_Los propios haitianos mencionaron a un reportero &quot;Biden nos trata como animales&quot;_x000a__x000a_#Haiti #CaravanaMigrante https://t.co/n7TD4zrKwN"/>
    <m/>
    <m/>
    <s v="haiti caravanamigrante"/>
    <s v="https://pbs.twimg.com/media/E_1U1pPVEAImP5O.jpg"/>
    <s v="https://pbs.twimg.com/media/E_1U1pPVEAImP5O.jpg"/>
    <d v="2021-09-21T20:29:44.000"/>
    <d v="2021-09-21T00:00:00.000"/>
    <s v="20:29:44"/>
    <s v="https://twitter.com/apoloniovaldez/status/1440412955930099715"/>
    <m/>
    <m/>
    <s v="1440412955930099715"/>
    <m/>
    <b v="0"/>
    <n v="0"/>
    <s v=""/>
    <b v="0"/>
    <s v="es"/>
    <m/>
    <s v=""/>
    <b v="0"/>
    <n v="36"/>
    <s v="1440400738719440904"/>
    <s v="Twitter for iPhone"/>
    <b v="0"/>
    <s v="1440400738719440904"/>
    <s v="Tweet"/>
    <n v="0"/>
    <n v="0"/>
    <m/>
    <m/>
    <m/>
    <m/>
    <m/>
    <m/>
    <m/>
    <m/>
    <n v="1"/>
    <s v="1"/>
    <s v="1"/>
    <n v="0"/>
    <n v="0"/>
    <n v="0"/>
    <n v="0"/>
    <n v="0"/>
    <n v="0"/>
    <n v="38"/>
    <n v="100"/>
    <n v="38"/>
  </r>
  <r>
    <s v="jorge2t23"/>
    <s v="nelvaldez"/>
    <s v="192, 192, 192"/>
    <n v="5"/>
    <m/>
    <n v="40"/>
    <m/>
    <m/>
    <m/>
    <m/>
    <s v="No"/>
    <n v="162"/>
    <m/>
    <m/>
    <s v="Retweet"/>
    <x v="98"/>
    <s v="Tremenda fotografía de EL PAÍS donde se aprecia al guardia fronterizo a caballo usando un látigo contra los haitianos que intentan cruzar la frontera._x000a__x000a_Los propios haitianos mencionaron a un reportero &quot;Biden nos trata como animales&quot;_x000a__x000a_#Haiti #CaravanaMigrante https://t.co/n7TD4zrKwN"/>
    <m/>
    <m/>
    <s v="haiti caravanamigrante"/>
    <s v="https://pbs.twimg.com/media/E_1U1pPVEAImP5O.jpg"/>
    <s v="https://pbs.twimg.com/media/E_1U1pPVEAImP5O.jpg"/>
    <d v="2021-09-21T20:31:10.000"/>
    <d v="2021-09-21T00:00:00.000"/>
    <s v="20:31:10"/>
    <s v="https://twitter.com/jorge2t23/status/1440413316212408329"/>
    <m/>
    <m/>
    <s v="1440413316212408329"/>
    <m/>
    <b v="0"/>
    <n v="0"/>
    <s v=""/>
    <b v="0"/>
    <s v="es"/>
    <m/>
    <s v=""/>
    <b v="0"/>
    <n v="36"/>
    <s v="1440400738719440904"/>
    <s v="Twitter for Android"/>
    <b v="0"/>
    <s v="1440400738719440904"/>
    <s v="Tweet"/>
    <n v="0"/>
    <n v="0"/>
    <m/>
    <m/>
    <m/>
    <m/>
    <m/>
    <m/>
    <m/>
    <m/>
    <n v="1"/>
    <s v="1"/>
    <s v="1"/>
    <n v="0"/>
    <n v="0"/>
    <n v="0"/>
    <n v="0"/>
    <n v="0"/>
    <n v="0"/>
    <n v="38"/>
    <n v="100"/>
    <n v="38"/>
  </r>
  <r>
    <s v="el7vicio"/>
    <s v="giffmx"/>
    <s v="192, 192, 192"/>
    <n v="5"/>
    <m/>
    <n v="40"/>
    <m/>
    <m/>
    <m/>
    <m/>
    <s v="No"/>
    <n v="163"/>
    <m/>
    <m/>
    <s v="MentionsInRetweet"/>
    <x v="99"/>
    <s v="Ayer vivimos nuestro estreno mundial en el @giffmx   ¡Gracias a todos los que nos acompañaron! #loquequedaenelcamino #giff #migración #caravanamigrante #guatemala #cine #documental https://t.co/HAAJonSA3e"/>
    <m/>
    <m/>
    <s v="loquequedaenelcamino giff migración caravanamigrante guatemala cine documental"/>
    <s v="https://pbs.twimg.com/media/E_1Ow97UUAYV0Is.jpg"/>
    <s v="https://pbs.twimg.com/media/E_1Ow97UUAYV0Is.jpg"/>
    <d v="2021-09-21T20:39:33.000"/>
    <d v="2021-09-21T00:00:00.000"/>
    <s v="20:39:33"/>
    <s v="https://twitter.com/el7vicio/status/1440415426370949124"/>
    <m/>
    <m/>
    <s v="1440415426370949124"/>
    <m/>
    <b v="0"/>
    <n v="0"/>
    <s v=""/>
    <b v="0"/>
    <s v="es"/>
    <m/>
    <s v=""/>
    <b v="0"/>
    <n v="3"/>
    <s v="1440394370226667525"/>
    <s v="Twitter for iPhone"/>
    <b v="0"/>
    <s v="1440394370226667525"/>
    <s v="Tweet"/>
    <n v="0"/>
    <n v="0"/>
    <m/>
    <m/>
    <m/>
    <m/>
    <m/>
    <m/>
    <m/>
    <m/>
    <n v="1"/>
    <s v="7"/>
    <s v="7"/>
    <m/>
    <m/>
    <m/>
    <m/>
    <m/>
    <m/>
    <m/>
    <m/>
    <m/>
  </r>
  <r>
    <s v="jorgeberna"/>
    <s v="jorgeberna"/>
    <s v="192, 192, 192"/>
    <n v="5"/>
    <m/>
    <n v="40"/>
    <m/>
    <m/>
    <m/>
    <m/>
    <s v="No"/>
    <n v="165"/>
    <m/>
    <m/>
    <s v="Tweet"/>
    <x v="100"/>
    <s v="Si el #CAPITALISMO es “tan malo” y el #SOCIALISMO es “lo mejor” …_x000a_Porque la caravana de migrantes se dirige a #USA 🇺🇸 y no hacia #VENEZUELA 🇻🇪 ❓❓_x000a_#Kamalaharris #Haiti #CaravanaMigrante"/>
    <m/>
    <m/>
    <s v="capitalismo socialismo usa venezuela kamalaharris haiti caravanamigrante"/>
    <m/>
    <s v="https://pbs.twimg.com/profile_images/830271639027798016/zsgYnpWH_normal.jpg"/>
    <d v="2021-09-21T20:40:51.000"/>
    <d v="2021-09-21T00:00:00.000"/>
    <s v="20:40:51"/>
    <s v="https://twitter.com/jorgeberna/status/1440415752335466511"/>
    <m/>
    <m/>
    <s v="1440415752335466511"/>
    <m/>
    <b v="0"/>
    <n v="1"/>
    <s v=""/>
    <b v="0"/>
    <s v="es"/>
    <m/>
    <s v=""/>
    <b v="0"/>
    <n v="0"/>
    <s v=""/>
    <s v="Twitter for iPhone"/>
    <b v="0"/>
    <s v="1440415752335466511"/>
    <s v="Tweet"/>
    <n v="0"/>
    <n v="0"/>
    <m/>
    <m/>
    <m/>
    <m/>
    <m/>
    <m/>
    <m/>
    <m/>
    <n v="1"/>
    <s v="4"/>
    <s v="4"/>
    <n v="0"/>
    <n v="0"/>
    <n v="0"/>
    <n v="0"/>
    <n v="0"/>
    <n v="0"/>
    <n v="28"/>
    <n v="100"/>
    <n v="28"/>
  </r>
  <r>
    <s v="janethsot"/>
    <s v="nelvaldez"/>
    <s v="192, 192, 192"/>
    <n v="5"/>
    <m/>
    <n v="40"/>
    <m/>
    <m/>
    <m/>
    <m/>
    <s v="No"/>
    <n v="166"/>
    <m/>
    <m/>
    <s v="Retweet"/>
    <x v="101"/>
    <s v="Tremenda fotografía de EL PAÍS donde se aprecia al guardia fronterizo a caballo usando un látigo contra los haitianos que intentan cruzar la frontera._x000a__x000a_Los propios haitianos mencionaron a un reportero &quot;Biden nos trata como animales&quot;_x000a__x000a_#Haiti #CaravanaMigrante https://t.co/n7TD4zrKwN"/>
    <m/>
    <m/>
    <s v="haiti caravanamigrante"/>
    <s v="https://pbs.twimg.com/media/E_1U1pPVEAImP5O.jpg"/>
    <s v="https://pbs.twimg.com/media/E_1U1pPVEAImP5O.jpg"/>
    <d v="2021-09-21T20:49:20.000"/>
    <d v="2021-09-21T00:00:00.000"/>
    <s v="20:49:20"/>
    <s v="https://twitter.com/janethsot/status/1440417885805965312"/>
    <m/>
    <m/>
    <s v="1440417885805965312"/>
    <m/>
    <b v="0"/>
    <n v="0"/>
    <s v=""/>
    <b v="0"/>
    <s v="es"/>
    <m/>
    <s v=""/>
    <b v="0"/>
    <n v="36"/>
    <s v="1440400738719440904"/>
    <s v="Twitter for Android"/>
    <b v="0"/>
    <s v="1440400738719440904"/>
    <s v="Tweet"/>
    <n v="0"/>
    <n v="0"/>
    <m/>
    <m/>
    <m/>
    <m/>
    <m/>
    <m/>
    <m/>
    <m/>
    <n v="1"/>
    <s v="1"/>
    <s v="1"/>
    <n v="0"/>
    <n v="0"/>
    <n v="0"/>
    <n v="0"/>
    <n v="0"/>
    <n v="0"/>
    <n v="38"/>
    <n v="100"/>
    <n v="38"/>
  </r>
  <r>
    <s v="javierazua7"/>
    <s v="nelvaldez"/>
    <s v="192, 192, 192"/>
    <n v="5"/>
    <m/>
    <n v="40"/>
    <m/>
    <m/>
    <m/>
    <m/>
    <s v="No"/>
    <n v="167"/>
    <m/>
    <m/>
    <s v="Retweet"/>
    <x v="102"/>
    <s v="Tremenda fotografía de EL PAÍS donde se aprecia al guardia fronterizo a caballo usando un látigo contra los haitianos que intentan cruzar la frontera._x000a__x000a_Los propios haitianos mencionaron a un reportero &quot;Biden nos trata como animales&quot;_x000a__x000a_#Haiti #CaravanaMigrante https://t.co/n7TD4zrKwN"/>
    <m/>
    <m/>
    <s v="haiti caravanamigrante"/>
    <s v="https://pbs.twimg.com/media/E_1U1pPVEAImP5O.jpg"/>
    <s v="https://pbs.twimg.com/media/E_1U1pPVEAImP5O.jpg"/>
    <d v="2021-09-21T21:15:29.000"/>
    <d v="2021-09-21T00:00:00.000"/>
    <s v="21:15:29"/>
    <s v="https://twitter.com/javierazua7/status/1440424468191481858"/>
    <m/>
    <m/>
    <s v="1440424468191481858"/>
    <m/>
    <b v="0"/>
    <n v="0"/>
    <s v=""/>
    <b v="0"/>
    <s v="es"/>
    <m/>
    <s v=""/>
    <b v="0"/>
    <n v="36"/>
    <s v="1440400738719440904"/>
    <s v="Twitter for Android"/>
    <b v="0"/>
    <s v="1440400738719440904"/>
    <s v="Tweet"/>
    <n v="0"/>
    <n v="0"/>
    <m/>
    <m/>
    <m/>
    <m/>
    <m/>
    <m/>
    <m/>
    <m/>
    <n v="1"/>
    <s v="1"/>
    <s v="1"/>
    <n v="0"/>
    <n v="0"/>
    <n v="0"/>
    <n v="0"/>
    <n v="0"/>
    <n v="0"/>
    <n v="38"/>
    <n v="100"/>
    <n v="38"/>
  </r>
  <r>
    <s v="chrispeverieri"/>
    <s v="chrispeverieri"/>
    <s v="Gray"/>
    <n v="10"/>
    <m/>
    <n v="20"/>
    <m/>
    <m/>
    <m/>
    <m/>
    <s v="No"/>
    <n v="168"/>
    <m/>
    <m/>
    <s v="Tweet"/>
    <x v="103"/>
    <s v="#Messico | Ciò che sta succedendo nei pressi di Tapachula è inquietante: dopo aver dissolto con violenze e deportazioni le #caravanamigrante, GN e INM danno la caccia ai migranti, negli hotel, per strada, nei taxi. È una spietata caccia all’uomo!_x000a_https://t.co/wGSkrwiZXG"/>
    <s v="https://www.diariodelsur.com.mx/local/activa-guardia-nacional-busqueda-de-migrantes-en-taxis-7222717.html"/>
    <s v="com.mx"/>
    <s v="messico caravanamigrante"/>
    <m/>
    <s v="https://pbs.twimg.com/profile_images/1290604044021637121/mkF_MKL3_normal.jpg"/>
    <d v="2021-09-17T12:27:53.000"/>
    <d v="2021-09-17T00:00:00.000"/>
    <s v="12:27:53"/>
    <s v="https://twitter.com/chrispeverieri/status/1438842141804056579"/>
    <m/>
    <m/>
    <s v="1438842141804056579"/>
    <m/>
    <b v="0"/>
    <n v="5"/>
    <s v=""/>
    <b v="0"/>
    <s v="it"/>
    <m/>
    <s v=""/>
    <b v="0"/>
    <n v="4"/>
    <s v=""/>
    <s v="Twitter for iPhone"/>
    <b v="0"/>
    <s v="1438842141804056579"/>
    <s v="Tweet"/>
    <n v="0"/>
    <n v="0"/>
    <m/>
    <m/>
    <m/>
    <m/>
    <m/>
    <m/>
    <m/>
    <m/>
    <n v="9"/>
    <s v="3"/>
    <s v="3"/>
    <n v="1"/>
    <n v="2.5"/>
    <n v="0"/>
    <n v="0"/>
    <n v="0"/>
    <n v="0"/>
    <n v="39"/>
    <n v="97.5"/>
    <n v="40"/>
  </r>
  <r>
    <s v="chrispeverieri"/>
    <s v="chrispeverieri"/>
    <s v="Gray"/>
    <n v="10"/>
    <m/>
    <n v="20"/>
    <m/>
    <m/>
    <m/>
    <m/>
    <s v="No"/>
    <n v="169"/>
    <m/>
    <m/>
    <s v="Tweet"/>
    <x v="104"/>
    <s v="#FronteraSur | «Il flusso migratorio è straripato, cercano di evitare di cadere nelle mani delle autorità migratorie messicane che li obbligano a fermarsi a Tapachula, ribattezzata città-carcere»._x000a_#Messico #CaravanaMigrante _x000a_https://t.co/Mx5YCbGU2Z"/>
    <s v="https://movimientomigrantemesoamericano.org/2021/09/16/se-desborda-flujo-migratorio/"/>
    <s v="movimientomigrantemesoamericano.org"/>
    <s v="fronterasur messico caravanamigrante"/>
    <m/>
    <s v="https://pbs.twimg.com/profile_images/1290604044021637121/mkF_MKL3_normal.jpg"/>
    <d v="2021-09-17T21:03:57.000"/>
    <d v="2021-09-17T00:00:00.000"/>
    <s v="21:03:57"/>
    <s v="https://twitter.com/chrispeverieri/status/1438972013033529344"/>
    <m/>
    <m/>
    <s v="1438972013033529344"/>
    <m/>
    <b v="0"/>
    <n v="2"/>
    <s v=""/>
    <b v="0"/>
    <s v="it"/>
    <m/>
    <s v=""/>
    <b v="0"/>
    <n v="2"/>
    <s v=""/>
    <s v="Twitter for iPhone"/>
    <b v="0"/>
    <s v="1438972013033529344"/>
    <s v="Tweet"/>
    <n v="0"/>
    <n v="0"/>
    <m/>
    <m/>
    <m/>
    <m/>
    <m/>
    <m/>
    <m/>
    <m/>
    <n v="9"/>
    <s v="3"/>
    <s v="3"/>
    <n v="0"/>
    <n v="0"/>
    <n v="0"/>
    <n v="0"/>
    <n v="0"/>
    <n v="0"/>
    <n v="29"/>
    <n v="100"/>
    <n v="29"/>
  </r>
  <r>
    <s v="chrispeverieri"/>
    <s v="chrispeverieri"/>
    <s v="Gray"/>
    <n v="10"/>
    <m/>
    <n v="20"/>
    <m/>
    <m/>
    <m/>
    <m/>
    <s v="No"/>
    <n v="170"/>
    <m/>
    <m/>
    <s v="Tweet"/>
    <x v="105"/>
    <s v="#FronteraSur | Dopo il fallimento delle #caravanamigrante dissolte con la forza dalle autorità, i migranti centro americani e haitiani cominciano a percorrere altri itinerari per arrivare negli USA. Diminuisce la presenza di migranti a Tapachula_x000a_#Mexico_x000a_https://t.co/lZfaaUCHGb"/>
    <s v="https://www.diariodelsur.com.mx/local/migrantes-intentan-salir-de-chiapas-con-rumbo-a-veracruz-7237222.html"/>
    <s v="com.mx"/>
    <s v="fronterasur caravanamigrante mexico"/>
    <m/>
    <s v="https://pbs.twimg.com/profile_images/1290604044021637121/mkF_MKL3_normal.jpg"/>
    <d v="2021-09-21T11:59:12.000"/>
    <d v="2021-09-21T00:00:00.000"/>
    <s v="11:59:12"/>
    <s v="https://twitter.com/chrispeverieri/status/1440284475644993555"/>
    <m/>
    <m/>
    <s v="1440284475644993555"/>
    <m/>
    <b v="0"/>
    <n v="3"/>
    <s v=""/>
    <b v="0"/>
    <s v="it"/>
    <m/>
    <s v=""/>
    <b v="0"/>
    <n v="3"/>
    <s v=""/>
    <s v="Twitter for iPhone"/>
    <b v="0"/>
    <s v="1440284475644993555"/>
    <s v="Tweet"/>
    <n v="0"/>
    <n v="0"/>
    <m/>
    <m/>
    <m/>
    <m/>
    <m/>
    <m/>
    <m/>
    <m/>
    <n v="9"/>
    <s v="3"/>
    <s v="3"/>
    <n v="0"/>
    <n v="0"/>
    <n v="0"/>
    <n v="0"/>
    <n v="0"/>
    <n v="0"/>
    <n v="35"/>
    <n v="100"/>
    <n v="35"/>
  </r>
  <r>
    <s v="selvita_sil"/>
    <s v="chrispeverieri"/>
    <s v="192, 192, 192"/>
    <n v="5"/>
    <m/>
    <n v="40"/>
    <m/>
    <m/>
    <m/>
    <m/>
    <s v="No"/>
    <n v="171"/>
    <m/>
    <m/>
    <s v="Retweet"/>
    <x v="106"/>
    <s v="#FronteraSur | Dopo il fallimento delle #caravanamigrante dissolte con la forza dalle autorità, i migranti centro americani e haitiani cominciano a percorrere altri itinerari per arrivare negli USA. Diminuisce la presenza di migranti a Tapachula_x000a_#Mexico_x000a_https://t.co/lZfaaUCHGb"/>
    <s v="https://www.diariodelsur.com.mx/local/migrantes-intentan-salir-de-chiapas-con-rumbo-a-veracruz-7237222.html"/>
    <s v="com.mx"/>
    <s v="fronterasur caravanamigrante mexico"/>
    <m/>
    <s v="https://pbs.twimg.com/profile_images/2370229040/catrina504_normal.jpg"/>
    <d v="2021-09-21T21:22:47.000"/>
    <d v="2021-09-21T00:00:00.000"/>
    <s v="21:22:47"/>
    <s v="https://twitter.com/selvita_sil/status/1440426302670921730"/>
    <m/>
    <m/>
    <s v="1440426302670921730"/>
    <m/>
    <b v="0"/>
    <n v="0"/>
    <s v=""/>
    <b v="0"/>
    <s v="it"/>
    <m/>
    <s v=""/>
    <b v="0"/>
    <n v="3"/>
    <s v="1440284475644993555"/>
    <s v="Twitter for iPhone"/>
    <b v="0"/>
    <s v="1440284475644993555"/>
    <s v="Tweet"/>
    <n v="0"/>
    <n v="0"/>
    <m/>
    <m/>
    <m/>
    <m/>
    <m/>
    <m/>
    <m/>
    <m/>
    <n v="1"/>
    <s v="3"/>
    <s v="3"/>
    <n v="0"/>
    <n v="0"/>
    <n v="0"/>
    <n v="0"/>
    <n v="0"/>
    <n v="0"/>
    <n v="35"/>
    <n v="100"/>
    <n v="35"/>
  </r>
  <r>
    <s v="gabhiy_oh"/>
    <s v="nelvaldez"/>
    <s v="192, 192, 192"/>
    <n v="5"/>
    <m/>
    <n v="40"/>
    <m/>
    <m/>
    <m/>
    <m/>
    <s v="No"/>
    <n v="172"/>
    <m/>
    <m/>
    <s v="Retweet"/>
    <x v="107"/>
    <s v="Tremenda fotografía de EL PAÍS donde se aprecia al guardia fronterizo a caballo usando un látigo contra los haitianos que intentan cruzar la frontera._x000a__x000a_Los propios haitianos mencionaron a un reportero &quot;Biden nos trata como animales&quot;_x000a__x000a_#Haiti #CaravanaMigrante https://t.co/n7TD4zrKwN"/>
    <m/>
    <m/>
    <s v="haiti caravanamigrante"/>
    <s v="https://pbs.twimg.com/media/E_1U1pPVEAImP5O.jpg"/>
    <s v="https://pbs.twimg.com/media/E_1U1pPVEAImP5O.jpg"/>
    <d v="2021-09-21T21:31:16.000"/>
    <d v="2021-09-21T00:00:00.000"/>
    <s v="21:31:16"/>
    <s v="https://twitter.com/gabhiy_oh/status/1440428439522070548"/>
    <m/>
    <m/>
    <s v="1440428439522070548"/>
    <m/>
    <b v="0"/>
    <n v="0"/>
    <s v=""/>
    <b v="0"/>
    <s v="es"/>
    <m/>
    <s v=""/>
    <b v="0"/>
    <n v="36"/>
    <s v="1440400738719440904"/>
    <s v="Twitter for Android"/>
    <b v="0"/>
    <s v="1440400738719440904"/>
    <s v="Tweet"/>
    <n v="0"/>
    <n v="0"/>
    <m/>
    <m/>
    <m/>
    <m/>
    <m/>
    <m/>
    <m/>
    <m/>
    <n v="1"/>
    <s v="1"/>
    <s v="1"/>
    <n v="0"/>
    <n v="0"/>
    <n v="0"/>
    <n v="0"/>
    <n v="0"/>
    <n v="0"/>
    <n v="38"/>
    <n v="100"/>
    <n v="38"/>
  </r>
  <r>
    <s v="agustin60803348"/>
    <s v="nelvaldez"/>
    <s v="192, 192, 192"/>
    <n v="5"/>
    <m/>
    <n v="40"/>
    <m/>
    <m/>
    <m/>
    <m/>
    <s v="No"/>
    <n v="173"/>
    <m/>
    <m/>
    <s v="Retweet"/>
    <x v="108"/>
    <s v="Tremenda fotografía de EL PAÍS donde se aprecia al guardia fronterizo a caballo usando un látigo contra los haitianos que intentan cruzar la frontera._x000a__x000a_Los propios haitianos mencionaron a un reportero &quot;Biden nos trata como animales&quot;_x000a__x000a_#Haiti #CaravanaMigrante https://t.co/n7TD4zrKwN"/>
    <m/>
    <m/>
    <s v="haiti caravanamigrante"/>
    <s v="https://pbs.twimg.com/media/E_1U1pPVEAImP5O.jpg"/>
    <s v="https://pbs.twimg.com/media/E_1U1pPVEAImP5O.jpg"/>
    <d v="2021-09-21T22:10:26.000"/>
    <d v="2021-09-21T00:00:00.000"/>
    <s v="22:10:26"/>
    <s v="https://twitter.com/agustin60803348/status/1440438296014843912"/>
    <m/>
    <m/>
    <s v="1440438296014843912"/>
    <m/>
    <b v="0"/>
    <n v="0"/>
    <s v=""/>
    <b v="0"/>
    <s v="es"/>
    <m/>
    <s v=""/>
    <b v="0"/>
    <n v="36"/>
    <s v="1440400738719440904"/>
    <s v="Twitter for Android"/>
    <b v="0"/>
    <s v="1440400738719440904"/>
    <s v="Tweet"/>
    <n v="0"/>
    <n v="0"/>
    <m/>
    <m/>
    <m/>
    <m/>
    <m/>
    <m/>
    <m/>
    <m/>
    <n v="1"/>
    <s v="1"/>
    <s v="1"/>
    <n v="0"/>
    <n v="0"/>
    <n v="0"/>
    <n v="0"/>
    <n v="0"/>
    <n v="0"/>
    <n v="38"/>
    <n v="100"/>
    <n v="38"/>
  </r>
  <r>
    <s v="tigre_ttn2"/>
    <s v="nelvaldez"/>
    <s v="192, 192, 192"/>
    <n v="5"/>
    <m/>
    <n v="40"/>
    <m/>
    <m/>
    <m/>
    <m/>
    <s v="No"/>
    <n v="174"/>
    <m/>
    <m/>
    <s v="Retweet"/>
    <x v="109"/>
    <s v="Tremenda fotografía de EL PAÍS donde se aprecia al guardia fronterizo a caballo usando un látigo contra los haitianos que intentan cruzar la frontera._x000a__x000a_Los propios haitianos mencionaron a un reportero &quot;Biden nos trata como animales&quot;_x000a__x000a_#Haiti #CaravanaMigrante https://t.co/n7TD4zrKwN"/>
    <m/>
    <m/>
    <s v="haiti caravanamigrante"/>
    <s v="https://pbs.twimg.com/media/E_1U1pPVEAImP5O.jpg"/>
    <s v="https://pbs.twimg.com/media/E_1U1pPVEAImP5O.jpg"/>
    <d v="2021-09-21T22:25:45.000"/>
    <d v="2021-09-21T00:00:00.000"/>
    <s v="22:25:45"/>
    <s v="https://twitter.com/tigre_ttn2/status/1440442149976219656"/>
    <m/>
    <m/>
    <s v="1440442149976219656"/>
    <m/>
    <b v="0"/>
    <n v="0"/>
    <s v=""/>
    <b v="0"/>
    <s v="es"/>
    <m/>
    <s v=""/>
    <b v="0"/>
    <n v="36"/>
    <s v="1440400738719440904"/>
    <s v="Twitter for Android"/>
    <b v="0"/>
    <s v="1440400738719440904"/>
    <s v="Tweet"/>
    <n v="0"/>
    <n v="0"/>
    <m/>
    <m/>
    <m/>
    <m/>
    <m/>
    <m/>
    <m/>
    <m/>
    <n v="1"/>
    <s v="1"/>
    <s v="1"/>
    <n v="0"/>
    <n v="0"/>
    <n v="0"/>
    <n v="0"/>
    <n v="0"/>
    <n v="0"/>
    <n v="38"/>
    <n v="100"/>
    <n v="38"/>
  </r>
  <r>
    <s v="digitalixmx"/>
    <s v="nelvaldez"/>
    <s v="192, 192, 192"/>
    <n v="5"/>
    <m/>
    <n v="40"/>
    <m/>
    <m/>
    <m/>
    <m/>
    <s v="No"/>
    <n v="175"/>
    <m/>
    <m/>
    <s v="Retweet"/>
    <x v="110"/>
    <s v="Tremenda fotografía de EL PAÍS donde se aprecia al guardia fronterizo a caballo usando un látigo contra los haitianos que intentan cruzar la frontera._x000a__x000a_Los propios haitianos mencionaron a un reportero &quot;Biden nos trata como animales&quot;_x000a__x000a_#Haiti #CaravanaMigrante https://t.co/n7TD4zrKwN"/>
    <m/>
    <m/>
    <s v="haiti caravanamigrante"/>
    <s v="https://pbs.twimg.com/media/E_1U1pPVEAImP5O.jpg"/>
    <s v="https://pbs.twimg.com/media/E_1U1pPVEAImP5O.jpg"/>
    <d v="2021-09-21T22:25:48.000"/>
    <d v="2021-09-21T00:00:00.000"/>
    <s v="22:25:48"/>
    <s v="https://twitter.com/digitalixmx/status/1440442161950953472"/>
    <m/>
    <m/>
    <s v="1440442161950953472"/>
    <m/>
    <b v="0"/>
    <n v="0"/>
    <s v=""/>
    <b v="0"/>
    <s v="es"/>
    <m/>
    <s v=""/>
    <b v="0"/>
    <n v="36"/>
    <s v="1440400738719440904"/>
    <s v="numerorespuestas"/>
    <b v="0"/>
    <s v="1440400738719440904"/>
    <s v="Tweet"/>
    <n v="0"/>
    <n v="0"/>
    <m/>
    <m/>
    <m/>
    <m/>
    <m/>
    <m/>
    <m/>
    <m/>
    <n v="1"/>
    <s v="1"/>
    <s v="1"/>
    <n v="0"/>
    <n v="0"/>
    <n v="0"/>
    <n v="0"/>
    <n v="0"/>
    <n v="0"/>
    <n v="38"/>
    <n v="100"/>
    <n v="38"/>
  </r>
  <r>
    <s v="maragua15777373"/>
    <s v="nelvaldez"/>
    <s v="192, 192, 192"/>
    <n v="5"/>
    <m/>
    <n v="40"/>
    <m/>
    <m/>
    <m/>
    <m/>
    <s v="No"/>
    <n v="176"/>
    <m/>
    <m/>
    <s v="Retweet"/>
    <x v="111"/>
    <s v="Tremenda fotografía de EL PAÍS donde se aprecia al guardia fronterizo a caballo usando un látigo contra los haitianos que intentan cruzar la frontera._x000a__x000a_Los propios haitianos mencionaron a un reportero &quot;Biden nos trata como animales&quot;_x000a__x000a_#Haiti #CaravanaMigrante https://t.co/n7TD4zrKwN"/>
    <m/>
    <m/>
    <s v="haiti caravanamigrante"/>
    <s v="https://pbs.twimg.com/media/E_1U1pPVEAImP5O.jpg"/>
    <s v="https://pbs.twimg.com/media/E_1U1pPVEAImP5O.jpg"/>
    <d v="2021-09-21T22:26:28.000"/>
    <d v="2021-09-21T00:00:00.000"/>
    <s v="22:26:28"/>
    <s v="https://twitter.com/maragua15777373/status/1440442330717118473"/>
    <m/>
    <m/>
    <s v="1440442330717118473"/>
    <m/>
    <b v="0"/>
    <n v="0"/>
    <s v=""/>
    <b v="0"/>
    <s v="es"/>
    <m/>
    <s v=""/>
    <b v="0"/>
    <n v="36"/>
    <s v="1440400738719440904"/>
    <s v="Twitter for Android"/>
    <b v="0"/>
    <s v="1440400738719440904"/>
    <s v="Tweet"/>
    <n v="0"/>
    <n v="0"/>
    <m/>
    <m/>
    <m/>
    <m/>
    <m/>
    <m/>
    <m/>
    <m/>
    <n v="1"/>
    <s v="1"/>
    <s v="1"/>
    <n v="0"/>
    <n v="0"/>
    <n v="0"/>
    <n v="0"/>
    <n v="0"/>
    <n v="0"/>
    <n v="38"/>
    <n v="100"/>
    <n v="38"/>
  </r>
  <r>
    <s v="feregio74"/>
    <s v="nelvaldez"/>
    <s v="192, 192, 192"/>
    <n v="5"/>
    <m/>
    <n v="40"/>
    <m/>
    <m/>
    <m/>
    <m/>
    <s v="No"/>
    <n v="177"/>
    <m/>
    <m/>
    <s v="Retweet"/>
    <x v="112"/>
    <s v="Tremenda fotografía de EL PAÍS donde se aprecia al guardia fronterizo a caballo usando un látigo contra los haitianos que intentan cruzar la frontera._x000a__x000a_Los propios haitianos mencionaron a un reportero &quot;Biden nos trata como animales&quot;_x000a__x000a_#Haiti #CaravanaMigrante https://t.co/n7TD4zrKwN"/>
    <m/>
    <m/>
    <s v="haiti caravanamigrante"/>
    <s v="https://pbs.twimg.com/media/E_1U1pPVEAImP5O.jpg"/>
    <s v="https://pbs.twimg.com/media/E_1U1pPVEAImP5O.jpg"/>
    <d v="2021-09-21T22:30:19.000"/>
    <d v="2021-09-21T00:00:00.000"/>
    <s v="22:30:19"/>
    <s v="https://twitter.com/feregio74/status/1440443299249078273"/>
    <m/>
    <m/>
    <s v="1440443299249078273"/>
    <m/>
    <b v="0"/>
    <n v="0"/>
    <s v=""/>
    <b v="0"/>
    <s v="es"/>
    <m/>
    <s v=""/>
    <b v="0"/>
    <n v="36"/>
    <s v="1440400738719440904"/>
    <s v="Twitter for Android"/>
    <b v="0"/>
    <s v="1440400738719440904"/>
    <s v="Tweet"/>
    <n v="0"/>
    <n v="0"/>
    <m/>
    <m/>
    <m/>
    <m/>
    <m/>
    <m/>
    <m/>
    <m/>
    <n v="1"/>
    <s v="1"/>
    <s v="1"/>
    <n v="0"/>
    <n v="0"/>
    <n v="0"/>
    <n v="0"/>
    <n v="0"/>
    <n v="0"/>
    <n v="38"/>
    <n v="100"/>
    <n v="38"/>
  </r>
  <r>
    <s v="alexcarreonmty"/>
    <s v="nelvaldez"/>
    <s v="192, 192, 192"/>
    <n v="5"/>
    <m/>
    <n v="40"/>
    <m/>
    <m/>
    <m/>
    <m/>
    <s v="No"/>
    <n v="178"/>
    <m/>
    <m/>
    <s v="Retweet"/>
    <x v="113"/>
    <s v="Tremenda fotografía de EL PAÍS donde se aprecia al guardia fronterizo a caballo usando un látigo contra los haitianos que intentan cruzar la frontera._x000a__x000a_Los propios haitianos mencionaron a un reportero &quot;Biden nos trata como animales&quot;_x000a__x000a_#Haiti #CaravanaMigrante https://t.co/n7TD4zrKwN"/>
    <m/>
    <m/>
    <s v="haiti caravanamigrante"/>
    <s v="https://pbs.twimg.com/media/E_1U1pPVEAImP5O.jpg"/>
    <s v="https://pbs.twimg.com/media/E_1U1pPVEAImP5O.jpg"/>
    <d v="2021-09-21T22:31:28.000"/>
    <d v="2021-09-21T00:00:00.000"/>
    <s v="22:31:28"/>
    <s v="https://twitter.com/alexcarreonmty/status/1440443590899953667"/>
    <m/>
    <m/>
    <s v="1440443590899953667"/>
    <m/>
    <b v="0"/>
    <n v="0"/>
    <s v=""/>
    <b v="0"/>
    <s v="es"/>
    <m/>
    <s v=""/>
    <b v="0"/>
    <n v="36"/>
    <s v="1440400738719440904"/>
    <s v="Twitter for Android"/>
    <b v="0"/>
    <s v="1440400738719440904"/>
    <s v="Tweet"/>
    <n v="0"/>
    <n v="0"/>
    <m/>
    <m/>
    <m/>
    <m/>
    <m/>
    <m/>
    <m/>
    <m/>
    <n v="1"/>
    <s v="1"/>
    <s v="1"/>
    <n v="0"/>
    <n v="0"/>
    <n v="0"/>
    <n v="0"/>
    <n v="0"/>
    <n v="0"/>
    <n v="38"/>
    <n v="100"/>
    <n v="38"/>
  </r>
  <r>
    <s v="gosimai"/>
    <s v="inami_mx"/>
    <s v="192, 192, 192"/>
    <n v="5"/>
    <m/>
    <n v="40"/>
    <m/>
    <m/>
    <m/>
    <m/>
    <s v="No"/>
    <n v="179"/>
    <m/>
    <m/>
    <s v="MentionsInRetweet"/>
    <x v="114"/>
    <s v="120 #migrantes de #Haití que llegaron a la frontera norte de #México en la #caravanamigrante fueron llevados a Chiapas por el @INAMI_mx https://t.co/04D83tFwEy"/>
    <s v="https://www.ejecentral.com.mx/inm-lleva-a-120-migrantes-a-chiapas-haitianos-siguen-llegando-al-norte/"/>
    <s v="com.mx"/>
    <s v="migrantes haití méxico caravanamigrante"/>
    <m/>
    <s v="https://pbs.twimg.com/profile_images/1284062633193361408/tq3LZYSY_normal.jpg"/>
    <d v="2021-09-21T22:35:54.000"/>
    <d v="2021-09-21T00:00:00.000"/>
    <s v="22:35:54"/>
    <s v="https://twitter.com/gosimai/status/1440444705360072719"/>
    <m/>
    <m/>
    <s v="1440444705360072719"/>
    <m/>
    <b v="0"/>
    <n v="0"/>
    <s v=""/>
    <b v="0"/>
    <s v="es"/>
    <m/>
    <s v=""/>
    <b v="0"/>
    <n v="1"/>
    <s v="1440438437618716677"/>
    <s v="Twitter Web App"/>
    <b v="0"/>
    <s v="1440438437618716677"/>
    <s v="Tweet"/>
    <n v="0"/>
    <n v="0"/>
    <m/>
    <m/>
    <m/>
    <m/>
    <m/>
    <m/>
    <m/>
    <m/>
    <n v="1"/>
    <s v="2"/>
    <s v="2"/>
    <m/>
    <m/>
    <m/>
    <m/>
    <m/>
    <m/>
    <m/>
    <m/>
    <m/>
  </r>
  <r>
    <s v="samantha_ortg"/>
    <s v="nelvaldez"/>
    <s v="192, 192, 192"/>
    <n v="5"/>
    <m/>
    <n v="40"/>
    <m/>
    <m/>
    <m/>
    <m/>
    <s v="No"/>
    <n v="181"/>
    <m/>
    <m/>
    <s v="Retweet"/>
    <x v="115"/>
    <s v="Tremenda fotografía de EL PAÍS donde se aprecia al guardia fronterizo a caballo usando un látigo contra los haitianos que intentan cruzar la frontera._x000a__x000a_Los propios haitianos mencionaron a un reportero &quot;Biden nos trata como animales&quot;_x000a__x000a_#Haiti #CaravanaMigrante https://t.co/n7TD4zrKwN"/>
    <m/>
    <m/>
    <s v="haiti caravanamigrante"/>
    <s v="https://pbs.twimg.com/media/E_1U1pPVEAImP5O.jpg"/>
    <s v="https://pbs.twimg.com/media/E_1U1pPVEAImP5O.jpg"/>
    <d v="2021-09-21T22:36:39.000"/>
    <d v="2021-09-21T00:00:00.000"/>
    <s v="22:36:39"/>
    <s v="https://twitter.com/samantha_ortg/status/1440444892719706119"/>
    <m/>
    <m/>
    <s v="1440444892719706119"/>
    <m/>
    <b v="0"/>
    <n v="0"/>
    <s v=""/>
    <b v="0"/>
    <s v="es"/>
    <m/>
    <s v=""/>
    <b v="0"/>
    <n v="36"/>
    <s v="1440400738719440904"/>
    <s v="Twitter for Android"/>
    <b v="0"/>
    <s v="1440400738719440904"/>
    <s v="Tweet"/>
    <n v="0"/>
    <n v="0"/>
    <m/>
    <m/>
    <m/>
    <m/>
    <m/>
    <m/>
    <m/>
    <m/>
    <n v="1"/>
    <s v="1"/>
    <s v="1"/>
    <n v="0"/>
    <n v="0"/>
    <n v="0"/>
    <n v="0"/>
    <n v="0"/>
    <n v="0"/>
    <n v="38"/>
    <n v="100"/>
    <n v="38"/>
  </r>
  <r>
    <s v="alitasibarita"/>
    <s v="nelvaldez"/>
    <s v="192, 192, 192"/>
    <n v="5"/>
    <m/>
    <n v="40"/>
    <m/>
    <m/>
    <m/>
    <m/>
    <s v="No"/>
    <n v="182"/>
    <m/>
    <m/>
    <s v="Retweet"/>
    <x v="116"/>
    <s v="Tremenda fotografía de EL PAÍS donde se aprecia al guardia fronterizo a caballo usando un látigo contra los haitianos que intentan cruzar la frontera._x000a__x000a_Los propios haitianos mencionaron a un reportero &quot;Biden nos trata como animales&quot;_x000a__x000a_#Haiti #CaravanaMigrante https://t.co/n7TD4zrKwN"/>
    <m/>
    <m/>
    <s v="haiti caravanamigrante"/>
    <s v="https://pbs.twimg.com/media/E_1U1pPVEAImP5O.jpg"/>
    <s v="https://pbs.twimg.com/media/E_1U1pPVEAImP5O.jpg"/>
    <d v="2021-09-21T23:09:47.000"/>
    <d v="2021-09-21T00:00:00.000"/>
    <s v="23:09:47"/>
    <s v="https://twitter.com/alitasibarita/status/1440453231499362318"/>
    <m/>
    <m/>
    <s v="1440453231499362318"/>
    <m/>
    <b v="0"/>
    <n v="0"/>
    <s v=""/>
    <b v="0"/>
    <s v="es"/>
    <m/>
    <s v=""/>
    <b v="0"/>
    <n v="36"/>
    <s v="1440400738719440904"/>
    <s v="Twitter for iPhone"/>
    <b v="0"/>
    <s v="1440400738719440904"/>
    <s v="Tweet"/>
    <n v="0"/>
    <n v="0"/>
    <m/>
    <m/>
    <m/>
    <m/>
    <m/>
    <m/>
    <m/>
    <m/>
    <n v="1"/>
    <s v="1"/>
    <s v="1"/>
    <n v="0"/>
    <n v="0"/>
    <n v="0"/>
    <n v="0"/>
    <n v="0"/>
    <n v="0"/>
    <n v="38"/>
    <n v="100"/>
    <n v="38"/>
  </r>
  <r>
    <s v="mikk_hdz"/>
    <s v="nelvaldez"/>
    <s v="192, 192, 192"/>
    <n v="5"/>
    <m/>
    <n v="40"/>
    <m/>
    <m/>
    <m/>
    <m/>
    <s v="No"/>
    <n v="183"/>
    <m/>
    <m/>
    <s v="Retweet"/>
    <x v="117"/>
    <s v="Tremenda fotografía de EL PAÍS donde se aprecia al guardia fronterizo a caballo usando un látigo contra los haitianos que intentan cruzar la frontera._x000a__x000a_Los propios haitianos mencionaron a un reportero &quot;Biden nos trata como animales&quot;_x000a__x000a_#Haiti #CaravanaMigrante https://t.co/n7TD4zrKwN"/>
    <m/>
    <m/>
    <s v="haiti caravanamigrante"/>
    <s v="https://pbs.twimg.com/media/E_1U1pPVEAImP5O.jpg"/>
    <s v="https://pbs.twimg.com/media/E_1U1pPVEAImP5O.jpg"/>
    <d v="2021-09-21T23:41:55.000"/>
    <d v="2021-09-21T00:00:00.000"/>
    <s v="23:41:55"/>
    <s v="https://twitter.com/mikk_hdz/status/1440461318704693263"/>
    <m/>
    <m/>
    <s v="1440461318704693263"/>
    <m/>
    <b v="0"/>
    <n v="0"/>
    <s v=""/>
    <b v="0"/>
    <s v="es"/>
    <m/>
    <s v=""/>
    <b v="0"/>
    <n v="36"/>
    <s v="1440400738719440904"/>
    <s v="Twitter for Android"/>
    <b v="0"/>
    <s v="1440400738719440904"/>
    <s v="Tweet"/>
    <n v="0"/>
    <n v="0"/>
    <m/>
    <m/>
    <m/>
    <m/>
    <m/>
    <m/>
    <m/>
    <m/>
    <n v="1"/>
    <s v="1"/>
    <s v="1"/>
    <n v="0"/>
    <n v="0"/>
    <n v="0"/>
    <n v="0"/>
    <n v="0"/>
    <n v="0"/>
    <n v="38"/>
    <n v="100"/>
    <n v="38"/>
  </r>
  <r>
    <s v="jesuscuatra"/>
    <s v="nelvaldez"/>
    <s v="192, 192, 192"/>
    <n v="5"/>
    <m/>
    <n v="40"/>
    <m/>
    <m/>
    <m/>
    <m/>
    <s v="No"/>
    <n v="184"/>
    <m/>
    <m/>
    <s v="Retweet"/>
    <x v="118"/>
    <s v="Tremenda fotografía de EL PAÍS donde se aprecia al guardia fronterizo a caballo usando un látigo contra los haitianos que intentan cruzar la frontera._x000a__x000a_Los propios haitianos mencionaron a un reportero &quot;Biden nos trata como animales&quot;_x000a__x000a_#Haiti #CaravanaMigrante https://t.co/n7TD4zrKwN"/>
    <m/>
    <m/>
    <s v="haiti caravanamigrante"/>
    <s v="https://pbs.twimg.com/media/E_1U1pPVEAImP5O.jpg"/>
    <s v="https://pbs.twimg.com/media/E_1U1pPVEAImP5O.jpg"/>
    <d v="2021-09-22T00:05:56.000"/>
    <d v="2021-09-22T00:00:00.000"/>
    <s v="00:05:56"/>
    <s v="https://twitter.com/jesuscuatra/status/1440467362105348097"/>
    <m/>
    <m/>
    <s v="1440467362105348097"/>
    <m/>
    <b v="0"/>
    <n v="0"/>
    <s v=""/>
    <b v="0"/>
    <s v="es"/>
    <m/>
    <s v=""/>
    <b v="0"/>
    <n v="36"/>
    <s v="1440400738719440904"/>
    <s v="Twitter for Android"/>
    <b v="0"/>
    <s v="1440400738719440904"/>
    <s v="Tweet"/>
    <n v="0"/>
    <n v="0"/>
    <m/>
    <m/>
    <m/>
    <m/>
    <m/>
    <m/>
    <m/>
    <m/>
    <n v="1"/>
    <s v="1"/>
    <s v="1"/>
    <n v="0"/>
    <n v="0"/>
    <n v="0"/>
    <n v="0"/>
    <n v="0"/>
    <n v="0"/>
    <n v="38"/>
    <n v="100"/>
    <n v="38"/>
  </r>
  <r>
    <s v="uca97mx"/>
    <s v="nelvaldez"/>
    <s v="192, 192, 192"/>
    <n v="5"/>
    <m/>
    <n v="40"/>
    <m/>
    <m/>
    <m/>
    <m/>
    <s v="No"/>
    <n v="185"/>
    <m/>
    <m/>
    <s v="Retweet"/>
    <x v="119"/>
    <s v="Tremenda fotografía de EL PAÍS donde se aprecia al guardia fronterizo a caballo usando un látigo contra los haitianos que intentan cruzar la frontera._x000a__x000a_Los propios haitianos mencionaron a un reportero &quot;Biden nos trata como animales&quot;_x000a__x000a_#Haiti #CaravanaMigrante https://t.co/n7TD4zrKwN"/>
    <m/>
    <m/>
    <s v="haiti caravanamigrante"/>
    <s v="https://pbs.twimg.com/media/E_1U1pPVEAImP5O.jpg"/>
    <s v="https://pbs.twimg.com/media/E_1U1pPVEAImP5O.jpg"/>
    <d v="2021-09-22T00:14:06.000"/>
    <d v="2021-09-22T00:00:00.000"/>
    <s v="00:14:06"/>
    <s v="https://twitter.com/uca97mx/status/1440469417977024519"/>
    <m/>
    <m/>
    <s v="1440469417977024519"/>
    <m/>
    <b v="0"/>
    <n v="0"/>
    <s v=""/>
    <b v="0"/>
    <s v="es"/>
    <m/>
    <s v=""/>
    <b v="0"/>
    <n v="36"/>
    <s v="1440400738719440904"/>
    <s v="Twitter Web App"/>
    <b v="0"/>
    <s v="1440400738719440904"/>
    <s v="Tweet"/>
    <n v="0"/>
    <n v="0"/>
    <m/>
    <m/>
    <m/>
    <m/>
    <m/>
    <m/>
    <m/>
    <m/>
    <n v="1"/>
    <s v="1"/>
    <s v="1"/>
    <n v="0"/>
    <n v="0"/>
    <n v="0"/>
    <n v="0"/>
    <n v="0"/>
    <n v="0"/>
    <n v="38"/>
    <n v="100"/>
    <n v="38"/>
  </r>
  <r>
    <s v="comunicador2022"/>
    <s v="inami_mx"/>
    <s v="192, 192, 192"/>
    <n v="5"/>
    <m/>
    <n v="40"/>
    <m/>
    <m/>
    <m/>
    <m/>
    <s v="No"/>
    <n v="186"/>
    <m/>
    <m/>
    <s v="MentionsInRetweet"/>
    <x v="120"/>
    <s v=".@INAMI_mx envió a #Chiapas, por avión, a 120 #migrantes originarios de #Haití que formaron parte de la #CaravanaMigrante que llegó durante la semana y el pasado fin de semana a Acuña, en la frontera con Del Río, Texas._x000a__x000a_https://t.co/biPBr8C9hS"/>
    <s v="https://www.jornada.com.mx/notas/2021/09/21/estados/inm-envia-por-avion-a-120-haitianos-a-chiapas-desde-coahuila/"/>
    <s v="com.mx"/>
    <s v="chiapas migrantes haití caravanamigrante"/>
    <m/>
    <s v="https://pbs.twimg.com/profile_images/992220591993344000/6xxLmGxD_normal.jpg"/>
    <d v="2021-09-22T00:37:09.000"/>
    <d v="2021-09-22T00:00:00.000"/>
    <s v="00:37:09"/>
    <s v="https://twitter.com/comunicador2022/status/1440475219672530947"/>
    <m/>
    <m/>
    <s v="1440475219672530947"/>
    <m/>
    <b v="0"/>
    <n v="0"/>
    <s v=""/>
    <b v="0"/>
    <s v="es"/>
    <m/>
    <s v=""/>
    <b v="0"/>
    <n v="6"/>
    <s v="1440391314235822089"/>
    <s v="Twitter for Android"/>
    <b v="0"/>
    <s v="1440391314235822089"/>
    <s v="Tweet"/>
    <n v="0"/>
    <n v="0"/>
    <m/>
    <m/>
    <m/>
    <m/>
    <m/>
    <m/>
    <m/>
    <m/>
    <n v="1"/>
    <s v="2"/>
    <s v="2"/>
    <m/>
    <m/>
    <m/>
    <m/>
    <m/>
    <m/>
    <m/>
    <m/>
    <m/>
  </r>
  <r>
    <s v="lajornadaonline"/>
    <s v="inami_mx"/>
    <s v="192, 192, 192"/>
    <n v="5"/>
    <m/>
    <n v="40"/>
    <m/>
    <m/>
    <m/>
    <m/>
    <s v="No"/>
    <n v="188"/>
    <m/>
    <m/>
    <s v="Mentions"/>
    <x v="121"/>
    <s v=".@INAMI_mx envió a #Chiapas, por avión, a 120 #migrantes originarios de #Haití que formaron parte de la #CaravanaMigrante que llegó durante la semana y el pasado fin de semana a Acuña, en la frontera con Del Río, Texas._x000a__x000a_https://t.co/biPBr8C9hS"/>
    <s v="https://www.jornada.com.mx/notas/2021/09/21/estados/inm-envia-por-avion-a-120-haitianos-a-chiapas-desde-coahuila/"/>
    <s v="com.mx"/>
    <s v="chiapas migrantes haití caravanamigrante"/>
    <m/>
    <s v="https://pbs.twimg.com/profile_images/588503723002834944/95acWEsy_normal.jpg"/>
    <d v="2021-09-21T19:03:45.000"/>
    <d v="2021-09-21T00:00:00.000"/>
    <s v="19:03:45"/>
    <s v="https://twitter.com/lajornadaonline/status/1440391314235822089"/>
    <m/>
    <m/>
    <s v="1440391314235822089"/>
    <m/>
    <b v="0"/>
    <n v="19"/>
    <s v=""/>
    <b v="0"/>
    <s v="es"/>
    <m/>
    <s v=""/>
    <b v="0"/>
    <n v="6"/>
    <s v=""/>
    <s v="TweetDeck"/>
    <b v="0"/>
    <s v="1440391314235822089"/>
    <s v="Tweet"/>
    <n v="0"/>
    <n v="0"/>
    <m/>
    <m/>
    <m/>
    <m/>
    <m/>
    <m/>
    <m/>
    <m/>
    <n v="1"/>
    <s v="2"/>
    <s v="2"/>
    <n v="0"/>
    <n v="0"/>
    <n v="0"/>
    <n v="0"/>
    <n v="0"/>
    <n v="0"/>
    <n v="38"/>
    <n v="100"/>
    <n v="38"/>
  </r>
  <r>
    <s v="thegreatceir"/>
    <s v="lajornadaonline"/>
    <s v="192, 192, 192"/>
    <n v="5"/>
    <m/>
    <n v="40"/>
    <m/>
    <m/>
    <m/>
    <m/>
    <s v="No"/>
    <n v="189"/>
    <m/>
    <m/>
    <s v="Retweet"/>
    <x v="122"/>
    <s v=".@INAMI_mx envió a #Chiapas, por avión, a 120 #migrantes originarios de #Haití que formaron parte de la #CaravanaMigrante que llegó durante la semana y el pasado fin de semana a Acuña, en la frontera con Del Río, Texas._x000a__x000a_https://t.co/biPBr8C9hS"/>
    <s v="https://www.jornada.com.mx/notas/2021/09/21/estados/inm-envia-por-avion-a-120-haitianos-a-chiapas-desde-coahuila/"/>
    <s v="com.mx"/>
    <s v="chiapas migrantes haití caravanamigrante"/>
    <m/>
    <s v="https://pbs.twimg.com/profile_images/1236124521561829377/lbfyINMX_normal.jpg"/>
    <d v="2021-09-22T01:56:05.000"/>
    <d v="2021-09-22T00:00:00.000"/>
    <s v="01:56:05"/>
    <s v="https://twitter.com/thegreatceir/status/1440495083522957314"/>
    <m/>
    <m/>
    <s v="1440495083522957314"/>
    <m/>
    <b v="0"/>
    <n v="0"/>
    <s v=""/>
    <b v="0"/>
    <s v="es"/>
    <m/>
    <s v=""/>
    <b v="0"/>
    <n v="6"/>
    <s v="1440391314235822089"/>
    <s v="Twitter for Android"/>
    <b v="0"/>
    <s v="1440391314235822089"/>
    <s v="Tweet"/>
    <n v="0"/>
    <n v="0"/>
    <m/>
    <m/>
    <m/>
    <m/>
    <m/>
    <m/>
    <m/>
    <m/>
    <n v="1"/>
    <s v="2"/>
    <s v="2"/>
    <m/>
    <m/>
    <m/>
    <m/>
    <m/>
    <m/>
    <m/>
    <m/>
    <m/>
  </r>
  <r>
    <s v="nancygrdz"/>
    <s v="nelvaldez"/>
    <s v="192, 192, 192"/>
    <n v="5"/>
    <m/>
    <n v="40"/>
    <m/>
    <m/>
    <m/>
    <m/>
    <s v="No"/>
    <n v="191"/>
    <m/>
    <m/>
    <s v="Retweet"/>
    <x v="123"/>
    <s v="Tremenda fotografía de EL PAÍS donde se aprecia al guardia fronterizo a caballo usando un látigo contra los haitianos que intentan cruzar la frontera._x000a__x000a_Los propios haitianos mencionaron a un reportero &quot;Biden nos trata como animales&quot;_x000a__x000a_#Haiti #CaravanaMigrante https://t.co/n7TD4zrKwN"/>
    <m/>
    <m/>
    <s v="haiti caravanamigrante"/>
    <s v="https://pbs.twimg.com/media/E_1U1pPVEAImP5O.jpg"/>
    <s v="https://pbs.twimg.com/media/E_1U1pPVEAImP5O.jpg"/>
    <d v="2021-09-22T02:05:43.000"/>
    <d v="2021-09-22T00:00:00.000"/>
    <s v="02:05:43"/>
    <s v="https://twitter.com/nancygrdz/status/1440497508262633472"/>
    <m/>
    <m/>
    <s v="1440497508262633472"/>
    <m/>
    <b v="0"/>
    <n v="0"/>
    <s v=""/>
    <b v="0"/>
    <s v="es"/>
    <m/>
    <s v=""/>
    <b v="0"/>
    <n v="36"/>
    <s v="1440400738719440904"/>
    <s v="Twitter for Android"/>
    <b v="0"/>
    <s v="1440400738719440904"/>
    <s v="Tweet"/>
    <n v="0"/>
    <n v="0"/>
    <m/>
    <m/>
    <m/>
    <m/>
    <m/>
    <m/>
    <m/>
    <m/>
    <n v="1"/>
    <s v="1"/>
    <s v="1"/>
    <n v="0"/>
    <n v="0"/>
    <n v="0"/>
    <n v="0"/>
    <n v="0"/>
    <n v="0"/>
    <n v="38"/>
    <n v="100"/>
    <n v="38"/>
  </r>
  <r>
    <s v="argelmoren"/>
    <s v="nelvaldez"/>
    <s v="192, 192, 192"/>
    <n v="5"/>
    <m/>
    <n v="40"/>
    <m/>
    <m/>
    <m/>
    <m/>
    <s v="No"/>
    <n v="192"/>
    <m/>
    <m/>
    <s v="Retweet"/>
    <x v="124"/>
    <s v="Tremenda fotografía de EL PAÍS donde se aprecia al guardia fronterizo a caballo usando un látigo contra los haitianos que intentan cruzar la frontera._x000a__x000a_Los propios haitianos mencionaron a un reportero &quot;Biden nos trata como animales&quot;_x000a__x000a_#Haiti #CaravanaMigrante https://t.co/n7TD4zrKwN"/>
    <m/>
    <m/>
    <s v="haiti caravanamigrante"/>
    <s v="https://pbs.twimg.com/media/E_1U1pPVEAImP5O.jpg"/>
    <s v="https://pbs.twimg.com/media/E_1U1pPVEAImP5O.jpg"/>
    <d v="2021-09-22T03:22:34.000"/>
    <d v="2021-09-22T00:00:00.000"/>
    <s v="03:22:34"/>
    <s v="https://twitter.com/argelmoren/status/1440516846831038474"/>
    <m/>
    <m/>
    <s v="1440516846831038474"/>
    <m/>
    <b v="0"/>
    <n v="0"/>
    <s v=""/>
    <b v="0"/>
    <s v="es"/>
    <m/>
    <s v=""/>
    <b v="0"/>
    <n v="36"/>
    <s v="1440400738719440904"/>
    <s v="Twitter for Android"/>
    <b v="0"/>
    <s v="1440400738719440904"/>
    <s v="Tweet"/>
    <n v="0"/>
    <n v="0"/>
    <m/>
    <m/>
    <m/>
    <m/>
    <m/>
    <m/>
    <m/>
    <m/>
    <n v="1"/>
    <s v="1"/>
    <s v="1"/>
    <n v="0"/>
    <n v="0"/>
    <n v="0"/>
    <n v="0"/>
    <n v="0"/>
    <n v="0"/>
    <n v="38"/>
    <n v="100"/>
    <n v="38"/>
  </r>
  <r>
    <s v="febl"/>
    <s v="nelvaldez"/>
    <s v="192, 192, 192"/>
    <n v="5"/>
    <m/>
    <n v="40"/>
    <m/>
    <m/>
    <m/>
    <m/>
    <s v="No"/>
    <n v="193"/>
    <m/>
    <m/>
    <s v="Retweet"/>
    <x v="125"/>
    <s v="Tremenda fotografía de EL PAÍS donde se aprecia al guardia fronterizo a caballo usando un látigo contra los haitianos que intentan cruzar la frontera._x000a__x000a_Los propios haitianos mencionaron a un reportero &quot;Biden nos trata como animales&quot;_x000a__x000a_#Haiti #CaravanaMigrante https://t.co/n7TD4zrKwN"/>
    <m/>
    <m/>
    <s v="haiti caravanamigrante"/>
    <s v="https://pbs.twimg.com/media/E_1U1pPVEAImP5O.jpg"/>
    <s v="https://pbs.twimg.com/media/E_1U1pPVEAImP5O.jpg"/>
    <d v="2021-09-22T04:14:06.000"/>
    <d v="2021-09-22T00:00:00.000"/>
    <s v="04:14:06"/>
    <s v="https://twitter.com/febl/status/1440529817766555649"/>
    <m/>
    <m/>
    <s v="1440529817766555649"/>
    <m/>
    <b v="0"/>
    <n v="0"/>
    <s v=""/>
    <b v="0"/>
    <s v="es"/>
    <m/>
    <s v=""/>
    <b v="0"/>
    <n v="36"/>
    <s v="1440400738719440904"/>
    <s v="Twitter for iPhone"/>
    <b v="0"/>
    <s v="1440400738719440904"/>
    <s v="Tweet"/>
    <n v="0"/>
    <n v="0"/>
    <m/>
    <m/>
    <m/>
    <m/>
    <m/>
    <m/>
    <m/>
    <m/>
    <n v="1"/>
    <s v="1"/>
    <s v="1"/>
    <n v="0"/>
    <n v="0"/>
    <n v="0"/>
    <n v="0"/>
    <n v="0"/>
    <n v="0"/>
    <n v="38"/>
    <n v="100"/>
    <n v="38"/>
  </r>
  <r>
    <s v="jan_aguileram"/>
    <s v="giffmx"/>
    <s v="192, 192, 192"/>
    <n v="5"/>
    <m/>
    <n v="40"/>
    <m/>
    <m/>
    <m/>
    <m/>
    <s v="No"/>
    <n v="194"/>
    <m/>
    <m/>
    <s v="MentionsInRetweet"/>
    <x v="126"/>
    <s v="Ayer vivimos nuestro estreno mundial en el @giffmx   ¡Gracias a todos los que nos acompañaron! #loquequedaenelcamino #giff #migración #caravanamigrante #guatemala #cine #documental https://t.co/HAAJonSA3e"/>
    <m/>
    <m/>
    <s v="loquequedaenelcamino giff migración caravanamigrante guatemala cine documental"/>
    <s v="https://pbs.twimg.com/media/E_1Ow97UUAYV0Is.jpg"/>
    <s v="https://pbs.twimg.com/media/E_1Ow97UUAYV0Is.jpg"/>
    <d v="2021-09-22T04:49:00.000"/>
    <d v="2021-09-22T00:00:00.000"/>
    <s v="04:49:00"/>
    <s v="https://twitter.com/jan_aguileram/status/1440538598973980680"/>
    <m/>
    <m/>
    <s v="1440538598973980680"/>
    <m/>
    <b v="0"/>
    <n v="0"/>
    <s v=""/>
    <b v="0"/>
    <s v="es"/>
    <m/>
    <s v=""/>
    <b v="0"/>
    <n v="3"/>
    <s v="1440394370226667525"/>
    <s v="Twitter for iPhone"/>
    <b v="0"/>
    <s v="1440394370226667525"/>
    <s v="Tweet"/>
    <n v="0"/>
    <n v="0"/>
    <m/>
    <m/>
    <m/>
    <m/>
    <m/>
    <m/>
    <m/>
    <m/>
    <n v="1"/>
    <s v="7"/>
    <s v="7"/>
    <m/>
    <m/>
    <m/>
    <m/>
    <m/>
    <m/>
    <m/>
    <m/>
    <m/>
  </r>
  <r>
    <s v="caracas0057"/>
    <s v="nelvaldez"/>
    <s v="192, 192, 192"/>
    <n v="5"/>
    <m/>
    <n v="40"/>
    <m/>
    <m/>
    <m/>
    <m/>
    <s v="No"/>
    <n v="196"/>
    <m/>
    <m/>
    <s v="Retweet"/>
    <x v="127"/>
    <s v="Tremenda fotografía de EL PAÍS donde se aprecia al guardia fronterizo a caballo usando un látigo contra los haitianos que intentan cruzar la frontera._x000a__x000a_Los propios haitianos mencionaron a un reportero &quot;Biden nos trata como animales&quot;_x000a__x000a_#Haiti #CaravanaMigrante https://t.co/n7TD4zrKwN"/>
    <m/>
    <m/>
    <s v="haiti caravanamigrante"/>
    <s v="https://pbs.twimg.com/media/E_1U1pPVEAImP5O.jpg"/>
    <s v="https://pbs.twimg.com/media/E_1U1pPVEAImP5O.jpg"/>
    <d v="2021-09-22T04:58:47.000"/>
    <d v="2021-09-22T00:00:00.000"/>
    <s v="04:58:47"/>
    <s v="https://twitter.com/caracas0057/status/1440541062267740163"/>
    <m/>
    <m/>
    <s v="1440541062267740163"/>
    <m/>
    <b v="0"/>
    <n v="0"/>
    <s v=""/>
    <b v="0"/>
    <s v="es"/>
    <m/>
    <s v=""/>
    <b v="0"/>
    <n v="36"/>
    <s v="1440400738719440904"/>
    <s v="Twitter for Android"/>
    <b v="0"/>
    <s v="1440400738719440904"/>
    <s v="Tweet"/>
    <n v="0"/>
    <n v="0"/>
    <m/>
    <m/>
    <m/>
    <m/>
    <m/>
    <m/>
    <m/>
    <m/>
    <n v="1"/>
    <s v="1"/>
    <s v="1"/>
    <n v="0"/>
    <n v="0"/>
    <n v="0"/>
    <n v="0"/>
    <n v="0"/>
    <n v="0"/>
    <n v="38"/>
    <n v="100"/>
    <n v="38"/>
  </r>
  <r>
    <s v="victorvola"/>
    <s v="nelvaldez"/>
    <s v="192, 192, 192"/>
    <n v="5"/>
    <m/>
    <n v="40"/>
    <m/>
    <m/>
    <m/>
    <m/>
    <s v="No"/>
    <n v="197"/>
    <m/>
    <m/>
    <s v="Retweet"/>
    <x v="128"/>
    <s v="Tremenda fotografía de EL PAÍS donde se aprecia al guardia fronterizo a caballo usando un látigo contra los haitianos que intentan cruzar la frontera._x000a__x000a_Los propios haitianos mencionaron a un reportero &quot;Biden nos trata como animales&quot;_x000a__x000a_#Haiti #CaravanaMigrante https://t.co/n7TD4zrKwN"/>
    <m/>
    <m/>
    <s v="haiti caravanamigrante"/>
    <s v="https://pbs.twimg.com/media/E_1U1pPVEAImP5O.jpg"/>
    <s v="https://pbs.twimg.com/media/E_1U1pPVEAImP5O.jpg"/>
    <d v="2021-09-22T05:31:31.000"/>
    <d v="2021-09-22T00:00:00.000"/>
    <s v="05:31:31"/>
    <s v="https://twitter.com/victorvola/status/1440549299348140035"/>
    <m/>
    <m/>
    <s v="1440549299348140035"/>
    <m/>
    <b v="0"/>
    <n v="0"/>
    <s v=""/>
    <b v="0"/>
    <s v="es"/>
    <m/>
    <s v=""/>
    <b v="0"/>
    <n v="36"/>
    <s v="1440400738719440904"/>
    <s v="Twitter for Android"/>
    <b v="0"/>
    <s v="1440400738719440904"/>
    <s v="Tweet"/>
    <n v="0"/>
    <n v="0"/>
    <m/>
    <m/>
    <m/>
    <m/>
    <m/>
    <m/>
    <m/>
    <m/>
    <n v="1"/>
    <s v="1"/>
    <s v="1"/>
    <n v="0"/>
    <n v="0"/>
    <n v="0"/>
    <n v="0"/>
    <n v="0"/>
    <n v="0"/>
    <n v="38"/>
    <n v="100"/>
    <n v="38"/>
  </r>
  <r>
    <s v="voyagercosmic85"/>
    <s v="nelvaldez"/>
    <s v="192, 192, 192"/>
    <n v="5"/>
    <m/>
    <n v="40"/>
    <m/>
    <m/>
    <m/>
    <m/>
    <s v="No"/>
    <n v="198"/>
    <m/>
    <m/>
    <s v="Retweet"/>
    <x v="129"/>
    <s v="Tremenda fotografía de EL PAÍS donde se aprecia al guardia fronterizo a caballo usando un látigo contra los haitianos que intentan cruzar la frontera._x000a__x000a_Los propios haitianos mencionaron a un reportero &quot;Biden nos trata como animales&quot;_x000a__x000a_#Haiti #CaravanaMigrante https://t.co/n7TD4zrKwN"/>
    <m/>
    <m/>
    <s v="haiti caravanamigrante"/>
    <s v="https://pbs.twimg.com/media/E_1U1pPVEAImP5O.jpg"/>
    <s v="https://pbs.twimg.com/media/E_1U1pPVEAImP5O.jpg"/>
    <d v="2021-09-22T06:04:05.000"/>
    <d v="2021-09-22T00:00:00.000"/>
    <s v="06:04:05"/>
    <s v="https://twitter.com/voyagercosmic85/status/1440557495370407941"/>
    <m/>
    <m/>
    <s v="1440557495370407941"/>
    <m/>
    <b v="0"/>
    <n v="0"/>
    <s v=""/>
    <b v="0"/>
    <s v="es"/>
    <m/>
    <s v=""/>
    <b v="0"/>
    <n v="36"/>
    <s v="1440400738719440904"/>
    <s v="Twitter for Android"/>
    <b v="0"/>
    <s v="1440400738719440904"/>
    <s v="Tweet"/>
    <n v="0"/>
    <n v="0"/>
    <m/>
    <m/>
    <m/>
    <m/>
    <m/>
    <m/>
    <m/>
    <m/>
    <n v="1"/>
    <s v="1"/>
    <s v="1"/>
    <n v="0"/>
    <n v="0"/>
    <n v="0"/>
    <n v="0"/>
    <n v="0"/>
    <n v="0"/>
    <n v="38"/>
    <n v="100"/>
    <n v="38"/>
  </r>
  <r>
    <s v="_riverasergio"/>
    <s v="nelvaldez"/>
    <s v="192, 192, 192"/>
    <n v="5"/>
    <m/>
    <n v="40"/>
    <m/>
    <m/>
    <m/>
    <m/>
    <s v="No"/>
    <n v="199"/>
    <m/>
    <m/>
    <s v="Retweet"/>
    <x v="130"/>
    <s v="Tremenda fotografía de EL PAÍS donde se aprecia al guardia fronterizo a caballo usando un látigo contra los haitianos que intentan cruzar la frontera._x000a__x000a_Los propios haitianos mencionaron a un reportero &quot;Biden nos trata como animales&quot;_x000a__x000a_#Haiti #CaravanaMigrante https://t.co/n7TD4zrKwN"/>
    <m/>
    <m/>
    <s v="haiti caravanamigrante"/>
    <s v="https://pbs.twimg.com/media/E_1U1pPVEAImP5O.jpg"/>
    <s v="https://pbs.twimg.com/media/E_1U1pPVEAImP5O.jpg"/>
    <d v="2021-09-22T06:19:19.000"/>
    <d v="2021-09-22T00:00:00.000"/>
    <s v="06:19:19"/>
    <s v="https://twitter.com/_riverasergio/status/1440561329320775682"/>
    <m/>
    <m/>
    <s v="1440561329320775682"/>
    <m/>
    <b v="0"/>
    <n v="0"/>
    <s v=""/>
    <b v="0"/>
    <s v="es"/>
    <m/>
    <s v=""/>
    <b v="0"/>
    <n v="36"/>
    <s v="1440400738719440904"/>
    <s v="Twitter for Android"/>
    <b v="0"/>
    <s v="1440400738719440904"/>
    <s v="Tweet"/>
    <n v="0"/>
    <n v="0"/>
    <m/>
    <m/>
    <m/>
    <m/>
    <m/>
    <m/>
    <m/>
    <m/>
    <n v="1"/>
    <s v="1"/>
    <s v="1"/>
    <n v="0"/>
    <n v="0"/>
    <n v="0"/>
    <n v="0"/>
    <n v="0"/>
    <n v="0"/>
    <n v="38"/>
    <n v="100"/>
    <n v="38"/>
  </r>
  <r>
    <s v="juanocanasr"/>
    <s v="nelvaldez"/>
    <s v="192, 192, 192"/>
    <n v="5"/>
    <m/>
    <n v="40"/>
    <m/>
    <m/>
    <m/>
    <m/>
    <s v="No"/>
    <n v="200"/>
    <m/>
    <m/>
    <s v="Retweet"/>
    <x v="131"/>
    <s v="Tremenda fotografía de EL PAÍS donde se aprecia al guardia fronterizo a caballo usando un látigo contra los haitianos que intentan cruzar la frontera._x000a__x000a_Los propios haitianos mencionaron a un reportero &quot;Biden nos trata como animales&quot;_x000a__x000a_#Haiti #CaravanaMigrante https://t.co/n7TD4zrKwN"/>
    <m/>
    <m/>
    <s v="haiti caravanamigrante"/>
    <s v="https://pbs.twimg.com/media/E_1U1pPVEAImP5O.jpg"/>
    <s v="https://pbs.twimg.com/media/E_1U1pPVEAImP5O.jpg"/>
    <d v="2021-09-22T06:25:27.000"/>
    <d v="2021-09-22T00:00:00.000"/>
    <s v="06:25:27"/>
    <s v="https://twitter.com/juanocanasr/status/1440562871897755648"/>
    <m/>
    <m/>
    <s v="1440562871897755648"/>
    <m/>
    <b v="0"/>
    <n v="0"/>
    <s v=""/>
    <b v="0"/>
    <s v="es"/>
    <m/>
    <s v=""/>
    <b v="0"/>
    <n v="36"/>
    <s v="1440400738719440904"/>
    <s v="Twitter for iPhone"/>
    <b v="0"/>
    <s v="1440400738719440904"/>
    <s v="Tweet"/>
    <n v="0"/>
    <n v="0"/>
    <m/>
    <m/>
    <m/>
    <m/>
    <m/>
    <m/>
    <m/>
    <m/>
    <n v="1"/>
    <s v="1"/>
    <s v="1"/>
    <n v="0"/>
    <n v="0"/>
    <n v="0"/>
    <n v="0"/>
    <n v="0"/>
    <n v="0"/>
    <n v="38"/>
    <n v="100"/>
    <n v="38"/>
  </r>
  <r>
    <s v="ejecentral"/>
    <s v="inami_mx"/>
    <s v="Gray"/>
    <n v="10"/>
    <m/>
    <n v="20"/>
    <m/>
    <m/>
    <m/>
    <m/>
    <s v="No"/>
    <n v="201"/>
    <m/>
    <m/>
    <s v="Mentions"/>
    <x v="132"/>
    <s v="120 #migrantes de #Haití que llegaron a la frontera norte de #México en la #caravanamigrante fueron llevados a Chiapas por el @INAMI_mx https://t.co/04D83tFwEy"/>
    <s v="https://www.ejecentral.com.mx/inm-lleva-a-120-migrantes-a-chiapas-haitianos-siguen-llegando-al-norte/"/>
    <s v="com.mx"/>
    <s v="migrantes haití méxico caravanamigrante"/>
    <m/>
    <s v="https://pbs.twimg.com/profile_images/1440508109965783041/weHvwUbF_normal.jpg"/>
    <d v="2021-09-21T22:11:00.000"/>
    <d v="2021-09-21T00:00:00.000"/>
    <s v="22:11:00"/>
    <s v="https://twitter.com/ejecentral/status/1440438437618716677"/>
    <m/>
    <m/>
    <s v="1440438437618716677"/>
    <m/>
    <b v="0"/>
    <n v="3"/>
    <s v=""/>
    <b v="0"/>
    <s v="es"/>
    <m/>
    <s v=""/>
    <b v="0"/>
    <n v="1"/>
    <s v=""/>
    <s v="TweetDeck"/>
    <b v="0"/>
    <s v="1440438437618716677"/>
    <s v="Tweet"/>
    <n v="0"/>
    <n v="0"/>
    <m/>
    <m/>
    <m/>
    <m/>
    <m/>
    <m/>
    <m/>
    <m/>
    <n v="4"/>
    <s v="2"/>
    <s v="2"/>
    <n v="0"/>
    <n v="0"/>
    <n v="0"/>
    <n v="0"/>
    <n v="0"/>
    <n v="0"/>
    <n v="22"/>
    <n v="100"/>
    <n v="22"/>
  </r>
  <r>
    <s v="ejecentral"/>
    <s v="inami_mx"/>
    <s v="Gray"/>
    <n v="10"/>
    <m/>
    <n v="20"/>
    <m/>
    <m/>
    <m/>
    <m/>
    <s v="No"/>
    <n v="202"/>
    <m/>
    <m/>
    <s v="Mentions"/>
    <x v="133"/>
    <s v="120 #migrantes de #Haití que llegaron a la frontera norte de #México en la #caravanamigrante fueron llevados a Chiapas por el @INAMI_mx https://t.co/arEQJx3UZT"/>
    <s v="https://cutt.ly/IEhgLyr"/>
    <s v="cutt.ly"/>
    <s v="migrantes haití méxico caravanamigrante"/>
    <m/>
    <s v="https://pbs.twimg.com/profile_images/1440508109965783041/weHvwUbF_normal.jpg"/>
    <d v="2021-09-22T11:41:00.000"/>
    <d v="2021-09-22T00:00:00.000"/>
    <s v="11:41:00"/>
    <s v="https://twitter.com/ejecentral/status/1440642280998666251"/>
    <m/>
    <m/>
    <s v="1440642280998666251"/>
    <m/>
    <b v="0"/>
    <n v="2"/>
    <s v=""/>
    <b v="0"/>
    <s v="es"/>
    <m/>
    <s v=""/>
    <b v="0"/>
    <n v="0"/>
    <s v=""/>
    <s v="TweetDeck"/>
    <b v="0"/>
    <s v="1440642280998666251"/>
    <s v="Tweet"/>
    <n v="0"/>
    <n v="0"/>
    <m/>
    <m/>
    <m/>
    <m/>
    <m/>
    <m/>
    <m/>
    <m/>
    <n v="4"/>
    <s v="2"/>
    <s v="2"/>
    <n v="0"/>
    <n v="0"/>
    <n v="0"/>
    <n v="0"/>
    <n v="0"/>
    <n v="0"/>
    <n v="22"/>
    <n v="100"/>
    <n v="22"/>
  </r>
  <r>
    <s v="ferdapartida"/>
    <s v="inami_mx"/>
    <s v="192, 192, 192"/>
    <n v="5"/>
    <m/>
    <n v="40"/>
    <m/>
    <m/>
    <m/>
    <m/>
    <s v="No"/>
    <n v="203"/>
    <m/>
    <m/>
    <s v="MentionsInRetweet"/>
    <x v="134"/>
    <s v="Un salvoconducto por 20 días está otorgando el @GobiernoMX por medio del @INAMI_mx, a personas que han llegado a #TuxtlaGutiérrez procedentes principalmente de #Haití. #CaravanaMigrante https://t.co/5SsgItFE7z"/>
    <m/>
    <m/>
    <s v="tuxtlagutiérrez haití caravanamigrante"/>
    <s v="https://pbs.twimg.com/ext_tw_video_thumb/1440152056862441476/pu/img/RypVaHbX_jWL8ylr.jpg"/>
    <s v="https://pbs.twimg.com/ext_tw_video_thumb/1440152056862441476/pu/img/RypVaHbX_jWL8ylr.jpg"/>
    <d v="2021-09-22T14:19:38.000"/>
    <d v="2021-09-22T00:00:00.000"/>
    <s v="14:19:38"/>
    <s v="https://twitter.com/ferdapartida/status/1440682205047504913"/>
    <m/>
    <m/>
    <s v="1440682205047504913"/>
    <m/>
    <b v="0"/>
    <n v="0"/>
    <s v=""/>
    <b v="0"/>
    <s v="es"/>
    <m/>
    <s v=""/>
    <b v="0"/>
    <n v="13"/>
    <s v="1440152719369539592"/>
    <s v="Twitter Web App"/>
    <b v="0"/>
    <s v="1440152719369539592"/>
    <s v="Tweet"/>
    <n v="0"/>
    <n v="0"/>
    <m/>
    <m/>
    <m/>
    <m/>
    <m/>
    <m/>
    <m/>
    <m/>
    <n v="1"/>
    <s v="2"/>
    <s v="2"/>
    <m/>
    <m/>
    <m/>
    <m/>
    <m/>
    <m/>
    <m/>
    <m/>
    <m/>
  </r>
  <r>
    <s v="cusaru68"/>
    <s v="inami_mx"/>
    <s v="192, 192, 192"/>
    <n v="5"/>
    <m/>
    <n v="40"/>
    <m/>
    <m/>
    <m/>
    <m/>
    <s v="No"/>
    <n v="206"/>
    <m/>
    <m/>
    <s v="MentionsInRetweet"/>
    <x v="135"/>
    <s v="Un salvoconducto por 20 días está otorgando el @GobiernoMX por medio del @INAMI_mx, a personas que han llegado a #TuxtlaGutiérrez procedentes principalmente de #Haití. #CaravanaMigrante https://t.co/5SsgItFE7z"/>
    <m/>
    <m/>
    <s v="tuxtlagutiérrez haití caravanamigrante"/>
    <s v="https://pbs.twimg.com/ext_tw_video_thumb/1440152056862441476/pu/img/RypVaHbX_jWL8ylr.jpg"/>
    <s v="https://pbs.twimg.com/ext_tw_video_thumb/1440152056862441476/pu/img/RypVaHbX_jWL8ylr.jpg"/>
    <d v="2021-09-22T14:20:44.000"/>
    <d v="2021-09-22T00:00:00.000"/>
    <s v="14:20:44"/>
    <s v="https://twitter.com/cusaru68/status/1440682478008627202"/>
    <m/>
    <m/>
    <s v="1440682478008627202"/>
    <m/>
    <b v="0"/>
    <n v="0"/>
    <s v=""/>
    <b v="0"/>
    <s v="es"/>
    <m/>
    <s v=""/>
    <b v="0"/>
    <n v="13"/>
    <s v="1440152719369539592"/>
    <s v="Twitter for iPhone"/>
    <b v="0"/>
    <s v="1440152719369539592"/>
    <s v="Tweet"/>
    <n v="0"/>
    <n v="0"/>
    <m/>
    <m/>
    <m/>
    <m/>
    <m/>
    <m/>
    <m/>
    <m/>
    <n v="1"/>
    <s v="2"/>
    <s v="2"/>
    <m/>
    <m/>
    <m/>
    <m/>
    <m/>
    <m/>
    <m/>
    <m/>
    <m/>
  </r>
  <r>
    <s v="eliszpta"/>
    <s v="inami_mx"/>
    <s v="192, 192, 192"/>
    <n v="5"/>
    <m/>
    <n v="40"/>
    <m/>
    <m/>
    <m/>
    <m/>
    <s v="No"/>
    <n v="209"/>
    <m/>
    <m/>
    <s v="MentionsInRetweet"/>
    <x v="136"/>
    <s v="Un salvoconducto por 20 días está otorgando el @GobiernoMX por medio del @INAMI_mx, a personas que han llegado a #TuxtlaGutiérrez procedentes principalmente de #Haití. #CaravanaMigrante https://t.co/5SsgItFE7z"/>
    <m/>
    <m/>
    <s v="tuxtlagutiérrez haití caravanamigrante"/>
    <s v="https://pbs.twimg.com/ext_tw_video_thumb/1440152056862441476/pu/img/RypVaHbX_jWL8ylr.jpg"/>
    <s v="https://pbs.twimg.com/ext_tw_video_thumb/1440152056862441476/pu/img/RypVaHbX_jWL8ylr.jpg"/>
    <d v="2021-09-22T14:22:34.000"/>
    <d v="2021-09-22T00:00:00.000"/>
    <s v="14:22:34"/>
    <s v="https://twitter.com/eliszpta/status/1440682943563792398"/>
    <m/>
    <m/>
    <s v="1440682943563792398"/>
    <m/>
    <b v="0"/>
    <n v="0"/>
    <s v=""/>
    <b v="0"/>
    <s v="es"/>
    <m/>
    <s v=""/>
    <b v="0"/>
    <n v="13"/>
    <s v="1440152719369539592"/>
    <s v="Twitter for Android"/>
    <b v="0"/>
    <s v="1440152719369539592"/>
    <s v="Tweet"/>
    <n v="0"/>
    <n v="0"/>
    <m/>
    <m/>
    <m/>
    <m/>
    <m/>
    <m/>
    <m/>
    <m/>
    <n v="1"/>
    <s v="2"/>
    <s v="2"/>
    <m/>
    <m/>
    <m/>
    <m/>
    <m/>
    <m/>
    <m/>
    <m/>
    <m/>
  </r>
  <r>
    <s v="monroygar"/>
    <s v="inami_mx"/>
    <s v="192, 192, 192"/>
    <n v="5"/>
    <m/>
    <n v="40"/>
    <m/>
    <m/>
    <m/>
    <m/>
    <s v="No"/>
    <n v="212"/>
    <m/>
    <m/>
    <s v="MentionsInRetweet"/>
    <x v="137"/>
    <s v="Un salvoconducto por 20 días está otorgando el @GobiernoMX por medio del @INAMI_mx, a personas que han llegado a #TuxtlaGutiérrez procedentes principalmente de #Haití. #CaravanaMigrante https://t.co/5SsgItFE7z"/>
    <m/>
    <m/>
    <s v="tuxtlagutiérrez haití caravanamigrante"/>
    <s v="https://pbs.twimg.com/ext_tw_video_thumb/1440152056862441476/pu/img/RypVaHbX_jWL8ylr.jpg"/>
    <s v="https://pbs.twimg.com/ext_tw_video_thumb/1440152056862441476/pu/img/RypVaHbX_jWL8ylr.jpg"/>
    <d v="2021-09-22T14:36:55.000"/>
    <d v="2021-09-22T00:00:00.000"/>
    <s v="14:36:55"/>
    <s v="https://twitter.com/monroygar/status/1440686552934326289"/>
    <m/>
    <m/>
    <s v="1440686552934326289"/>
    <m/>
    <b v="0"/>
    <n v="0"/>
    <s v=""/>
    <b v="0"/>
    <s v="es"/>
    <m/>
    <s v=""/>
    <b v="0"/>
    <n v="13"/>
    <s v="1440152719369539592"/>
    <s v="Twitter for Android"/>
    <b v="0"/>
    <s v="1440152719369539592"/>
    <s v="Tweet"/>
    <n v="0"/>
    <n v="0"/>
    <m/>
    <m/>
    <m/>
    <m/>
    <m/>
    <m/>
    <m/>
    <m/>
    <n v="1"/>
    <s v="2"/>
    <s v="2"/>
    <m/>
    <m/>
    <m/>
    <m/>
    <m/>
    <m/>
    <m/>
    <m/>
    <m/>
  </r>
  <r>
    <s v="vdmmty"/>
    <s v="inami_mx"/>
    <s v="192, 192, 192"/>
    <n v="5"/>
    <m/>
    <n v="40"/>
    <m/>
    <m/>
    <m/>
    <m/>
    <s v="No"/>
    <n v="215"/>
    <m/>
    <m/>
    <s v="MentionsInRetweet"/>
    <x v="138"/>
    <s v="Un salvoconducto por 20 días está otorgando el @GobiernoMX por medio del @INAMI_mx, a personas que han llegado a #TuxtlaGutiérrez procedentes principalmente de #Haití. #CaravanaMigrante https://t.co/5SsgItFE7z"/>
    <m/>
    <m/>
    <s v="tuxtlagutiérrez haití caravanamigrante"/>
    <s v="https://pbs.twimg.com/ext_tw_video_thumb/1440152056862441476/pu/img/RypVaHbX_jWL8ylr.jpg"/>
    <s v="https://pbs.twimg.com/ext_tw_video_thumb/1440152056862441476/pu/img/RypVaHbX_jWL8ylr.jpg"/>
    <d v="2021-09-22T14:49:00.000"/>
    <d v="2021-09-22T00:00:00.000"/>
    <s v="14:49:00"/>
    <s v="https://twitter.com/vdmmty/status/1440689594073161735"/>
    <m/>
    <m/>
    <s v="1440689594073161735"/>
    <m/>
    <b v="0"/>
    <n v="0"/>
    <s v=""/>
    <b v="0"/>
    <s v="es"/>
    <m/>
    <s v=""/>
    <b v="0"/>
    <n v="13"/>
    <s v="1440152719369539592"/>
    <s v="Twitter Web App"/>
    <b v="0"/>
    <s v="1440152719369539592"/>
    <s v="Tweet"/>
    <n v="0"/>
    <n v="0"/>
    <m/>
    <m/>
    <m/>
    <m/>
    <m/>
    <m/>
    <m/>
    <m/>
    <n v="1"/>
    <s v="2"/>
    <s v="2"/>
    <m/>
    <m/>
    <m/>
    <m/>
    <m/>
    <m/>
    <m/>
    <m/>
    <m/>
  </r>
  <r>
    <s v="javierffrankie1"/>
    <s v="inami_mx"/>
    <s v="192, 192, 192"/>
    <n v="5"/>
    <m/>
    <n v="40"/>
    <m/>
    <m/>
    <m/>
    <m/>
    <s v="No"/>
    <n v="218"/>
    <m/>
    <m/>
    <s v="MentionsInRetweet"/>
    <x v="139"/>
    <s v="Un salvoconducto por 20 días está otorgando el @GobiernoMX por medio del @INAMI_mx, a personas que han llegado a #TuxtlaGutiérrez procedentes principalmente de #Haití. #CaravanaMigrante https://t.co/5SsgItFE7z"/>
    <m/>
    <m/>
    <s v="tuxtlagutiérrez haití caravanamigrante"/>
    <s v="https://pbs.twimg.com/ext_tw_video_thumb/1440152056862441476/pu/img/RypVaHbX_jWL8ylr.jpg"/>
    <s v="https://pbs.twimg.com/ext_tw_video_thumb/1440152056862441476/pu/img/RypVaHbX_jWL8ylr.jpg"/>
    <d v="2021-09-22T15:09:39.000"/>
    <d v="2021-09-22T00:00:00.000"/>
    <s v="15:09:39"/>
    <s v="https://twitter.com/javierffrankie1/status/1440694789914054659"/>
    <m/>
    <m/>
    <s v="1440694789914054659"/>
    <m/>
    <b v="0"/>
    <n v="0"/>
    <s v=""/>
    <b v="0"/>
    <s v="es"/>
    <m/>
    <s v=""/>
    <b v="0"/>
    <n v="13"/>
    <s v="1440152719369539592"/>
    <s v="Twitter for Android"/>
    <b v="0"/>
    <s v="1440152719369539592"/>
    <s v="Tweet"/>
    <n v="0"/>
    <n v="0"/>
    <m/>
    <m/>
    <m/>
    <m/>
    <m/>
    <m/>
    <m/>
    <m/>
    <n v="1"/>
    <s v="2"/>
    <s v="2"/>
    <m/>
    <m/>
    <m/>
    <m/>
    <m/>
    <m/>
    <m/>
    <m/>
    <m/>
  </r>
  <r>
    <s v="nelvaldez"/>
    <s v="nelvaldez"/>
    <s v="192, 192, 192"/>
    <n v="5"/>
    <m/>
    <n v="40"/>
    <m/>
    <m/>
    <m/>
    <m/>
    <s v="No"/>
    <n v="221"/>
    <m/>
    <m/>
    <s v="Tweet"/>
    <x v="140"/>
    <s v="Tremenda fotografía de EL PAÍS donde se aprecia al guardia fronterizo a caballo usando un látigo contra los haitianos que intentan cruzar la frontera._x000a__x000a_Los propios haitianos mencionaron a un reportero &quot;Biden nos trata como animales&quot;_x000a__x000a_#Haiti #CaravanaMigrante https://t.co/n7TD4zrKwN"/>
    <m/>
    <m/>
    <s v="haiti caravanamigrante"/>
    <s v="https://pbs.twimg.com/media/E_1U1pPVEAImP5O.jpg"/>
    <s v="https://pbs.twimg.com/media/E_1U1pPVEAImP5O.jpg"/>
    <d v="2021-09-21T19:41:12.000"/>
    <d v="2021-09-21T00:00:00.000"/>
    <s v="19:41:12"/>
    <s v="https://twitter.com/nelvaldez/status/1440400738719440904"/>
    <m/>
    <m/>
    <s v="1440400738719440904"/>
    <m/>
    <b v="0"/>
    <n v="156"/>
    <s v=""/>
    <b v="0"/>
    <s v="es"/>
    <m/>
    <s v=""/>
    <b v="0"/>
    <n v="36"/>
    <s v=""/>
    <s v="Twitter for Android"/>
    <b v="0"/>
    <s v="1440400738719440904"/>
    <s v="Tweet"/>
    <n v="0"/>
    <n v="0"/>
    <m/>
    <m/>
    <m/>
    <m/>
    <m/>
    <m/>
    <m/>
    <m/>
    <n v="1"/>
    <s v="1"/>
    <s v="1"/>
    <n v="0"/>
    <n v="0"/>
    <n v="0"/>
    <n v="0"/>
    <n v="0"/>
    <n v="0"/>
    <n v="38"/>
    <n v="100"/>
    <n v="38"/>
  </r>
  <r>
    <s v="libraryadd"/>
    <s v="nelvaldez"/>
    <s v="192, 192, 192"/>
    <n v="5"/>
    <m/>
    <n v="40"/>
    <m/>
    <m/>
    <m/>
    <m/>
    <s v="No"/>
    <n v="222"/>
    <m/>
    <m/>
    <s v="Retweet"/>
    <x v="141"/>
    <s v="Tremenda fotografía de EL PAÍS donde se aprecia al guardia fronterizo a caballo usando un látigo contra los haitianos que intentan cruzar la frontera._x000a__x000a_Los propios haitianos mencionaron a un reportero &quot;Biden nos trata como animales&quot;_x000a__x000a_#Haiti #CaravanaMigrante https://t.co/n7TD4zrKwN"/>
    <m/>
    <m/>
    <s v="haiti caravanamigrante"/>
    <s v="https://pbs.twimg.com/media/E_1U1pPVEAImP5O.jpg"/>
    <s v="https://pbs.twimg.com/media/E_1U1pPVEAImP5O.jpg"/>
    <d v="2021-09-22T15:20:15.000"/>
    <d v="2021-09-22T00:00:00.000"/>
    <s v="15:20:15"/>
    <s v="https://twitter.com/libraryadd/status/1440697458019889163"/>
    <m/>
    <m/>
    <s v="1440697458019889163"/>
    <m/>
    <b v="0"/>
    <n v="0"/>
    <s v=""/>
    <b v="0"/>
    <s v="es"/>
    <m/>
    <s v=""/>
    <b v="0"/>
    <n v="36"/>
    <s v="1440400738719440904"/>
    <s v="Twitter for Android"/>
    <b v="0"/>
    <s v="1440400738719440904"/>
    <s v="Tweet"/>
    <n v="0"/>
    <n v="0"/>
    <m/>
    <m/>
    <m/>
    <m/>
    <m/>
    <m/>
    <m/>
    <m/>
    <n v="1"/>
    <s v="1"/>
    <s v="1"/>
    <n v="0"/>
    <n v="0"/>
    <n v="0"/>
    <n v="0"/>
    <n v="0"/>
    <n v="0"/>
    <n v="38"/>
    <n v="100"/>
    <n v="38"/>
  </r>
  <r>
    <s v="itelloarista"/>
    <s v="elbagutierrez"/>
    <s v="192, 192, 192"/>
    <n v="5"/>
    <m/>
    <n v="40"/>
    <m/>
    <m/>
    <m/>
    <m/>
    <s v="No"/>
    <n v="223"/>
    <m/>
    <m/>
    <s v="Retweet"/>
    <x v="142"/>
    <s v="Aprovechando la empatía por la #CaravanaMigrante, algunas precisiones legales (ya sé, qué floreja) de suma importancia para entender el fenómeno de movilidad y por qué es tan pinche en nuestro país:"/>
    <m/>
    <m/>
    <s v="caravanamigrante"/>
    <m/>
    <s v="https://pbs.twimg.com/profile_images/1388140533160218631/iPyqHAgQ_normal.jpg"/>
    <d v="2021-09-22T17:18:42.000"/>
    <d v="2021-09-22T00:00:00.000"/>
    <s v="17:18:42"/>
    <s v="https://twitter.com/itelloarista/status/1440727265583632396"/>
    <m/>
    <m/>
    <s v="1440727265583632396"/>
    <m/>
    <b v="0"/>
    <n v="0"/>
    <s v=""/>
    <b v="0"/>
    <s v="es"/>
    <m/>
    <s v=""/>
    <b v="0"/>
    <n v="20"/>
    <s v="1054483977690640385"/>
    <s v="Twitter Web App"/>
    <b v="0"/>
    <s v="1054483977690640385"/>
    <s v="Tweet"/>
    <n v="0"/>
    <n v="0"/>
    <m/>
    <m/>
    <m/>
    <m/>
    <m/>
    <m/>
    <m/>
    <m/>
    <n v="1"/>
    <s v="14"/>
    <s v="14"/>
    <n v="0"/>
    <n v="0"/>
    <n v="0"/>
    <n v="0"/>
    <n v="0"/>
    <n v="0"/>
    <n v="31"/>
    <n v="100"/>
    <n v="31"/>
  </r>
  <r>
    <s v="c1frankietheone"/>
    <s v="inami_mx"/>
    <s v="192, 192, 192"/>
    <n v="5"/>
    <m/>
    <n v="40"/>
    <m/>
    <m/>
    <m/>
    <m/>
    <s v="No"/>
    <n v="224"/>
    <m/>
    <m/>
    <s v="MentionsInRetweet"/>
    <x v="143"/>
    <s v="Un salvoconducto por 20 días está otorgando el @GobiernoMX por medio del @INAMI_mx, a personas que han llegado a #TuxtlaGutiérrez procedentes principalmente de #Haití. #CaravanaMigrante https://t.co/5SsgItFE7z"/>
    <m/>
    <m/>
    <s v="tuxtlagutiérrez haití caravanamigrante"/>
    <s v="https://pbs.twimg.com/ext_tw_video_thumb/1440152056862441476/pu/img/RypVaHbX_jWL8ylr.jpg"/>
    <s v="https://pbs.twimg.com/ext_tw_video_thumb/1440152056862441476/pu/img/RypVaHbX_jWL8ylr.jpg"/>
    <d v="2021-09-22T17:57:02.000"/>
    <d v="2021-09-22T00:00:00.000"/>
    <s v="17:57:02"/>
    <s v="https://twitter.com/c1frankietheone/status/1440736911933337607"/>
    <m/>
    <m/>
    <s v="1440736911933337607"/>
    <m/>
    <b v="0"/>
    <n v="0"/>
    <s v=""/>
    <b v="0"/>
    <s v="es"/>
    <m/>
    <s v=""/>
    <b v="0"/>
    <n v="13"/>
    <s v="1440152719369539592"/>
    <s v="Twitter for Android"/>
    <b v="0"/>
    <s v="1440152719369539592"/>
    <s v="Tweet"/>
    <n v="0"/>
    <n v="0"/>
    <m/>
    <m/>
    <m/>
    <m/>
    <m/>
    <m/>
    <m/>
    <m/>
    <n v="1"/>
    <s v="2"/>
    <s v="2"/>
    <m/>
    <m/>
    <m/>
    <m/>
    <m/>
    <m/>
    <m/>
    <m/>
    <m/>
  </r>
  <r>
    <s v="borgestom"/>
    <s v="cartoncamacho"/>
    <s v="192, 192, 192"/>
    <n v="5"/>
    <m/>
    <n v="40"/>
    <m/>
    <m/>
    <m/>
    <m/>
    <s v="No"/>
    <n v="227"/>
    <m/>
    <m/>
    <s v="Mentions"/>
    <x v="144"/>
    <s v="@temoris @CartonCamacho Si las fronteras no fueran necesarias, no existirían!_x000a__x000a_La #Migracion irregular es un mal que aqueja a #Mexico desde hace lustros, aunado a las #CaravanaMigrante que so pretexto de ir a #EEUU quedan varados en #Mexico donde terminan exigiendo lo que en sus países no hicieron"/>
    <m/>
    <m/>
    <s v="migracion mexico caravanamigrante eeuu mexico"/>
    <m/>
    <s v="https://pbs.twimg.com/profile_images/1322362861243518976/g_uFwOm__normal.jpg"/>
    <d v="2021-09-23T01:33:01.000"/>
    <d v="2021-09-23T00:00:00.000"/>
    <s v="01:33:01"/>
    <s v="https://twitter.com/borgestom/status/1440851665301745664"/>
    <m/>
    <m/>
    <s v="1440851665301745664"/>
    <s v="1440800357022457864"/>
    <b v="0"/>
    <n v="0"/>
    <s v="46904887"/>
    <b v="0"/>
    <s v="es"/>
    <m/>
    <s v=""/>
    <b v="0"/>
    <n v="0"/>
    <s v=""/>
    <s v="Twitter for Android"/>
    <b v="0"/>
    <s v="1440800357022457864"/>
    <s v="Tweet"/>
    <n v="0"/>
    <n v="0"/>
    <m/>
    <m/>
    <m/>
    <m/>
    <m/>
    <m/>
    <m/>
    <m/>
    <n v="1"/>
    <s v="15"/>
    <s v="15"/>
    <m/>
    <m/>
    <m/>
    <m/>
    <m/>
    <m/>
    <m/>
    <m/>
    <m/>
  </r>
  <r>
    <s v="alertachiapas"/>
    <s v="gobiernomx"/>
    <s v="192, 192, 192"/>
    <n v="5"/>
    <m/>
    <n v="40"/>
    <m/>
    <m/>
    <m/>
    <m/>
    <s v="No"/>
    <n v="229"/>
    <m/>
    <m/>
    <s v="Mentions"/>
    <x v="145"/>
    <s v="Un salvoconducto por 20 días está otorgando el @GobiernoMX por medio del @INAMI_mx, a personas que han llegado a #TuxtlaGutiérrez procedentes principalmente de #Haití. #CaravanaMigrante https://t.co/5SsgItFE7z"/>
    <m/>
    <m/>
    <s v="tuxtlagutiérrez haití caravanamigrante"/>
    <s v="https://pbs.twimg.com/ext_tw_video_thumb/1440152056862441476/pu/img/RypVaHbX_jWL8ylr.jpg"/>
    <s v="https://pbs.twimg.com/ext_tw_video_thumb/1440152056862441476/pu/img/RypVaHbX_jWL8ylr.jpg"/>
    <d v="2021-09-21T03:15:39.000"/>
    <d v="2021-09-21T00:00:00.000"/>
    <s v="03:15:39"/>
    <s v="https://twitter.com/alertachiapas/status/1440152719369539592"/>
    <m/>
    <m/>
    <s v="1440152719369539592"/>
    <m/>
    <b v="0"/>
    <n v="32"/>
    <s v=""/>
    <b v="0"/>
    <s v="es"/>
    <m/>
    <s v=""/>
    <b v="0"/>
    <n v="13"/>
    <s v=""/>
    <s v="Twitter for Android"/>
    <b v="0"/>
    <s v="1440152719369539592"/>
    <s v="Tweet"/>
    <n v="0"/>
    <n v="0"/>
    <m/>
    <m/>
    <m/>
    <m/>
    <m/>
    <m/>
    <m/>
    <m/>
    <n v="1"/>
    <s v="2"/>
    <s v="2"/>
    <m/>
    <m/>
    <m/>
    <m/>
    <m/>
    <m/>
    <m/>
    <m/>
    <m/>
  </r>
  <r>
    <s v="atzihualibre"/>
    <s v="gobiernomx"/>
    <s v="192, 192, 192"/>
    <n v="5"/>
    <m/>
    <n v="40"/>
    <m/>
    <m/>
    <m/>
    <m/>
    <s v="No"/>
    <n v="230"/>
    <m/>
    <m/>
    <s v="MentionsInRetweet"/>
    <x v="146"/>
    <s v="Un salvoconducto por 20 días está otorgando el @GobiernoMX por medio del @INAMI_mx, a personas que han llegado a #TuxtlaGutiérrez procedentes principalmente de #Haití. #CaravanaMigrante https://t.co/5SsgItFE7z"/>
    <m/>
    <m/>
    <s v="tuxtlagutiérrez haití caravanamigrante"/>
    <s v="https://pbs.twimg.com/ext_tw_video_thumb/1440152056862441476/pu/img/RypVaHbX_jWL8ylr.jpg"/>
    <s v="https://pbs.twimg.com/ext_tw_video_thumb/1440152056862441476/pu/img/RypVaHbX_jWL8ylr.jpg"/>
    <d v="2021-09-23T02:46:01.000"/>
    <d v="2021-09-23T00:00:00.000"/>
    <s v="02:46:01"/>
    <s v="https://twitter.com/atzihualibre/status/1440870038110720002"/>
    <m/>
    <m/>
    <s v="1440870038110720002"/>
    <m/>
    <b v="0"/>
    <n v="0"/>
    <s v=""/>
    <b v="0"/>
    <s v="es"/>
    <m/>
    <s v=""/>
    <b v="0"/>
    <n v="13"/>
    <s v="1440152719369539592"/>
    <s v="Twitter for Android"/>
    <b v="0"/>
    <s v="1440152719369539592"/>
    <s v="Tweet"/>
    <n v="0"/>
    <n v="0"/>
    <m/>
    <m/>
    <m/>
    <m/>
    <m/>
    <m/>
    <m/>
    <m/>
    <n v="1"/>
    <s v="2"/>
    <s v="2"/>
    <m/>
    <m/>
    <m/>
    <m/>
    <m/>
    <m/>
    <m/>
    <m/>
    <m/>
  </r>
  <r>
    <s v="elbagutierrez"/>
    <s v="elbagutierrez"/>
    <s v="192, 192, 192"/>
    <n v="5"/>
    <m/>
    <n v="40"/>
    <m/>
    <m/>
    <m/>
    <m/>
    <s v="No"/>
    <n v="234"/>
    <m/>
    <m/>
    <s v="Tweet"/>
    <x v="147"/>
    <s v="Aprovechando la empatía por la #CaravanaMigrante, algunas precisiones legales (ya sé, qué floreja) de suma importancia para entender el fenómeno de movilidad y por qué es tan pinche en nuestro país:"/>
    <m/>
    <m/>
    <s v="caravanamigrante"/>
    <m/>
    <s v="https://pbs.twimg.com/profile_images/1392263503667417090/vvQ5zVr__normal.jpg"/>
    <d v="2018-10-22T21:25:46.000"/>
    <d v="2018-10-22T00:00:00.000"/>
    <s v="21:25:46"/>
    <s v="https://twitter.com/elbagutierrez/status/1054483977690640385"/>
    <m/>
    <m/>
    <s v="1054483977690640385"/>
    <m/>
    <b v="0"/>
    <n v="33"/>
    <s v=""/>
    <b v="0"/>
    <s v="es"/>
    <m/>
    <s v=""/>
    <b v="0"/>
    <n v="20"/>
    <s v=""/>
    <s v="Twitter Web Client"/>
    <b v="0"/>
    <s v="1054483977690640385"/>
    <s v="Retweet"/>
    <n v="0"/>
    <n v="0"/>
    <m/>
    <m/>
    <m/>
    <m/>
    <m/>
    <m/>
    <m/>
    <m/>
    <n v="1"/>
    <s v="14"/>
    <s v="14"/>
    <n v="0"/>
    <n v="0"/>
    <n v="0"/>
    <n v="0"/>
    <n v="0"/>
    <n v="0"/>
    <n v="31"/>
    <n v="100"/>
    <n v="31"/>
  </r>
  <r>
    <s v="jorgeluisveve"/>
    <s v="elbagutierrez"/>
    <s v="192, 192, 192"/>
    <n v="5"/>
    <m/>
    <n v="40"/>
    <m/>
    <m/>
    <m/>
    <m/>
    <s v="No"/>
    <n v="235"/>
    <m/>
    <m/>
    <s v="Retweet"/>
    <x v="148"/>
    <s v="Aprovechando la empatía por la #CaravanaMigrante, algunas precisiones legales (ya sé, qué floreja) de suma importancia para entender el fenómeno de movilidad y por qué es tan pinche en nuestro país:"/>
    <m/>
    <m/>
    <s v="caravanamigrante"/>
    <m/>
    <s v="https://pbs.twimg.com/profile_images/595768275432247296/7WbpMJpl_normal.jpg"/>
    <d v="2021-09-23T03:06:08.000"/>
    <d v="2021-09-23T00:00:00.000"/>
    <s v="03:06:08"/>
    <s v="https://twitter.com/jorgeluisveve/status/1440875098643251200"/>
    <m/>
    <m/>
    <s v="1440875098643251200"/>
    <m/>
    <b v="0"/>
    <n v="0"/>
    <s v=""/>
    <b v="0"/>
    <s v="es"/>
    <m/>
    <s v=""/>
    <b v="0"/>
    <n v="20"/>
    <s v="1054483977690640385"/>
    <s v="Twitter for Android"/>
    <b v="0"/>
    <s v="1054483977690640385"/>
    <s v="Tweet"/>
    <n v="0"/>
    <n v="0"/>
    <m/>
    <m/>
    <m/>
    <m/>
    <m/>
    <m/>
    <m/>
    <m/>
    <n v="1"/>
    <s v="14"/>
    <s v="14"/>
    <n v="0"/>
    <n v="0"/>
    <n v="0"/>
    <n v="0"/>
    <n v="0"/>
    <n v="0"/>
    <n v="31"/>
    <n v="100"/>
    <n v="31"/>
  </r>
  <r>
    <s v="tapabav"/>
    <s v="gn_mexico_"/>
    <s v="192, 192, 192"/>
    <n v="5"/>
    <m/>
    <n v="40"/>
    <m/>
    <m/>
    <m/>
    <m/>
    <s v="No"/>
    <n v="236"/>
    <m/>
    <m/>
    <s v="Mentions"/>
    <x v="149"/>
    <s v="La brutal cacería del @INAMI_mx y la @GN_MEXICO_ contra los migrantes que huyeron de su país y de #Tapachula en el sur de #Mexico donde les encarcelan sin acceso a documentos ni a trabajos. La #CaravanaMigrante ha mermado pero avanza hacia el norte 1/1 https://t.co/WLGGCRLYRo"/>
    <m/>
    <m/>
    <s v="tapachula mexico caravanamigrante"/>
    <s v="https://pbs.twimg.com/ext_tw_video_thumb/1432030611888349192/pu/img/MTbA1AjcWlX-SCUO.jpg"/>
    <s v="https://pbs.twimg.com/ext_tw_video_thumb/1432030611888349192/pu/img/MTbA1AjcWlX-SCUO.jpg"/>
    <d v="2021-08-29T17:21:50.000"/>
    <d v="2021-08-29T00:00:00.000"/>
    <s v="17:21:50"/>
    <s v="https://twitter.com/tapabav/status/1432030746986831881"/>
    <m/>
    <m/>
    <s v="1432030746986831881"/>
    <m/>
    <b v="0"/>
    <n v="3750"/>
    <s v=""/>
    <b v="0"/>
    <s v="es"/>
    <m/>
    <s v=""/>
    <b v="0"/>
    <n v="3041"/>
    <s v=""/>
    <s v="Twitter for iPhone"/>
    <b v="0"/>
    <s v="1432030746986831881"/>
    <s v="Retweet"/>
    <n v="0"/>
    <n v="0"/>
    <m/>
    <m/>
    <m/>
    <m/>
    <m/>
    <m/>
    <m/>
    <m/>
    <n v="1"/>
    <s v="5"/>
    <s v="5"/>
    <m/>
    <m/>
    <m/>
    <m/>
    <m/>
    <m/>
    <m/>
    <m/>
    <m/>
  </r>
  <r>
    <s v="rolobss1"/>
    <s v="gn_mexico_"/>
    <s v="192, 192, 192"/>
    <n v="5"/>
    <m/>
    <n v="40"/>
    <m/>
    <m/>
    <m/>
    <m/>
    <s v="No"/>
    <n v="237"/>
    <m/>
    <m/>
    <s v="MentionsInRetweet"/>
    <x v="150"/>
    <s v="La brutal cacería del @INAMI_mx y la @GN_MEXICO_ contra los migrantes que huyeron de su país y de #Tapachula en el sur de #Mexico donde les encarcelan sin acceso a documentos ni a trabajos. La #CaravanaMigrante ha mermado pero avanza hacia el norte 1/1 https://t.co/WLGGCRLYRo"/>
    <m/>
    <m/>
    <s v="tapachula mexico caravanamigrante"/>
    <s v="https://pbs.twimg.com/ext_tw_video_thumb/1432030611888349192/pu/img/MTbA1AjcWlX-SCUO.jpg"/>
    <s v="https://pbs.twimg.com/ext_tw_video_thumb/1432030611888349192/pu/img/MTbA1AjcWlX-SCUO.jpg"/>
    <d v="2021-09-23T04:21:32.000"/>
    <d v="2021-09-23T00:00:00.000"/>
    <s v="04:21:32"/>
    <s v="https://twitter.com/rolobss1/status/1440894072634347521"/>
    <m/>
    <m/>
    <s v="1440894072634347521"/>
    <m/>
    <b v="0"/>
    <n v="0"/>
    <s v=""/>
    <b v="0"/>
    <s v="es"/>
    <m/>
    <s v=""/>
    <b v="0"/>
    <n v="3041"/>
    <s v="1432030746986831881"/>
    <s v="Twitter Web App"/>
    <b v="0"/>
    <s v="1432030746986831881"/>
    <s v="Tweet"/>
    <n v="0"/>
    <n v="0"/>
    <m/>
    <m/>
    <m/>
    <m/>
    <m/>
    <m/>
    <m/>
    <m/>
    <n v="1"/>
    <s v="5"/>
    <s v="5"/>
    <m/>
    <m/>
    <m/>
    <m/>
    <m/>
    <m/>
    <m/>
    <m/>
    <m/>
  </r>
  <r>
    <s v="smolninalia"/>
    <s v="avispa_midia"/>
    <s v="192, 192, 192"/>
    <n v="5"/>
    <m/>
    <n v="40"/>
    <m/>
    <m/>
    <m/>
    <m/>
    <s v="No"/>
    <n v="241"/>
    <m/>
    <m/>
    <s v="Retweet"/>
    <x v="151"/>
    <s v="📌Durante las semanas previas, los colectivos han recabado testimonios de personas y familias con niñ@s pequeños que fueron detenidas durante los desplazamientos colectivos en el corredor de la costa pacífica._x000a_▶️ https://t.co/81AosRJeP8◀️_x000a_#CaravanaMigrante #Haiti #Haitianos"/>
    <s v="https://avispa.org/migrantes-buscan-rutas-alternativas-en-chiapas-autoridades-responden-con-violencia/"/>
    <s v="avispa.org"/>
    <s v="caravanamigrante haiti haitianos"/>
    <m/>
    <s v="https://pbs.twimg.com/profile_images/1437041251237380098/ngPLiPNE_normal.jpg"/>
    <d v="2021-09-23T21:46:28.000"/>
    <d v="2021-09-23T00:00:00.000"/>
    <s v="21:46:28"/>
    <s v="https://twitter.com/smolninalia/status/1441157039695171585"/>
    <m/>
    <m/>
    <s v="1441157039695171585"/>
    <m/>
    <b v="0"/>
    <n v="0"/>
    <s v=""/>
    <b v="0"/>
    <s v="es"/>
    <m/>
    <s v=""/>
    <b v="0"/>
    <n v="5"/>
    <s v="1441156166898176006"/>
    <s v="Twitter for Android"/>
    <b v="0"/>
    <s v="1441156166898176006"/>
    <s v="Tweet"/>
    <n v="0"/>
    <n v="0"/>
    <m/>
    <m/>
    <m/>
    <m/>
    <m/>
    <m/>
    <m/>
    <m/>
    <n v="1"/>
    <s v="8"/>
    <s v="8"/>
    <n v="0"/>
    <n v="0"/>
    <n v="0"/>
    <n v="0"/>
    <n v="0"/>
    <n v="0"/>
    <n v="34"/>
    <n v="100"/>
    <n v="34"/>
  </r>
  <r>
    <s v="algaraba8"/>
    <s v="avispa_midia"/>
    <s v="192, 192, 192"/>
    <n v="5"/>
    <m/>
    <n v="40"/>
    <m/>
    <m/>
    <m/>
    <m/>
    <s v="No"/>
    <n v="242"/>
    <m/>
    <m/>
    <s v="Retweet"/>
    <x v="152"/>
    <s v="📌Durante las semanas previas, los colectivos han recabado testimonios de personas y familias con niñ@s pequeños que fueron detenidas durante los desplazamientos colectivos en el corredor de la costa pacífica._x000a_▶️ https://t.co/81AosRJeP8◀️_x000a_#CaravanaMigrante #Haiti #Haitianos"/>
    <s v="https://avispa.org/migrantes-buscan-rutas-alternativas-en-chiapas-autoridades-responden-con-violencia/"/>
    <s v="avispa.org"/>
    <s v="caravanamigrante haiti haitianos"/>
    <m/>
    <s v="https://pbs.twimg.com/profile_images/1368568450608734221/4SGV_0vg_normal.jpg"/>
    <d v="2021-09-23T21:53:07.000"/>
    <d v="2021-09-23T00:00:00.000"/>
    <s v="21:53:07"/>
    <s v="https://twitter.com/algaraba8/status/1441158713406943234"/>
    <m/>
    <m/>
    <s v="1441158713406943234"/>
    <m/>
    <b v="0"/>
    <n v="0"/>
    <s v=""/>
    <b v="0"/>
    <s v="es"/>
    <m/>
    <s v=""/>
    <b v="0"/>
    <n v="5"/>
    <s v="1441156166898176006"/>
    <s v="Twitter for Android"/>
    <b v="0"/>
    <s v="1441156166898176006"/>
    <s v="Tweet"/>
    <n v="0"/>
    <n v="0"/>
    <m/>
    <m/>
    <m/>
    <m/>
    <m/>
    <m/>
    <m/>
    <m/>
    <n v="1"/>
    <s v="8"/>
    <s v="8"/>
    <n v="0"/>
    <n v="0"/>
    <n v="0"/>
    <n v="0"/>
    <n v="0"/>
    <n v="0"/>
    <n v="34"/>
    <n v="100"/>
    <n v="34"/>
  </r>
  <r>
    <s v="uriluisni"/>
    <s v="uriluisni"/>
    <s v="Gray"/>
    <n v="10"/>
    <m/>
    <n v="20"/>
    <m/>
    <m/>
    <m/>
    <m/>
    <s v="No"/>
    <n v="243"/>
    <m/>
    <m/>
    <s v="Tweet"/>
    <x v="153"/>
    <s v="una muestra para los que buscan el #suenoamericano _x000a_y no se les convierta en pesadilla #CaravanaMigrante _x000a_#FronteraSur #coyotes #crusingenbaños _x000a_#Mornings in #VeniceBeach: Hampton ave #Homeless  #encampment sweep https://t.co/vIegplV3l0 via #YouTube"/>
    <s v="https://www.youtube.com/watch?v=3RqhLdsLdeI&amp;feature=youtu.be"/>
    <s v="youtube.com"/>
    <s v="suenoamericano caravanamigrante fronterasur coyotes crusingenbaños mornings venicebeach homeless encampment youtube"/>
    <m/>
    <s v="https://pbs.twimg.com/profile_images/1403212760251441152/0cnwMyCP_normal.jpg"/>
    <d v="2021-09-17T18:47:41.000"/>
    <d v="2021-09-17T00:00:00.000"/>
    <s v="18:47:41"/>
    <s v="https://twitter.com/uriluisni/status/1438937719883776008"/>
    <m/>
    <m/>
    <s v="1438937719883776008"/>
    <m/>
    <b v="0"/>
    <n v="1"/>
    <s v=""/>
    <b v="0"/>
    <s v="es"/>
    <m/>
    <s v=""/>
    <b v="0"/>
    <n v="0"/>
    <s v=""/>
    <s v="Twitter Web App"/>
    <b v="0"/>
    <s v="1438937719883776008"/>
    <s v="Tweet"/>
    <n v="0"/>
    <n v="0"/>
    <m/>
    <m/>
    <m/>
    <m/>
    <m/>
    <m/>
    <m/>
    <m/>
    <n v="16"/>
    <s v="4"/>
    <s v="4"/>
    <n v="0"/>
    <n v="0"/>
    <n v="0"/>
    <n v="0"/>
    <n v="0"/>
    <n v="0"/>
    <n v="29"/>
    <n v="100"/>
    <n v="29"/>
  </r>
  <r>
    <s v="uriluisni"/>
    <s v="uriluisni"/>
    <s v="Gray"/>
    <n v="10"/>
    <m/>
    <n v="20"/>
    <m/>
    <m/>
    <m/>
    <m/>
    <s v="No"/>
    <n v="244"/>
    <m/>
    <m/>
    <s v="Tweet"/>
    <x v="154"/>
    <s v="#UltimasNoticias  #EEUU , ¡#URGENTE! #TEXAS CIERRA SU #FRONTERA POR CRUZES #caravanamigrante #ImmigrationReform #immigrants #Biden  https://t.co/txgh5jPcpf via #YouTube"/>
    <s v="https://www.youtube.com/watch?v=SVNAKVANq8o&amp;feature=youtu.be"/>
    <s v="youtube.com"/>
    <s v="ultimasnoticias eeuu urgente texas frontera caravanamigrante immigrationreform immigrants biden youtube"/>
    <m/>
    <s v="https://pbs.twimg.com/profile_images/1403212760251441152/0cnwMyCP_normal.jpg"/>
    <d v="2021-09-18T18:26:47.000"/>
    <d v="2021-09-18T00:00:00.000"/>
    <s v="18:26:47"/>
    <s v="https://twitter.com/uriluisni/status/1439294848473829382"/>
    <m/>
    <m/>
    <s v="1439294848473829382"/>
    <m/>
    <b v="0"/>
    <n v="0"/>
    <s v=""/>
    <b v="0"/>
    <s v="es"/>
    <m/>
    <s v=""/>
    <b v="0"/>
    <n v="0"/>
    <s v=""/>
    <s v="Twitter Web App"/>
    <b v="0"/>
    <s v="1439294848473829382"/>
    <s v="Tweet"/>
    <n v="0"/>
    <n v="0"/>
    <m/>
    <m/>
    <m/>
    <m/>
    <m/>
    <m/>
    <m/>
    <m/>
    <n v="16"/>
    <s v="4"/>
    <s v="4"/>
    <n v="0"/>
    <n v="0"/>
    <n v="0"/>
    <n v="0"/>
    <n v="0"/>
    <n v="0"/>
    <n v="15"/>
    <n v="100"/>
    <n v="15"/>
  </r>
  <r>
    <s v="uriluisni"/>
    <s v="uriluisni"/>
    <s v="Gray"/>
    <n v="10"/>
    <m/>
    <n v="20"/>
    <m/>
    <m/>
    <m/>
    <m/>
    <s v="No"/>
    <n v="245"/>
    <m/>
    <m/>
    <s v="Tweet"/>
    <x v="155"/>
    <s v="La #Caravana #Migrante de #Haiti Cruzan La #Frontera En #Matamoros a #US... #caravanamigrante #CaravanaDeLaDignidad _x000a_https://t.co/M3QYeeNMHl via #YouTube"/>
    <s v="https://www.youtube.com/watch?v=2xnoo4EEV84&amp;feature=youtu.be"/>
    <s v="youtube.com"/>
    <s v="caravana migrante haiti frontera matamoros us caravanamigrante caravanadeladignidad youtube"/>
    <m/>
    <s v="https://pbs.twimg.com/profile_images/1403212760251441152/0cnwMyCP_normal.jpg"/>
    <d v="2021-09-19T03:04:24.000"/>
    <d v="2021-09-19T00:00:00.000"/>
    <s v="03:04:24"/>
    <s v="https://twitter.com/uriluisni/status/1439425109660372998"/>
    <m/>
    <m/>
    <s v="1439425109660372998"/>
    <m/>
    <b v="0"/>
    <n v="0"/>
    <s v=""/>
    <b v="0"/>
    <s v="es"/>
    <m/>
    <s v=""/>
    <b v="0"/>
    <n v="0"/>
    <s v=""/>
    <s v="Twitter Web App"/>
    <b v="0"/>
    <s v="1439425109660372998"/>
    <s v="Tweet"/>
    <n v="0"/>
    <n v="0"/>
    <m/>
    <m/>
    <m/>
    <m/>
    <m/>
    <m/>
    <m/>
    <m/>
    <n v="16"/>
    <s v="4"/>
    <s v="4"/>
    <n v="0"/>
    <n v="0"/>
    <n v="0"/>
    <n v="0"/>
    <n v="0"/>
    <n v="0"/>
    <n v="16"/>
    <n v="100"/>
    <n v="16"/>
  </r>
  <r>
    <s v="uriluisni"/>
    <s v="uriluisni"/>
    <s v="Gray"/>
    <n v="10"/>
    <m/>
    <n v="20"/>
    <m/>
    <m/>
    <m/>
    <m/>
    <s v="No"/>
    <n v="246"/>
    <m/>
    <m/>
    <s v="Tweet"/>
    <x v="156"/>
    <s v="#California  #Homeless #BLM #americandream_x000a_#ElSuenoAmericano #caravanamigrante _x000a_Venice Beach Homeless Encampment 09.23.2021 https://t.co/Uwz2wVMRFN via #YouTube"/>
    <s v="https://www.youtube.com/watch?v=Qb_wGiyo4NY&amp;feature=youtu.be"/>
    <s v="youtube.com"/>
    <s v="california homeless blm americandream elsuenoamericano caravanamigrante youtube"/>
    <m/>
    <s v="https://pbs.twimg.com/profile_images/1403212760251441152/0cnwMyCP_normal.jpg"/>
    <d v="2021-09-23T22:21:33.000"/>
    <d v="2021-09-23T00:00:00.000"/>
    <s v="22:21:33"/>
    <s v="https://twitter.com/uriluisni/status/1441165870697385988"/>
    <m/>
    <m/>
    <s v="1441165870697385988"/>
    <m/>
    <b v="0"/>
    <n v="0"/>
    <s v=""/>
    <b v="0"/>
    <s v="en"/>
    <m/>
    <s v=""/>
    <b v="0"/>
    <n v="0"/>
    <s v=""/>
    <s v="Twitter Web App"/>
    <b v="0"/>
    <s v="1441165870697385988"/>
    <s v="Tweet"/>
    <n v="0"/>
    <n v="0"/>
    <m/>
    <m/>
    <m/>
    <m/>
    <m/>
    <m/>
    <m/>
    <m/>
    <n v="16"/>
    <s v="4"/>
    <s v="4"/>
    <n v="0"/>
    <n v="0"/>
    <n v="0"/>
    <n v="0"/>
    <n v="0"/>
    <n v="0"/>
    <n v="15"/>
    <n v="100"/>
    <n v="15"/>
  </r>
  <r>
    <s v="lostejemedios"/>
    <s v="avispa_midia"/>
    <s v="192, 192, 192"/>
    <n v="5"/>
    <m/>
    <n v="40"/>
    <m/>
    <m/>
    <m/>
    <m/>
    <s v="No"/>
    <n v="247"/>
    <m/>
    <m/>
    <s v="Retweet"/>
    <x v="157"/>
    <s v="📌Durante las semanas previas, los colectivos han recabado testimonios de personas y familias con niñ@s pequeños que fueron detenidas durante los desplazamientos colectivos en el corredor de la costa pacífica._x000a_▶️ https://t.co/81AosRJeP8◀️_x000a_#CaravanaMigrante #Haiti #Haitianos"/>
    <s v="https://avispa.org/migrantes-buscan-rutas-alternativas-en-chiapas-autoridades-responden-con-violencia/"/>
    <s v="avispa.org"/>
    <s v="caravanamigrante haiti haitianos"/>
    <m/>
    <s v="https://pbs.twimg.com/profile_images/781915436275277824/Y3HqFA3v_normal.jpg"/>
    <d v="2021-09-23T22:34:01.000"/>
    <d v="2021-09-23T00:00:00.000"/>
    <s v="22:34:01"/>
    <s v="https://twitter.com/lostejemedios/status/1441169006501695489"/>
    <m/>
    <m/>
    <s v="1441169006501695489"/>
    <m/>
    <b v="0"/>
    <n v="0"/>
    <s v=""/>
    <b v="0"/>
    <s v="es"/>
    <m/>
    <s v=""/>
    <b v="0"/>
    <n v="5"/>
    <s v="1441156166898176006"/>
    <s v="Twitter for Android"/>
    <b v="0"/>
    <s v="1441156166898176006"/>
    <s v="Tweet"/>
    <n v="0"/>
    <n v="0"/>
    <m/>
    <m/>
    <m/>
    <m/>
    <m/>
    <m/>
    <m/>
    <m/>
    <n v="1"/>
    <s v="8"/>
    <s v="8"/>
    <n v="0"/>
    <n v="0"/>
    <n v="0"/>
    <n v="0"/>
    <n v="0"/>
    <n v="0"/>
    <n v="34"/>
    <n v="100"/>
    <n v="34"/>
  </r>
  <r>
    <s v="jclopezlee"/>
    <s v="jclopezlee"/>
    <s v="192, 192, 192"/>
    <n v="5"/>
    <m/>
    <n v="40"/>
    <m/>
    <m/>
    <m/>
    <m/>
    <s v="No"/>
    <n v="248"/>
    <m/>
    <m/>
    <s v="Tweet"/>
    <x v="158"/>
    <s v="https://t.co/7FsmHnmjuD_x000a__x000a_Todo gracias a la apertura de fronteras, la ausencia de contrles migratorios y la #CaravanaMigrante"/>
    <s v="https://www.diariodemorelos.com/noticias/salvadore-o-mat-due-o-de-fonda-en-jiutepec-por-no-pagar-piso"/>
    <s v="diariodemorelos.com"/>
    <s v="caravanamigrante"/>
    <m/>
    <s v="https://pbs.twimg.com/profile_images/1221961057842814977/NSPFxiPJ_normal.jpg"/>
    <d v="2020-02-08T16:54:42.000"/>
    <d v="2020-02-08T00:00:00.000"/>
    <s v="16:54:42"/>
    <s v="https://twitter.com/jclopezlee/status/1226187612332773376"/>
    <m/>
    <m/>
    <s v="1226187612332773376"/>
    <m/>
    <b v="0"/>
    <n v="2"/>
    <s v=""/>
    <b v="0"/>
    <s v="es"/>
    <m/>
    <s v=""/>
    <b v="0"/>
    <n v="1"/>
    <s v=""/>
    <s v="Twitter Web App"/>
    <b v="0"/>
    <s v="1226187612332773376"/>
    <s v="Retweet"/>
    <n v="0"/>
    <n v="0"/>
    <m/>
    <m/>
    <m/>
    <m/>
    <m/>
    <m/>
    <m/>
    <m/>
    <n v="1"/>
    <s v="21"/>
    <s v="21"/>
    <n v="0"/>
    <n v="0"/>
    <n v="0"/>
    <n v="0"/>
    <n v="0"/>
    <n v="0"/>
    <n v="15"/>
    <n v="100"/>
    <n v="15"/>
  </r>
  <r>
    <s v="saraeli62035609"/>
    <s v="jclopezlee"/>
    <s v="192, 192, 192"/>
    <n v="5"/>
    <m/>
    <n v="40"/>
    <m/>
    <m/>
    <m/>
    <m/>
    <s v="No"/>
    <n v="249"/>
    <m/>
    <m/>
    <s v="Retweet"/>
    <x v="159"/>
    <s v="https://t.co/7FsmHnmjuD_x000a__x000a_Todo gracias a la apertura de fronteras, la ausencia de contrles migratorios y la #CaravanaMigrante"/>
    <s v="https://www.diariodemorelos.com/noticias/salvadore-o-mat-due-o-de-fonda-en-jiutepec-por-no-pagar-piso"/>
    <s v="diariodemorelos.com"/>
    <s v="caravanamigrante"/>
    <m/>
    <s v="https://pbs.twimg.com/profile_images/1441128595494109192/2g77_HKE_normal.jpg"/>
    <d v="2021-09-23T22:46:59.000"/>
    <d v="2021-09-23T00:00:00.000"/>
    <s v="22:46:59"/>
    <s v="https://twitter.com/saraeli62035609/status/1441172271628914696"/>
    <m/>
    <m/>
    <s v="1441172271628914696"/>
    <m/>
    <b v="0"/>
    <n v="0"/>
    <s v=""/>
    <b v="0"/>
    <s v="es"/>
    <m/>
    <s v=""/>
    <b v="0"/>
    <n v="1"/>
    <s v="1226187612332773376"/>
    <s v="Twitter Web App"/>
    <b v="0"/>
    <s v="1226187612332773376"/>
    <s v="Tweet"/>
    <n v="0"/>
    <n v="0"/>
    <m/>
    <m/>
    <m/>
    <m/>
    <m/>
    <m/>
    <m/>
    <m/>
    <n v="1"/>
    <s v="21"/>
    <s v="21"/>
    <n v="0"/>
    <n v="0"/>
    <n v="0"/>
    <n v="0"/>
    <n v="0"/>
    <n v="0"/>
    <n v="15"/>
    <n v="100"/>
    <n v="15"/>
  </r>
  <r>
    <s v="p3drohz45"/>
    <s v="mlopezsanmartin"/>
    <s v="192, 192, 192"/>
    <n v="5"/>
    <m/>
    <n v="40"/>
    <m/>
    <m/>
    <m/>
    <m/>
    <s v="No"/>
    <n v="250"/>
    <m/>
    <m/>
    <s v="Replies to"/>
    <x v="160"/>
    <s v="@MLopezSanMartin Antes #campamento en apoyo a la #Caravanamigrante, hoy Elementos de #INM a la caza de #migrantes en centrales de Autobuses #CDMXyEDOMEX , ojalá así contra la #Delincuencia https://t.co/4gpdjTSKIC"/>
    <m/>
    <m/>
    <s v="campamento caravanamigrante inm migrantes cdmxyedomex delincuencia"/>
    <s v="https://pbs.twimg.com/media/FAA_BU9XMAM_mRh.jpg"/>
    <s v="https://pbs.twimg.com/media/FAA_BU9XMAM_mRh.jpg"/>
    <d v="2021-09-24T02:01:26.000"/>
    <d v="2021-09-24T00:00:00.000"/>
    <s v="02:01:26"/>
    <s v="https://twitter.com/p3drohz45/status/1441221205059510274"/>
    <m/>
    <m/>
    <s v="1441221205059510274"/>
    <s v="1441174402213761026"/>
    <b v="0"/>
    <n v="0"/>
    <s v="80124284"/>
    <b v="0"/>
    <s v="es"/>
    <m/>
    <s v=""/>
    <b v="0"/>
    <n v="0"/>
    <s v=""/>
    <s v="Twitter for Android"/>
    <b v="0"/>
    <s v="1441174402213761026"/>
    <s v="Tweet"/>
    <n v="0"/>
    <n v="0"/>
    <m/>
    <m/>
    <m/>
    <m/>
    <m/>
    <m/>
    <m/>
    <m/>
    <n v="1"/>
    <s v="20"/>
    <s v="20"/>
    <n v="0"/>
    <n v="0"/>
    <n v="0"/>
    <n v="0"/>
    <n v="0"/>
    <n v="0"/>
    <n v="27"/>
    <n v="100"/>
    <n v="27"/>
  </r>
  <r>
    <s v="adrianoespa"/>
    <s v="avispa_midia"/>
    <s v="192, 192, 192"/>
    <n v="5"/>
    <m/>
    <n v="40"/>
    <m/>
    <m/>
    <m/>
    <m/>
    <s v="No"/>
    <n v="251"/>
    <m/>
    <m/>
    <s v="Retweet"/>
    <x v="161"/>
    <s v="📌Durante las semanas previas, los colectivos han recabado testimonios de personas y familias con niñ@s pequeños que fueron detenidas durante los desplazamientos colectivos en el corredor de la costa pacífica._x000a_▶️ https://t.co/81AosRJeP8◀️_x000a_#CaravanaMigrante #Haiti #Haitianos"/>
    <s v="https://avispa.org/migrantes-buscan-rutas-alternativas-en-chiapas-autoridades-responden-con-violencia/"/>
    <s v="avispa.org"/>
    <s v="caravanamigrante haiti haitianos"/>
    <m/>
    <s v="https://pbs.twimg.com/profile_images/1424159813970317317/yDd8gpxn_normal.jpg"/>
    <d v="2021-09-24T02:48:16.000"/>
    <d v="2021-09-24T00:00:00.000"/>
    <s v="02:48:16"/>
    <s v="https://twitter.com/adrianoespa/status/1441232989686427652"/>
    <m/>
    <m/>
    <s v="1441232989686427652"/>
    <m/>
    <b v="0"/>
    <n v="0"/>
    <s v=""/>
    <b v="0"/>
    <s v="es"/>
    <m/>
    <s v=""/>
    <b v="0"/>
    <n v="5"/>
    <s v="1441156166898176006"/>
    <s v="Twitter for Android"/>
    <b v="0"/>
    <s v="1441156166898176006"/>
    <s v="Tweet"/>
    <n v="0"/>
    <n v="0"/>
    <m/>
    <m/>
    <m/>
    <m/>
    <m/>
    <m/>
    <m/>
    <m/>
    <n v="1"/>
    <s v="8"/>
    <s v="8"/>
    <n v="0"/>
    <n v="0"/>
    <n v="0"/>
    <n v="0"/>
    <n v="0"/>
    <n v="0"/>
    <n v="34"/>
    <n v="100"/>
    <n v="34"/>
  </r>
  <r>
    <s v="avispa_midia"/>
    <s v="avispa_midia"/>
    <s v="192, 192, 192"/>
    <n v="5"/>
    <m/>
    <n v="40"/>
    <m/>
    <m/>
    <m/>
    <m/>
    <s v="No"/>
    <n v="252"/>
    <m/>
    <m/>
    <s v="Tweet"/>
    <x v="162"/>
    <s v="📌Durante las semanas previas, los colectivos han recabado testimonios de personas y familias con niñ@s pequeños que fueron detenidas durante los desplazamientos colectivos en el corredor de la costa pacífica._x000a_▶️ https://t.co/81AosRJeP8◀️_x000a_#CaravanaMigrante #Haiti #Haitianos"/>
    <s v="https://avispa.org/migrantes-buscan-rutas-alternativas-en-chiapas-autoridades-responden-con-violencia/"/>
    <s v="avispa.org"/>
    <s v="caravanamigrante haiti haitianos"/>
    <m/>
    <s v="https://pbs.twimg.com/profile_images/895317957139611649/poX5xA65_normal.jpg"/>
    <d v="2021-09-23T21:43:00.000"/>
    <d v="2021-09-23T00:00:00.000"/>
    <s v="21:43:00"/>
    <s v="https://twitter.com/avispa_midia/status/1441156166898176006"/>
    <m/>
    <m/>
    <s v="1441156166898176006"/>
    <m/>
    <b v="0"/>
    <n v="5"/>
    <s v=""/>
    <b v="0"/>
    <s v="es"/>
    <m/>
    <s v=""/>
    <b v="0"/>
    <n v="5"/>
    <s v=""/>
    <s v="Twitter Web App"/>
    <b v="0"/>
    <s v="1441156166898176006"/>
    <s v="Tweet"/>
    <n v="0"/>
    <n v="0"/>
    <m/>
    <m/>
    <m/>
    <m/>
    <m/>
    <m/>
    <m/>
    <m/>
    <n v="1"/>
    <s v="8"/>
    <s v="8"/>
    <n v="0"/>
    <n v="0"/>
    <n v="0"/>
    <n v="0"/>
    <n v="0"/>
    <n v="0"/>
    <n v="34"/>
    <n v="100"/>
    <n v="34"/>
  </r>
  <r>
    <s v="miradsalmargen1"/>
    <s v="avispa_midia"/>
    <s v="192, 192, 192"/>
    <n v="5"/>
    <m/>
    <n v="40"/>
    <m/>
    <m/>
    <m/>
    <m/>
    <s v="No"/>
    <n v="253"/>
    <m/>
    <m/>
    <s v="Retweet"/>
    <x v="163"/>
    <s v="📌Durante las semanas previas, los colectivos han recabado testimonios de personas y familias con niñ@s pequeños que fueron detenidas durante los desplazamientos colectivos en el corredor de la costa pacífica._x000a_▶️ https://t.co/81AosRJeP8◀️_x000a_#CaravanaMigrante #Haiti #Haitianos"/>
    <s v="https://avispa.org/migrantes-buscan-rutas-alternativas-en-chiapas-autoridades-responden-con-violencia/"/>
    <s v="avispa.org"/>
    <s v="caravanamigrante haiti haitianos"/>
    <m/>
    <s v="https://pbs.twimg.com/profile_images/1049916694708346880/6Ey78GLB_normal.jpg"/>
    <d v="2021-09-24T02:50:31.000"/>
    <d v="2021-09-24T00:00:00.000"/>
    <s v="02:50:31"/>
    <s v="https://twitter.com/miradsalmargen1/status/1441233557582540804"/>
    <m/>
    <m/>
    <s v="1441233557582540804"/>
    <m/>
    <b v="0"/>
    <n v="0"/>
    <s v=""/>
    <b v="0"/>
    <s v="es"/>
    <m/>
    <s v=""/>
    <b v="0"/>
    <n v="5"/>
    <s v="1441156166898176006"/>
    <s v="Twitter for Android"/>
    <b v="0"/>
    <s v="1441156166898176006"/>
    <s v="Tweet"/>
    <n v="0"/>
    <n v="0"/>
    <m/>
    <m/>
    <m/>
    <m/>
    <m/>
    <m/>
    <m/>
    <m/>
    <n v="1"/>
    <s v="8"/>
    <s v="8"/>
    <n v="0"/>
    <n v="0"/>
    <n v="0"/>
    <n v="0"/>
    <n v="0"/>
    <n v="0"/>
    <n v="34"/>
    <n v="100"/>
    <n v="34"/>
  </r>
  <r>
    <s v="the_watcher_man"/>
    <s v="actualidadrt"/>
    <s v="192, 192, 192"/>
    <n v="5"/>
    <m/>
    <n v="40"/>
    <m/>
    <m/>
    <m/>
    <m/>
    <s v="No"/>
    <n v="254"/>
    <m/>
    <m/>
    <s v="Replies to"/>
    <x v="164"/>
    <s v="@ActualidadRT 😂😂😂😂😂😂😂😂 sigan migrando._x000a_#haitianos #Haiti #caravanamigrante #migrantes #migrante"/>
    <m/>
    <m/>
    <s v="haitianos haiti caravanamigrante migrantes migrante"/>
    <m/>
    <s v="https://pbs.twimg.com/profile_images/1273677951603744772/CJQe1t08_normal.jpg"/>
    <d v="2021-09-24T17:42:29.000"/>
    <d v="2021-09-24T00:00:00.000"/>
    <s v="17:42:29"/>
    <s v="https://twitter.com/the_watcher_man/status/1441458026611838977"/>
    <m/>
    <m/>
    <s v="1441458026611838977"/>
    <s v="1441428422509608962"/>
    <b v="0"/>
    <n v="0"/>
    <s v="100731315"/>
    <b v="0"/>
    <s v="es"/>
    <m/>
    <s v=""/>
    <b v="0"/>
    <n v="0"/>
    <s v=""/>
    <s v="Twitter for Android"/>
    <b v="0"/>
    <s v="1441428422509608962"/>
    <s v="Tweet"/>
    <n v="0"/>
    <n v="0"/>
    <m/>
    <m/>
    <m/>
    <m/>
    <m/>
    <m/>
    <m/>
    <m/>
    <n v="1"/>
    <s v="19"/>
    <s v="19"/>
    <n v="0"/>
    <n v="0"/>
    <n v="0"/>
    <n v="0"/>
    <n v="0"/>
    <n v="0"/>
    <n v="8"/>
    <n v="100"/>
    <n v="8"/>
  </r>
  <r>
    <s v="atenea_cb"/>
    <s v="atenea_cb"/>
    <s v="192, 192, 192"/>
    <n v="5"/>
    <m/>
    <n v="40"/>
    <m/>
    <m/>
    <m/>
    <m/>
    <s v="No"/>
    <n v="255"/>
    <m/>
    <m/>
    <s v="Tweet"/>
    <x v="165"/>
    <s v="La verdadera cara del oportunismo y victimismo de inmigrantes ilegales de #Haiti incomoda a las #ONGs #Politicos y #TrataDePersonas que se aprovechan de la #caravanamigrante https://t.co/XWmf44Ucf2"/>
    <s v="https://twitter.com/Arcariam85/status/1441559222328647687"/>
    <s v="twitter.com"/>
    <s v="haiti ongs politicos tratadepersonas caravanamigrante"/>
    <m/>
    <s v="https://pbs.twimg.com/profile_images/1215046605746966531/qsWJeXQy_normal.jpg"/>
    <d v="2021-09-25T01:13:28.000"/>
    <d v="2021-09-25T00:00:00.000"/>
    <s v="01:13:28"/>
    <s v="https://twitter.com/atenea_cb/status/1441571521466494978"/>
    <m/>
    <m/>
    <s v="1441571521466494978"/>
    <m/>
    <b v="0"/>
    <n v="0"/>
    <s v=""/>
    <b v="1"/>
    <s v="es"/>
    <m/>
    <s v="1441559222328647687"/>
    <b v="0"/>
    <n v="0"/>
    <s v=""/>
    <s v="Twitter Web App"/>
    <b v="0"/>
    <s v="1441571521466494978"/>
    <s v="Tweet"/>
    <n v="0"/>
    <n v="0"/>
    <m/>
    <m/>
    <m/>
    <m/>
    <m/>
    <m/>
    <m/>
    <m/>
    <n v="1"/>
    <s v="4"/>
    <s v="4"/>
    <n v="0"/>
    <n v="0"/>
    <n v="0"/>
    <n v="0"/>
    <n v="0"/>
    <n v="0"/>
    <n v="25"/>
    <n v="100"/>
    <n v="25"/>
  </r>
  <r>
    <s v="doculqqeec"/>
    <s v="versusmex"/>
    <s v="192, 192, 192"/>
    <n v="5"/>
    <m/>
    <n v="40"/>
    <m/>
    <m/>
    <m/>
    <m/>
    <s v="No"/>
    <n v="256"/>
    <m/>
    <m/>
    <s v="Mentions"/>
    <x v="166"/>
    <s v="Muchas gracias @VersusMex https://t.co/kKxGL9BNZC_x000a__x000a_#giff #migración #guatemala #loquequedadocu #gif21 #cine #documental #CaravanaMigrante"/>
    <s v="https://versusmedia.mx/lo-que-queda-en-el-camino-estrena-en-el-giff-2021/"/>
    <s v="versusmedia.mx"/>
    <s v="giff migración guatemala loquequedadocu gif21 cine documental caravanamigrante"/>
    <m/>
    <s v="https://pbs.twimg.com/profile_images/1434562316260020227/iFWiRrk1_normal.jpg"/>
    <d v="2021-09-20T19:10:20.000"/>
    <d v="2021-09-20T00:00:00.000"/>
    <s v="19:10:20"/>
    <s v="https://twitter.com/doculqqeec/status/1440030585229959172"/>
    <m/>
    <m/>
    <s v="1440030585229959172"/>
    <m/>
    <b v="0"/>
    <n v="2"/>
    <s v=""/>
    <b v="0"/>
    <s v="es"/>
    <m/>
    <s v=""/>
    <b v="0"/>
    <n v="0"/>
    <s v=""/>
    <s v="Twitter Web App"/>
    <b v="0"/>
    <s v="1440030585229959172"/>
    <s v="Tweet"/>
    <n v="0"/>
    <n v="0"/>
    <m/>
    <m/>
    <m/>
    <m/>
    <m/>
    <m/>
    <m/>
    <m/>
    <n v="1"/>
    <s v="7"/>
    <s v="7"/>
    <n v="0"/>
    <n v="0"/>
    <n v="0"/>
    <n v="0"/>
    <n v="0"/>
    <n v="0"/>
    <n v="11"/>
    <n v="100"/>
    <n v="11"/>
  </r>
  <r>
    <s v="doculqqeec"/>
    <s v="giffmx"/>
    <s v="Gray"/>
    <n v="10"/>
    <m/>
    <n v="20"/>
    <m/>
    <m/>
    <m/>
    <m/>
    <s v="No"/>
    <n v="257"/>
    <m/>
    <m/>
    <s v="Mentions"/>
    <x v="167"/>
    <s v="Ayer vivimos nuestro estreno mundial en el @giffmx   ¡Gracias a todos los que nos acompañaron! #loquequedaenelcamino #giff #migración #caravanamigrante #guatemala #cine #documental https://t.co/HAAJonSA3e"/>
    <m/>
    <m/>
    <s v="loquequedaenelcamino giff migración caravanamigrante guatemala cine documental"/>
    <s v="https://pbs.twimg.com/media/E_1Ow97UUAYV0Is.jpg"/>
    <s v="https://pbs.twimg.com/media/E_1Ow97UUAYV0Is.jpg"/>
    <d v="2021-09-21T19:15:53.000"/>
    <d v="2021-09-21T00:00:00.000"/>
    <s v="19:15:53"/>
    <s v="https://twitter.com/doculqqeec/status/1440394370226667525"/>
    <m/>
    <m/>
    <s v="1440394370226667525"/>
    <m/>
    <b v="0"/>
    <n v="8"/>
    <s v=""/>
    <b v="0"/>
    <s v="es"/>
    <m/>
    <s v=""/>
    <b v="0"/>
    <n v="3"/>
    <s v=""/>
    <s v="Twitter Web App"/>
    <b v="0"/>
    <s v="1440394370226667525"/>
    <s v="Tweet"/>
    <n v="0"/>
    <n v="0"/>
    <m/>
    <m/>
    <m/>
    <m/>
    <m/>
    <m/>
    <m/>
    <m/>
    <n v="9"/>
    <s v="7"/>
    <s v="7"/>
    <n v="0"/>
    <n v="0"/>
    <n v="0"/>
    <n v="0"/>
    <n v="0"/>
    <n v="0"/>
    <n v="22"/>
    <n v="100"/>
    <n v="22"/>
  </r>
  <r>
    <s v="doculqqeec"/>
    <s v="giffmx"/>
    <s v="Gray"/>
    <n v="10"/>
    <m/>
    <n v="20"/>
    <m/>
    <m/>
    <m/>
    <m/>
    <s v="No"/>
    <n v="258"/>
    <m/>
    <m/>
    <s v="Mentions"/>
    <x v="168"/>
    <s v="Así fue nuestro paso por la alfombra roja en la premier que tuvimos gracias al @giffmx en #irapuato #GIFF2021 #caravanamigrante #Guatemala #migracion #loquequedaenelcamino https://t.co/eQIvi3O8NF"/>
    <m/>
    <m/>
    <s v="irapuato giff2021 caravanamigrante guatemala migracion loquequedaenelcamino"/>
    <s v="https://pbs.twimg.com/media/FAG0RG2XMAEwlp7.jpg"/>
    <s v="https://pbs.twimg.com/media/FAG0RG2XMAEwlp7.jpg"/>
    <d v="2021-09-25T05:12:08.000"/>
    <d v="2021-09-25T00:00:00.000"/>
    <s v="05:12:08"/>
    <s v="https://twitter.com/doculqqeec/status/1441631582436028418"/>
    <m/>
    <m/>
    <s v="1441631582436028418"/>
    <m/>
    <b v="0"/>
    <n v="1"/>
    <s v=""/>
    <b v="0"/>
    <s v="es"/>
    <m/>
    <s v=""/>
    <b v="0"/>
    <n v="0"/>
    <s v=""/>
    <s v="Twitter for iPhone"/>
    <b v="0"/>
    <s v="1441631582436028418"/>
    <s v="Tweet"/>
    <n v="0"/>
    <n v="0"/>
    <m/>
    <m/>
    <m/>
    <m/>
    <m/>
    <m/>
    <m/>
    <m/>
    <n v="9"/>
    <s v="7"/>
    <s v="7"/>
    <n v="1"/>
    <n v="4.3478260869565215"/>
    <n v="0"/>
    <n v="0"/>
    <n v="0"/>
    <n v="0"/>
    <n v="22"/>
    <n v="95.65217391304348"/>
    <n v="23"/>
  </r>
  <r>
    <s v="doculqqeec"/>
    <s v="giffmx"/>
    <s v="Gray"/>
    <n v="10"/>
    <m/>
    <n v="20"/>
    <m/>
    <m/>
    <m/>
    <m/>
    <s v="No"/>
    <n v="259"/>
    <m/>
    <m/>
    <s v="Mentions"/>
    <x v="169"/>
    <s v="De la mejores experiencias que hemos tenido, @giffmx todo se resume en un ¡GRACIAS! #loquequedaenelcamino #migracion #documental #caravanamigrante #cine #giff2021 https://t.co/RqigOw71R8"/>
    <m/>
    <m/>
    <s v="loquequedaenelcamino migracion documental caravanamigrante cine giff2021"/>
    <s v="https://pbs.twimg.com/media/FAG2vXKXsAAgM6P.jpg"/>
    <s v="https://pbs.twimg.com/media/FAG2vXKXsAAgM6P.jpg"/>
    <d v="2021-09-25T05:22:53.000"/>
    <d v="2021-09-25T00:00:00.000"/>
    <s v="05:22:53"/>
    <s v="https://twitter.com/doculqqeec/status/1441634288500449282"/>
    <m/>
    <m/>
    <s v="1441634288500449282"/>
    <m/>
    <b v="0"/>
    <n v="0"/>
    <s v=""/>
    <b v="0"/>
    <s v="es"/>
    <m/>
    <s v=""/>
    <b v="0"/>
    <n v="0"/>
    <s v=""/>
    <s v="Twitter for iPhone"/>
    <b v="0"/>
    <s v="1441634288500449282"/>
    <s v="Tweet"/>
    <n v="0"/>
    <n v="0"/>
    <m/>
    <m/>
    <m/>
    <m/>
    <m/>
    <m/>
    <m/>
    <m/>
    <n v="9"/>
    <s v="7"/>
    <s v="7"/>
    <n v="0"/>
    <n v="0"/>
    <n v="0"/>
    <n v="0"/>
    <n v="0"/>
    <n v="0"/>
    <n v="20"/>
    <n v="100"/>
    <n v="20"/>
  </r>
  <r>
    <s v="doculqqeec"/>
    <s v="doculqqeec"/>
    <s v="Gray"/>
    <n v="10"/>
    <m/>
    <n v="20"/>
    <m/>
    <m/>
    <m/>
    <m/>
    <s v="No"/>
    <n v="260"/>
    <m/>
    <m/>
    <s v="Tweet"/>
    <x v="170"/>
    <s v="Cinta sobre caravana migrante se estrena en el GIFF, gracias a el siglo de durango por esta nota https://t.co/ZN2nXmPRh3 #giff #migración #guatemala #loquequedadocu #gif21 #cine #documental #caravanamigrante"/>
    <s v="https://www.elsiglodedurango.com.mx/2021/09/1341510.cinta-sobre-caravana-migrante-se-estrena-en-el-giff.html#.YUjc25Gos58.twitter"/>
    <s v="com.mx"/>
    <s v="giff migración guatemala loquequedadocu gif21 cine documental caravanamigrante"/>
    <m/>
    <s v="https://pbs.twimg.com/profile_images/1434562316260020227/iFWiRrk1_normal.jpg"/>
    <d v="2021-09-20T19:12:16.000"/>
    <d v="2021-09-20T00:00:00.000"/>
    <s v="19:12:16"/>
    <s v="https://twitter.com/doculqqeec/status/1440031072331259909"/>
    <m/>
    <m/>
    <s v="1440031072331259909"/>
    <m/>
    <b v="0"/>
    <n v="1"/>
    <s v=""/>
    <b v="0"/>
    <s v="es"/>
    <m/>
    <s v=""/>
    <b v="0"/>
    <n v="0"/>
    <s v=""/>
    <s v="Twitter Web App"/>
    <b v="0"/>
    <s v="1440031072331259909"/>
    <s v="Tweet"/>
    <n v="0"/>
    <n v="0"/>
    <m/>
    <m/>
    <m/>
    <m/>
    <m/>
    <m/>
    <m/>
    <m/>
    <n v="4"/>
    <s v="7"/>
    <s v="7"/>
    <n v="0"/>
    <n v="0"/>
    <n v="0"/>
    <n v="0"/>
    <n v="0"/>
    <n v="0"/>
    <n v="26"/>
    <n v="100"/>
    <n v="26"/>
  </r>
  <r>
    <s v="doculqqeec"/>
    <s v="doculqqeec"/>
    <s v="Gray"/>
    <n v="10"/>
    <m/>
    <n v="20"/>
    <m/>
    <m/>
    <m/>
    <m/>
    <s v="No"/>
    <n v="261"/>
    <m/>
    <m/>
    <s v="Tweet"/>
    <x v="171"/>
    <s v="Gracias a todos los que nos han regalado uno minutos para hablar de nuestra película #giff2021 #migración #caravanamigrante #cine #documental #loquequedaenelcamino #máscineporfavor https://t.co/a5moFnKEeL"/>
    <m/>
    <m/>
    <s v="giff2021 migración caravanamigrante cine documental loquequedaenelcamino máscineporfavor"/>
    <s v="https://pbs.twimg.com/media/FAG9LlMX0AYojVq.jpg"/>
    <s v="https://pbs.twimg.com/media/FAG9LlMX0AYojVq.jpg"/>
    <d v="2021-09-25T05:51:04.000"/>
    <d v="2021-09-25T00:00:00.000"/>
    <s v="05:51:04"/>
    <s v="https://twitter.com/doculqqeec/status/1441641380644749316"/>
    <m/>
    <m/>
    <s v="1441641380644749316"/>
    <m/>
    <b v="0"/>
    <n v="0"/>
    <s v=""/>
    <b v="0"/>
    <s v="es"/>
    <m/>
    <s v=""/>
    <b v="0"/>
    <n v="0"/>
    <s v=""/>
    <s v="Twitter for iPhone"/>
    <b v="0"/>
    <s v="1441641380644749316"/>
    <s v="Tweet"/>
    <n v="0"/>
    <n v="0"/>
    <m/>
    <m/>
    <m/>
    <m/>
    <m/>
    <m/>
    <m/>
    <m/>
    <n v="4"/>
    <s v="7"/>
    <s v="7"/>
    <n v="0"/>
    <n v="0"/>
    <n v="0"/>
    <n v="0"/>
    <n v="0"/>
    <n v="0"/>
    <n v="22"/>
    <n v="100"/>
    <n v="22"/>
  </r>
  <r>
    <s v="vrodriguezphd"/>
    <s v="vrodriguezphd"/>
    <s v="192, 192, 192"/>
    <n v="5"/>
    <m/>
    <n v="40"/>
    <m/>
    <m/>
    <m/>
    <m/>
    <s v="No"/>
    <n v="262"/>
    <m/>
    <m/>
    <s v="Tweet"/>
    <x v="172"/>
    <s v="Amotinados: Haitianos secuestran y conducen el autobús que los llevaba al aeropuerto para ser deportados, el cuál había partido del puente internacional #DelRío, en Texas, EEUU._x000a__x000a_#migrantes #InmigracionIlegal #CaravanaMigrante_x000a_https://t.co/p7QxqK1aFT"/>
    <s v="https://laopinion.com/2021/09/22/migrantes-haitianos-secuestraron-brevemente-un-autobus-que-los-llevaba-a-un-aeropuerto-para-su-deportacion-en-texas/"/>
    <s v="laopinion.com"/>
    <s v="delrío migrantes inmigracionilegal caravanamigrante"/>
    <m/>
    <s v="https://pbs.twimg.com/profile_images/1190664336181800960/q0hSqNrB_normal.jpg"/>
    <d v="2021-09-25T13:31:36.000"/>
    <d v="2021-09-25T00:00:00.000"/>
    <s v="13:31:36"/>
    <s v="https://twitter.com/vrodriguezphd/status/1441757280681218048"/>
    <m/>
    <m/>
    <s v="1441757280681218048"/>
    <m/>
    <b v="0"/>
    <n v="1"/>
    <s v=""/>
    <b v="0"/>
    <s v="es"/>
    <m/>
    <s v=""/>
    <b v="0"/>
    <n v="1"/>
    <s v=""/>
    <s v="Twitter Web App"/>
    <b v="0"/>
    <s v="1441757280681218048"/>
    <s v="Tweet"/>
    <n v="0"/>
    <n v="0"/>
    <m/>
    <m/>
    <m/>
    <m/>
    <m/>
    <m/>
    <m/>
    <m/>
    <n v="1"/>
    <s v="18"/>
    <s v="18"/>
    <n v="0"/>
    <n v="0"/>
    <n v="0"/>
    <n v="0"/>
    <n v="0"/>
    <n v="0"/>
    <n v="29"/>
    <n v="100"/>
    <n v="29"/>
  </r>
  <r>
    <s v="chefbaez"/>
    <s v="vrodriguezphd"/>
    <s v="192, 192, 192"/>
    <n v="5"/>
    <m/>
    <n v="40"/>
    <m/>
    <m/>
    <m/>
    <m/>
    <s v="No"/>
    <n v="263"/>
    <m/>
    <m/>
    <s v="Retweet"/>
    <x v="173"/>
    <s v="Amotinados: Haitianos secuestran y conducen el autobús que los llevaba al aeropuerto para ser deportados, el cuál había partido del puente internacional #DelRío, en Texas, EEUU._x000a__x000a_#migrantes #InmigracionIlegal #CaravanaMigrante_x000a_https://t.co/p7QxqK1aFT"/>
    <s v="https://laopinion.com/2021/09/22/migrantes-haitianos-secuestraron-brevemente-un-autobus-que-los-llevaba-a-un-aeropuerto-para-su-deportacion-en-texas/"/>
    <s v="laopinion.com"/>
    <s v="delrío migrantes inmigracionilegal caravanamigrante"/>
    <m/>
    <s v="https://pbs.twimg.com/profile_images/787265503828054016/kFUqcwx4_normal.jpg"/>
    <d v="2021-09-25T13:38:09.000"/>
    <d v="2021-09-25T00:00:00.000"/>
    <s v="13:38:09"/>
    <s v="https://twitter.com/chefbaez/status/1441758925989154816"/>
    <m/>
    <m/>
    <s v="1441758925989154816"/>
    <m/>
    <b v="0"/>
    <n v="0"/>
    <s v=""/>
    <b v="0"/>
    <s v="es"/>
    <m/>
    <s v=""/>
    <b v="0"/>
    <n v="1"/>
    <s v="1441757280681218048"/>
    <s v="Twitter Web App"/>
    <b v="0"/>
    <s v="1441757280681218048"/>
    <s v="Tweet"/>
    <n v="0"/>
    <n v="0"/>
    <m/>
    <m/>
    <m/>
    <m/>
    <m/>
    <m/>
    <m/>
    <m/>
    <n v="1"/>
    <s v="18"/>
    <s v="18"/>
    <n v="0"/>
    <n v="0"/>
    <n v="0"/>
    <n v="0"/>
    <n v="0"/>
    <n v="0"/>
    <n v="29"/>
    <n v="100"/>
    <n v="2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7"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51" firstHeaderRow="1" firstDataRow="1" firstDataCol="1"/>
  <pivotFields count="68">
    <pivotField showAll="0"/>
    <pivotField showAll="0"/>
    <pivotField showAll="0"/>
    <pivotField showAll="0" numFmtId="164"/>
    <pivotField showAll="0"/>
    <pivotField showAll="0" numFmtId="1"/>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7">
        <item x="0"/>
        <item x="1"/>
        <item x="2"/>
        <item x="3"/>
        <item x="4"/>
        <item x="5"/>
        <item t="default"/>
      </items>
    </pivotField>
  </pivotFields>
  <rowFields count="3">
    <field x="67"/>
    <field x="66"/>
    <field x="15"/>
  </rowFields>
  <rowItems count="26">
    <i>
      <x v="1"/>
    </i>
    <i r="1">
      <x v="10"/>
    </i>
    <i r="2">
      <x v="296"/>
    </i>
    <i r="1">
      <x v="11"/>
    </i>
    <i r="2">
      <x v="321"/>
    </i>
    <i>
      <x v="3"/>
    </i>
    <i r="1">
      <x v="2"/>
    </i>
    <i r="2">
      <x v="39"/>
    </i>
    <i>
      <x v="4"/>
    </i>
    <i r="1">
      <x v="8"/>
    </i>
    <i r="2">
      <x v="242"/>
    </i>
    <i r="1">
      <x v="9"/>
    </i>
    <i r="2">
      <x v="245"/>
    </i>
    <i r="2">
      <x v="249"/>
    </i>
    <i r="2">
      <x v="256"/>
    </i>
    <i r="2">
      <x v="260"/>
    </i>
    <i r="2">
      <x v="261"/>
    </i>
    <i r="2">
      <x v="262"/>
    </i>
    <i r="2">
      <x v="263"/>
    </i>
    <i r="2">
      <x v="264"/>
    </i>
    <i r="2">
      <x v="265"/>
    </i>
    <i r="2">
      <x v="266"/>
    </i>
    <i r="2">
      <x v="267"/>
    </i>
    <i r="2">
      <x v="268"/>
    </i>
    <i r="2">
      <x v="269"/>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BN263" totalsRowShown="0" headerRowDxfId="501" dataDxfId="465">
  <autoFilter ref="A2:BN263"/>
  <tableColumns count="66">
    <tableColumn id="1" name="Vertex 1" dataDxfId="450"/>
    <tableColumn id="2" name="Vertex 2" dataDxfId="448"/>
    <tableColumn id="3" name="Color" dataDxfId="449"/>
    <tableColumn id="4" name="Width" dataDxfId="474"/>
    <tableColumn id="11" name="Style" dataDxfId="473"/>
    <tableColumn id="5" name="Opacity" dataDxfId="472"/>
    <tableColumn id="6" name="Visibility" dataDxfId="471"/>
    <tableColumn id="10" name="Label" dataDxfId="470"/>
    <tableColumn id="12" name="Label Text Color" dataDxfId="469"/>
    <tableColumn id="13" name="Label Font Size" dataDxfId="468"/>
    <tableColumn id="14" name="Reciprocated?" dataDxfId="346"/>
    <tableColumn id="7" name="ID" dataDxfId="467"/>
    <tableColumn id="9" name="Dynamic Filter" dataDxfId="466"/>
    <tableColumn id="8" name="Add Your Own Columns Here" dataDxfId="447"/>
    <tableColumn id="15" name="Relationship" dataDxfId="446"/>
    <tableColumn id="16" name="Relationship Date (UTC)" dataDxfId="445"/>
    <tableColumn id="17" name="Tweet" dataDxfId="444"/>
    <tableColumn id="18" name="URLs in Tweet" dataDxfId="443"/>
    <tableColumn id="19" name="Domains in Tweet" dataDxfId="442"/>
    <tableColumn id="20" name="Hashtags in Tweet" dataDxfId="441"/>
    <tableColumn id="21" name="Media in Tweet" dataDxfId="440"/>
    <tableColumn id="22" name="Tweet Image File" dataDxfId="439"/>
    <tableColumn id="23" name="Tweet Date (UTC)" dataDxfId="438"/>
    <tableColumn id="24" name="Date" dataDxfId="437"/>
    <tableColumn id="25" name="Time" dataDxfId="436"/>
    <tableColumn id="26" name="Twitter Page for Tweet" dataDxfId="435"/>
    <tableColumn id="27" name="Latitude" dataDxfId="434"/>
    <tableColumn id="28" name="Longitude" dataDxfId="433"/>
    <tableColumn id="29" name="Imported ID" dataDxfId="432"/>
    <tableColumn id="30" name="In-Reply-To Tweet ID" dataDxfId="431"/>
    <tableColumn id="31" name="Favorited" dataDxfId="430"/>
    <tableColumn id="32" name="Favorite Count" dataDxfId="429"/>
    <tableColumn id="33" name="In-Reply-To User ID" dataDxfId="428"/>
    <tableColumn id="34" name="Is Quote Status" dataDxfId="427"/>
    <tableColumn id="35" name="Language" dataDxfId="426"/>
    <tableColumn id="36" name="Possibly Sensitive" dataDxfId="425"/>
    <tableColumn id="37" name="Quoted Status ID" dataDxfId="424"/>
    <tableColumn id="38" name="Retweeted" dataDxfId="423"/>
    <tableColumn id="39" name="Retweet Count" dataDxfId="422"/>
    <tableColumn id="40" name="Retweet ID" dataDxfId="421"/>
    <tableColumn id="41" name="Source" dataDxfId="420"/>
    <tableColumn id="42" name="Truncated" dataDxfId="419"/>
    <tableColumn id="43" name="Unified Twitter ID" dataDxfId="418"/>
    <tableColumn id="44" name="Imported Tweet Type" dataDxfId="417"/>
    <tableColumn id="45" name="Added By Extended Analysis" dataDxfId="416"/>
    <tableColumn id="46" name="Corrected By Extended Analysis" dataDxfId="415"/>
    <tableColumn id="47" name="Place Bounding Box" dataDxfId="414"/>
    <tableColumn id="48" name="Place Country" dataDxfId="413"/>
    <tableColumn id="49" name="Place Country Code" dataDxfId="412"/>
    <tableColumn id="50" name="Place Full Name" dataDxfId="411"/>
    <tableColumn id="51" name="Place ID" dataDxfId="410"/>
    <tableColumn id="52" name="Place Name" dataDxfId="409"/>
    <tableColumn id="53" name="Place Type" dataDxfId="408"/>
    <tableColumn id="54" name="Place URL" dataDxfId="407"/>
    <tableColumn id="55" name="Edge Weight"/>
    <tableColumn id="56" name="Vertex 1 Group" dataDxfId="361">
      <calculatedColumnFormula>REPLACE(INDEX(GroupVertices[Group], MATCH(Edges[[#This Row],[Vertex 1]],GroupVertices[Vertex],0)),1,1,"")</calculatedColumnFormula>
    </tableColumn>
    <tableColumn id="57" name="Vertex 2 Group" dataDxfId="326">
      <calculatedColumnFormula>REPLACE(INDEX(GroupVertices[Group], MATCH(Edges[[#This Row],[Vertex 2]],GroupVertices[Vertex],0)),1,1,"")</calculatedColumnFormula>
    </tableColumn>
    <tableColumn id="58" name="Sentiment List #1: List1 Word Count" dataDxfId="325"/>
    <tableColumn id="59" name="Sentiment List #1: List1 Word Percentage (%)" dataDxfId="324"/>
    <tableColumn id="60" name="Sentiment List #2: List2 Word Count" dataDxfId="323"/>
    <tableColumn id="61" name="Sentiment List #2: List2 Word Percentage (%)" dataDxfId="322"/>
    <tableColumn id="62" name="Sentiment List #3: List3 Word Count" dataDxfId="321"/>
    <tableColumn id="63" name="Sentiment List #3: List3 Word Percentage (%)" dataDxfId="320"/>
    <tableColumn id="64" name="Non-categorized Word Count" dataDxfId="319"/>
    <tableColumn id="65" name="Non-categorized Word Percentage (%)" dataDxfId="318"/>
    <tableColumn id="66" name="Edge Content Word Count" dataDxfId="31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61" totalsRowShown="0" headerRowDxfId="377" dataDxfId="376">
  <autoFilter ref="A1:G861"/>
  <tableColumns count="7">
    <tableColumn id="1" name="Word" dataDxfId="345"/>
    <tableColumn id="2" name="Count" dataDxfId="344"/>
    <tableColumn id="3" name="Salience" dataDxfId="343"/>
    <tableColumn id="4" name="Group" dataDxfId="342"/>
    <tableColumn id="5" name="Word on Sentiment List #1: List1" dataDxfId="341"/>
    <tableColumn id="6" name="Word on Sentiment List #2: List2" dataDxfId="340"/>
    <tableColumn id="7" name="Word on Sentiment List #3: List3" dataDxfId="33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27" totalsRowShown="0" headerRowDxfId="375" dataDxfId="374">
  <autoFilter ref="A1:L927"/>
  <tableColumns count="12">
    <tableColumn id="1" name="Word 1" dataDxfId="338"/>
    <tableColumn id="2" name="Word 2" dataDxfId="337"/>
    <tableColumn id="3" name="Count" dataDxfId="336"/>
    <tableColumn id="4" name="Salience" dataDxfId="335"/>
    <tableColumn id="5" name="Mutual Information" dataDxfId="334"/>
    <tableColumn id="6" name="Group" dataDxfId="333"/>
    <tableColumn id="7" name="Word1 on Sentiment List #1: List1" dataDxfId="332"/>
    <tableColumn id="8" name="Word1 on Sentiment List #2: List2" dataDxfId="331"/>
    <tableColumn id="9" name="Word1 on Sentiment List #3: List3" dataDxfId="330"/>
    <tableColumn id="10" name="Word2 on Sentiment List #1: List1" dataDxfId="329"/>
    <tableColumn id="11" name="Word2 on Sentiment List #2: List2" dataDxfId="328"/>
    <tableColumn id="12" name="Word2 on Sentiment List #3: List3" dataDxfId="327"/>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31" totalsRowShown="0" headerRowDxfId="373" dataDxfId="372">
  <autoFilter ref="A2:C31"/>
  <tableColumns count="3">
    <tableColumn id="1" name="Group 1" dataDxfId="298"/>
    <tableColumn id="2" name="Group 2" dataDxfId="297"/>
    <tableColumn id="3" name="Edges" dataDxfId="296"/>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371" dataDxfId="370">
  <autoFilter ref="A1:B7"/>
  <tableColumns count="2">
    <tableColumn id="1" name="Key" dataDxfId="280"/>
    <tableColumn id="2" name="Value" dataDxfId="279"/>
  </tableColumns>
  <tableStyleInfo name="NodeXL Table" showFirstColumn="0" showLastColumn="0" showRowStripes="1" showColumnStripes="0"/>
</table>
</file>

<file path=xl/tables/table15.xml><?xml version="1.0" encoding="utf-8"?>
<table xmlns="http://schemas.openxmlformats.org/spreadsheetml/2006/main" id="25"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6.xml><?xml version="1.0" encoding="utf-8"?>
<table xmlns="http://schemas.openxmlformats.org/spreadsheetml/2006/main" id="26"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17.xml><?xml version="1.0" encoding="utf-8"?>
<table xmlns="http://schemas.openxmlformats.org/spreadsheetml/2006/main" id="27"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18.xml><?xml version="1.0" encoding="utf-8"?>
<table xmlns="http://schemas.openxmlformats.org/spreadsheetml/2006/main" id="28"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19.xml><?xml version="1.0" encoding="utf-8"?>
<table xmlns="http://schemas.openxmlformats.org/spreadsheetml/2006/main" id="29"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8" totalsRowShown="0" headerRowDxfId="500" dataDxfId="451">
  <autoFilter ref="A2:BT168"/>
  <tableColumns count="72">
    <tableColumn id="1" name="Vertex" dataDxfId="464"/>
    <tableColumn id="2" name="Color" dataDxfId="463"/>
    <tableColumn id="5" name="Shape" dataDxfId="462"/>
    <tableColumn id="6" name="Size" dataDxfId="461"/>
    <tableColumn id="4" name="Opacity" dataDxfId="386"/>
    <tableColumn id="7" name="Image File" dataDxfId="384"/>
    <tableColumn id="3" name="Visibility" dataDxfId="385"/>
    <tableColumn id="10" name="Label" dataDxfId="460"/>
    <tableColumn id="16" name="Label Fill Color" dataDxfId="459"/>
    <tableColumn id="9" name="Label Position" dataDxfId="380"/>
    <tableColumn id="8" name="Tooltip" dataDxfId="378"/>
    <tableColumn id="18" name="Layout Order" dataDxfId="379"/>
    <tableColumn id="13" name="X" dataDxfId="458"/>
    <tableColumn id="14" name="Y" dataDxfId="457"/>
    <tableColumn id="12" name="Locked?" dataDxfId="456"/>
    <tableColumn id="19" name="Polar R" dataDxfId="455"/>
    <tableColumn id="20" name="Polar Angle" dataDxfId="454"/>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53"/>
    <tableColumn id="28" name="Dynamic Filter" dataDxfId="452"/>
    <tableColumn id="17" name="Add Your Own Columns Here" dataDxfId="406"/>
    <tableColumn id="30" name="Name" dataDxfId="405"/>
    <tableColumn id="31" name="User ID" dataDxfId="404"/>
    <tableColumn id="32" name="Followed" dataDxfId="403"/>
    <tableColumn id="33" name="Followers" dataDxfId="402"/>
    <tableColumn id="34" name="Tweets" dataDxfId="401"/>
    <tableColumn id="35" name="Favorites" dataDxfId="400"/>
    <tableColumn id="36" name="Time Zone UTC Offset (Seconds)" dataDxfId="399"/>
    <tableColumn id="37" name="Description" dataDxfId="398"/>
    <tableColumn id="38" name="Location" dataDxfId="397"/>
    <tableColumn id="39" name="Web" dataDxfId="396"/>
    <tableColumn id="40" name="Time Zone" dataDxfId="395"/>
    <tableColumn id="41" name="Joined Twitter Date (UTC)" dataDxfId="394"/>
    <tableColumn id="42" name="Profile Banner Url" dataDxfId="393"/>
    <tableColumn id="43" name="Default Profile" dataDxfId="392"/>
    <tableColumn id="44" name="Default Profile Image" dataDxfId="391"/>
    <tableColumn id="45" name="Geo Enabled" dataDxfId="390"/>
    <tableColumn id="46" name="Language" dataDxfId="389"/>
    <tableColumn id="47" name="Listed Count" dataDxfId="388"/>
    <tableColumn id="48" name="Profile Background Image Url" dataDxfId="387"/>
    <tableColumn id="49" name="Verified" dataDxfId="383"/>
    <tableColumn id="50" name="Custom Menu Item Text" dataDxfId="382"/>
    <tableColumn id="51" name="Custom Menu Item Action" dataDxfId="381"/>
    <tableColumn id="52" name="Tweeted Search Term?" dataDxfId="362"/>
    <tableColumn id="53" name="Vertex Group" dataDxfId="316">
      <calculatedColumnFormula>REPLACE(INDEX(GroupVertices[Group], MATCH(Vertices[[#This Row],[Vertex]],GroupVertices[Vertex],0)),1,1,"")</calculatedColumnFormula>
    </tableColumn>
    <tableColumn id="54" name="Sentiment List #1: List1 Word Count" dataDxfId="315"/>
    <tableColumn id="55" name="Sentiment List #1: List1 Word Percentage (%)" dataDxfId="314"/>
    <tableColumn id="56" name="Sentiment List #2: List2 Word Count" dataDxfId="313"/>
    <tableColumn id="57" name="Sentiment List #2: List2 Word Percentage (%)" dataDxfId="312"/>
    <tableColumn id="58" name="Sentiment List #3: List3 Word Count" dataDxfId="311"/>
    <tableColumn id="59" name="Sentiment List #3: List3 Word Percentage (%)" dataDxfId="310"/>
    <tableColumn id="60" name="Non-categorized Word Count" dataDxfId="309"/>
    <tableColumn id="61" name="Non-categorized Word Percentage (%)" dataDxfId="308"/>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30"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1.xml><?xml version="1.0" encoding="utf-8"?>
<table xmlns="http://schemas.openxmlformats.org/spreadsheetml/2006/main" id="31" name="NetworkTopItems_6" displayName="NetworkTopItems_6" ref="A66:V70" totalsRowShown="0" headerRowDxfId="153" dataDxfId="152">
  <autoFilter ref="A66:V70"/>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2.xml><?xml version="1.0" encoding="utf-8"?>
<table xmlns="http://schemas.openxmlformats.org/spreadsheetml/2006/main" id="32" name="NetworkTopItems_7" displayName="NetworkTopItems_7" ref="A73:V83" totalsRowShown="0" headerRowDxfId="150" dataDxfId="149">
  <autoFilter ref="A73:V83"/>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3.xml><?xml version="1.0" encoding="utf-8"?>
<table xmlns="http://schemas.openxmlformats.org/spreadsheetml/2006/main" id="33" name="NetworkTopItems_8" displayName="NetworkTopItems_8" ref="A86:V96" totalsRowShown="0" headerRowDxfId="103" dataDxfId="102">
  <autoFilter ref="A86:V96"/>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24.xml><?xml version="1.0" encoding="utf-8"?>
<table xmlns="http://schemas.openxmlformats.org/spreadsheetml/2006/main" id="34" name="Edges35" displayName="Edges35" ref="A2:BN176" totalsRowShown="0" headerRowDxfId="66" dataDxfId="65">
  <autoFilter ref="A2:BN17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MATCH(Edges35[[#This Row],[Vertex 1]],GroupVertices[Vertex],0)),1,1,"")</calculatedColumnFormula>
    </tableColumn>
    <tableColumn id="57" name="Vertex 2 Group" dataDxfId="9">
      <calculatedColumnFormula>REPLACE(INDEX(GroupVertices[Group], MATCH(Edges35[[#This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29" totalsRowShown="0" headerRowDxfId="499">
  <autoFilter ref="A2:AO29"/>
  <tableColumns count="41">
    <tableColumn id="1" name="Group" dataDxfId="369"/>
    <tableColumn id="2" name="Vertex Color" dataDxfId="368"/>
    <tableColumn id="3" name="Vertex Shape" dataDxfId="366"/>
    <tableColumn id="22" name="Visibility" dataDxfId="367"/>
    <tableColumn id="4" name="Collapsed?"/>
    <tableColumn id="18" name="Label" dataDxfId="498"/>
    <tableColumn id="20" name="Collapsed X"/>
    <tableColumn id="21" name="Collapsed Y"/>
    <tableColumn id="6" name="ID" dataDxfId="497"/>
    <tableColumn id="19" name="Collapsed Properties" dataDxfId="360"/>
    <tableColumn id="5" name="Vertices" dataDxfId="359"/>
    <tableColumn id="7" name="Unique Edges" dataDxfId="358"/>
    <tableColumn id="8" name="Edges With Duplicates" dataDxfId="357"/>
    <tableColumn id="9" name="Total Edges" dataDxfId="356"/>
    <tableColumn id="10" name="Self-Loops" dataDxfId="355"/>
    <tableColumn id="24" name="Reciprocated Vertex Pair Ratio" dataDxfId="354"/>
    <tableColumn id="25" name="Reciprocated Edge Ratio" dataDxfId="353"/>
    <tableColumn id="11" name="Connected Components" dataDxfId="352"/>
    <tableColumn id="12" name="Single-Vertex Connected Components" dataDxfId="351"/>
    <tableColumn id="13" name="Maximum Vertices in a Connected Component" dataDxfId="350"/>
    <tableColumn id="14" name="Maximum Edges in a Connected Component" dataDxfId="349"/>
    <tableColumn id="15" name="Maximum Geodesic Distance (Diameter)" dataDxfId="348"/>
    <tableColumn id="16" name="Average Geodesic Distance" dataDxfId="347"/>
    <tableColumn id="17" name="Graph Density" dataDxfId="307"/>
    <tableColumn id="23" name="Sentiment List #1: List1 Word Count" dataDxfId="306"/>
    <tableColumn id="26" name="Sentiment List #1: List1 Word Percentage (%)" dataDxfId="305"/>
    <tableColumn id="27" name="Sentiment List #2: List2 Word Count" dataDxfId="304"/>
    <tableColumn id="28" name="Sentiment List #2: List2 Word Percentage (%)" dataDxfId="303"/>
    <tableColumn id="29" name="Sentiment List #3: List3 Word Count" dataDxfId="302"/>
    <tableColumn id="30" name="Sentiment List #3: List3 Word Percentage (%)" dataDxfId="301"/>
    <tableColumn id="31" name="Non-categorized Word Count" dataDxfId="300"/>
    <tableColumn id="32" name="Non-categorized Word Percentage (%)" dataDxfId="299"/>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7" totalsRowShown="0" headerRowDxfId="496" dataDxfId="495">
  <autoFilter ref="A1:C167"/>
  <tableColumns count="3">
    <tableColumn id="1" name="Group" dataDxfId="365"/>
    <tableColumn id="2" name="Vertex" dataDxfId="364"/>
    <tableColumn id="3" name="Vertex ID" dataDxfId="36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5"/>
    <tableColumn id="2" name="Value" dataDxfId="29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94"/>
    <tableColumn id="2" name="Degree Frequency" dataDxfId="493">
      <calculatedColumnFormula>COUNTIF(Vertices[Degree], "&gt;= " &amp; D2) - COUNTIF(Vertices[Degree], "&gt;=" &amp; D3)</calculatedColumnFormula>
    </tableColumn>
    <tableColumn id="3" name="In-Degree Bin" dataDxfId="492"/>
    <tableColumn id="4" name="In-Degree Frequency" dataDxfId="491">
      <calculatedColumnFormula>COUNTIF(Vertices[In-Degree], "&gt;= " &amp; F2) - COUNTIF(Vertices[In-Degree], "&gt;=" &amp; F3)</calculatedColumnFormula>
    </tableColumn>
    <tableColumn id="5" name="Out-Degree Bin" dataDxfId="490"/>
    <tableColumn id="6" name="Out-Degree Frequency" dataDxfId="489">
      <calculatedColumnFormula>COUNTIF(Vertices[Out-Degree], "&gt;= " &amp; H2) - COUNTIF(Vertices[Out-Degree], "&gt;=" &amp; H3)</calculatedColumnFormula>
    </tableColumn>
    <tableColumn id="7" name="Betweenness Centrality Bin" dataDxfId="488"/>
    <tableColumn id="8" name="Betweenness Centrality Frequency" dataDxfId="487">
      <calculatedColumnFormula>COUNTIF(Vertices[Betweenness Centrality], "&gt;= " &amp; J2) - COUNTIF(Vertices[Betweenness Centrality], "&gt;=" &amp; J3)</calculatedColumnFormula>
    </tableColumn>
    <tableColumn id="9" name="Closeness Centrality Bin" dataDxfId="486"/>
    <tableColumn id="10" name="Closeness Centrality Frequency" dataDxfId="485">
      <calculatedColumnFormula>COUNTIF(Vertices[Closeness Centrality], "&gt;= " &amp; L2) - COUNTIF(Vertices[Closeness Centrality], "&gt;=" &amp; L3)</calculatedColumnFormula>
    </tableColumn>
    <tableColumn id="11" name="Eigenvector Centrality Bin" dataDxfId="484"/>
    <tableColumn id="12" name="Eigenvector Centrality Frequency" dataDxfId="483">
      <calculatedColumnFormula>COUNTIF(Vertices[Eigenvector Centrality], "&gt;= " &amp; N2) - COUNTIF(Vertices[Eigenvector Centrality], "&gt;=" &amp; N3)</calculatedColumnFormula>
    </tableColumn>
    <tableColumn id="18" name="PageRank Bin" dataDxfId="482"/>
    <tableColumn id="17" name="PageRank Frequency" dataDxfId="481">
      <calculatedColumnFormula>COUNTIF(Vertices[Eigenvector Centrality], "&gt;= " &amp; P2) - COUNTIF(Vertices[Eigenvector Centrality], "&gt;=" &amp; P3)</calculatedColumnFormula>
    </tableColumn>
    <tableColumn id="13" name="Clustering Coefficient Bin" dataDxfId="480"/>
    <tableColumn id="14" name="Clustering Coefficient Frequency" dataDxfId="479">
      <calculatedColumnFormula>COUNTIF(Vertices[Clustering Coefficient], "&gt;= " &amp; R2) - COUNTIF(Vertices[Clustering Coefficient], "&gt;=" &amp; R3)</calculatedColumnFormula>
    </tableColumn>
    <tableColumn id="15" name="Dynamic Filter Bin" dataDxfId="478"/>
    <tableColumn id="16" name="Dynamic Filter Frequency" dataDxfId="4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8" totalsRowShown="0" headerRowDxfId="476">
  <autoFilter ref="J1:K28"/>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hyperlink" Target="http://gabinete.mx/index.php/es/component/k2/item/658-amlo-seguimiento-septiembre-2021" TargetMode="External" /><Relationship Id="rId2" Type="http://schemas.openxmlformats.org/officeDocument/2006/relationships/hyperlink" Target="https://www.meltingpot.org/Tapachula-frontiera-sud-del-Messico-migliaia-di-persone.html" TargetMode="External" /><Relationship Id="rId3" Type="http://schemas.openxmlformats.org/officeDocument/2006/relationships/hyperlink" Target="https://www.jornada.com.mx/notas/2021/09/21/estados/inm-envia-por-avion-a-120-haitianos-a-chiapas-desde-coahuila/" TargetMode="External" /><Relationship Id="rId4" Type="http://schemas.openxmlformats.org/officeDocument/2006/relationships/hyperlink" Target="https://www.youtube.com/channel/UCRja7nxirrJ4yEUa9pPkFmw" TargetMode="External" /><Relationship Id="rId5" Type="http://schemas.openxmlformats.org/officeDocument/2006/relationships/hyperlink" Target="https://www.youtube.com/watch?v=SAkyfdQhNLw&amp;feature=youtu.be" TargetMode="External" /><Relationship Id="rId6" Type="http://schemas.openxmlformats.org/officeDocument/2006/relationships/hyperlink" Target="https://twitter.com/GCorreaCabrera/status/1438536476061491211" TargetMode="External" /><Relationship Id="rId7" Type="http://schemas.openxmlformats.org/officeDocument/2006/relationships/hyperlink" Target="https://avispa.org/migrantes-buscan-rutas-alternativas-en-chiapas-autoridades-responden-con-violencia/" TargetMode="External" /><Relationship Id="rId8" Type="http://schemas.openxmlformats.org/officeDocument/2006/relationships/hyperlink" Target="https://www.diariodelsur.com.mx/local/activa-guardia-nacional-busqueda-de-migrantes-en-taxis-7222717.html" TargetMode="External" /><Relationship Id="rId9" Type="http://schemas.openxmlformats.org/officeDocument/2006/relationships/hyperlink" Target="https://www.diariodelsur.com.mx/local/migrantes-intentan-salir-de-chiapas-con-rumbo-a-veracruz-7237222.html" TargetMode="External" /><Relationship Id="rId10" Type="http://schemas.openxmlformats.org/officeDocument/2006/relationships/hyperlink" Target="https://movimientomigrantemesoamericano.org/2021/09/16/se-desborda-flujo-migratorio/" TargetMode="External" /><Relationship Id="rId11" Type="http://schemas.openxmlformats.org/officeDocument/2006/relationships/hyperlink" Target="https://www.jornada.com.mx/notas/2021/09/21/estados/inm-envia-por-avion-a-120-haitianos-a-chiapas-desde-coahuila/" TargetMode="External" /><Relationship Id="rId12" Type="http://schemas.openxmlformats.org/officeDocument/2006/relationships/hyperlink" Target="https://www.ejecentral.com.mx/inm-lleva-a-120-migrantes-a-chiapas-haitianos-siguen-llegando-al-norte/" TargetMode="External" /><Relationship Id="rId13" Type="http://schemas.openxmlformats.org/officeDocument/2006/relationships/hyperlink" Target="https://cutt.ly/IEhgLyr" TargetMode="External" /><Relationship Id="rId14" Type="http://schemas.openxmlformats.org/officeDocument/2006/relationships/hyperlink" Target="https://www.meltingpot.org/Tapachula-frontiera-sud-del-Messico-migliaia-di-persone.html" TargetMode="External" /><Relationship Id="rId15" Type="http://schemas.openxmlformats.org/officeDocument/2006/relationships/hyperlink" Target="https://www.diariodelsur.com.mx/local/activa-guardia-nacional-busqueda-de-migrantes-en-taxis-7222717.html" TargetMode="External" /><Relationship Id="rId16" Type="http://schemas.openxmlformats.org/officeDocument/2006/relationships/hyperlink" Target="https://www.diariodelsur.com.mx/local/migrantes-intentan-salir-de-chiapas-con-rumbo-a-veracruz-7237222.html" TargetMode="External" /><Relationship Id="rId17" Type="http://schemas.openxmlformats.org/officeDocument/2006/relationships/hyperlink" Target="https://movimientomigrantemesoamericano.org/2021/09/16/se-desborda-flujo-migratorio/" TargetMode="External" /><Relationship Id="rId18" Type="http://schemas.openxmlformats.org/officeDocument/2006/relationships/hyperlink" Target="https://talcualdigital.com/el-bloqueo-migratorio-en-mexico-fortalece-al-crimen-organizado-por-carlos-barrachina-l/" TargetMode="External" /><Relationship Id="rId19" Type="http://schemas.openxmlformats.org/officeDocument/2006/relationships/hyperlink" Target="https://www.mexnewz.mx/detectan-covid-en-20-de-pruebas-realizadas-a-migrantes/" TargetMode="External" /><Relationship Id="rId20" Type="http://schemas.openxmlformats.org/officeDocument/2006/relationships/hyperlink" Target="http://www.infomediamx.com/65774/" TargetMode="External" /><Relationship Id="rId21" Type="http://schemas.openxmlformats.org/officeDocument/2006/relationships/hyperlink" Target="https://www.youtube.com/watch?v=ItA1uxOf8TQ" TargetMode="External" /><Relationship Id="rId22" Type="http://schemas.openxmlformats.org/officeDocument/2006/relationships/hyperlink" Target="https://pulsosur.com/2021/09/20/estados-unidos-cierra-su-frontera-para-frenar-el-cruce-de-mas-migrantes-haitianos/" TargetMode="External" /><Relationship Id="rId23" Type="http://schemas.openxmlformats.org/officeDocument/2006/relationships/hyperlink" Target="https://www.youtube.com/watch?v=Qb_wGiyo4NY&amp;feature=youtu.be" TargetMode="External" /><Relationship Id="rId24" Type="http://schemas.openxmlformats.org/officeDocument/2006/relationships/hyperlink" Target="https://www.youtube.com/watch?v=3RqhLdsLdeI&amp;feature=youtu.be" TargetMode="External" /><Relationship Id="rId25" Type="http://schemas.openxmlformats.org/officeDocument/2006/relationships/hyperlink" Target="https://www.youtube.com/watch?v=SVNAKVANq8o&amp;feature=youtu.be" TargetMode="External" /><Relationship Id="rId26" Type="http://schemas.openxmlformats.org/officeDocument/2006/relationships/hyperlink" Target="https://www.youtube.com/watch?v=2xnoo4EEV84&amp;feature=youtu.be" TargetMode="External" /><Relationship Id="rId27" Type="http://schemas.openxmlformats.org/officeDocument/2006/relationships/hyperlink" Target="https://twitter.com/Arcariam85/status/1441559222328647687" TargetMode="External" /><Relationship Id="rId28" Type="http://schemas.openxmlformats.org/officeDocument/2006/relationships/hyperlink" Target="https://piedepagina.mx/tapachula-la-ciudad-prision/" TargetMode="External" /><Relationship Id="rId29" Type="http://schemas.openxmlformats.org/officeDocument/2006/relationships/hyperlink" Target="https://www.youtube.com/channel/UCRja7nxirrJ4yEUa9pPkFmw" TargetMode="External" /><Relationship Id="rId30" Type="http://schemas.openxmlformats.org/officeDocument/2006/relationships/hyperlink" Target="https://www.youtube.com/watch?v=SAkyfdQhNLw&amp;feature=youtu.be" TargetMode="External" /><Relationship Id="rId31" Type="http://schemas.openxmlformats.org/officeDocument/2006/relationships/hyperlink" Target="https://twitter.com/GCorreaCabrera/status/1438536476061491211" TargetMode="External" /><Relationship Id="rId32" Type="http://schemas.openxmlformats.org/officeDocument/2006/relationships/hyperlink" Target="https://versusmedia.mx/lo-que-queda-en-el-camino-estrena-en-el-giff-2021/" TargetMode="External" /><Relationship Id="rId33" Type="http://schemas.openxmlformats.org/officeDocument/2006/relationships/hyperlink" Target="https://www.elsiglodedurango.com.mx/2021/09/1341510.cinta-sobre-caravana-migrante-se-estrena-en-el-giff.html#.YUjc25Gos58.twitter" TargetMode="External" /><Relationship Id="rId34" Type="http://schemas.openxmlformats.org/officeDocument/2006/relationships/hyperlink" Target="https://avispa.org/migrantes-buscan-rutas-alternativas-en-chiapas-autoridades-responden-con-violencia/" TargetMode="External" /><Relationship Id="rId35" Type="http://schemas.openxmlformats.org/officeDocument/2006/relationships/table" Target="../tables/table16.xml" /><Relationship Id="rId36" Type="http://schemas.openxmlformats.org/officeDocument/2006/relationships/table" Target="../tables/table17.xml" /><Relationship Id="rId37" Type="http://schemas.openxmlformats.org/officeDocument/2006/relationships/table" Target="../tables/table18.xm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24.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1650</v>
      </c>
      <c r="BD2" s="13" t="s">
        <v>1691</v>
      </c>
      <c r="BE2" s="13" t="s">
        <v>1692</v>
      </c>
      <c r="BF2" s="54" t="s">
        <v>2098</v>
      </c>
      <c r="BG2" s="54" t="s">
        <v>2099</v>
      </c>
      <c r="BH2" s="54" t="s">
        <v>2100</v>
      </c>
      <c r="BI2" s="54" t="s">
        <v>2101</v>
      </c>
      <c r="BJ2" s="54" t="s">
        <v>2102</v>
      </c>
      <c r="BK2" s="54" t="s">
        <v>2103</v>
      </c>
      <c r="BL2" s="54" t="s">
        <v>2104</v>
      </c>
      <c r="BM2" s="54" t="s">
        <v>2105</v>
      </c>
      <c r="BN2" s="54" t="s">
        <v>2106</v>
      </c>
    </row>
    <row r="3" spans="1:66" ht="15" customHeight="1">
      <c r="A3" s="65" t="s">
        <v>216</v>
      </c>
      <c r="B3" s="65" t="s">
        <v>221</v>
      </c>
      <c r="C3" s="66" t="s">
        <v>2698</v>
      </c>
      <c r="D3" s="67">
        <v>4</v>
      </c>
      <c r="E3" s="68" t="s">
        <v>132</v>
      </c>
      <c r="F3" s="69">
        <v>30</v>
      </c>
      <c r="G3" s="66"/>
      <c r="H3" s="70"/>
      <c r="I3" s="71"/>
      <c r="J3" s="71"/>
      <c r="K3" s="35" t="s">
        <v>65</v>
      </c>
      <c r="L3" s="72">
        <v>3</v>
      </c>
      <c r="M3" s="72"/>
      <c r="N3" s="73"/>
      <c r="O3" s="79" t="s">
        <v>382</v>
      </c>
      <c r="P3" s="81">
        <v>44455.73625</v>
      </c>
      <c r="Q3" s="79" t="s">
        <v>386</v>
      </c>
      <c r="R3" s="79" t="s">
        <v>448</v>
      </c>
      <c r="S3" s="79" t="s">
        <v>449</v>
      </c>
      <c r="T3" s="84" t="s">
        <v>467</v>
      </c>
      <c r="U3" s="86" t="str">
        <f>HYPERLINK("https://pbs.twimg.com/ext_tw_video_thumb/1438555724775231489/pu/img/3eMPChFtKy7dWr8h.jpg")</f>
        <v>https://pbs.twimg.com/ext_tw_video_thumb/1438555724775231489/pu/img/3eMPChFtKy7dWr8h.jpg</v>
      </c>
      <c r="V3" s="86" t="str">
        <f>HYPERLINK("https://pbs.twimg.com/ext_tw_video_thumb/1438555724775231489/pu/img/3eMPChFtKy7dWr8h.jpg")</f>
        <v>https://pbs.twimg.com/ext_tw_video_thumb/1438555724775231489/pu/img/3eMPChFtKy7dWr8h.jpg</v>
      </c>
      <c r="W3" s="81">
        <v>44455.73625</v>
      </c>
      <c r="X3" s="87">
        <v>44455</v>
      </c>
      <c r="Y3" s="84" t="s">
        <v>517</v>
      </c>
      <c r="Z3" s="86" t="str">
        <f>HYPERLINK("https://twitter.com/xxiperiodismo/status/1438558348778016771")</f>
        <v>https://twitter.com/xxiperiodismo/status/1438558348778016771</v>
      </c>
      <c r="AA3" s="79"/>
      <c r="AB3" s="79"/>
      <c r="AC3" s="84" t="s">
        <v>690</v>
      </c>
      <c r="AD3" s="79"/>
      <c r="AE3" s="79" t="b">
        <v>0</v>
      </c>
      <c r="AF3" s="79">
        <v>0</v>
      </c>
      <c r="AG3" s="84" t="s">
        <v>871</v>
      </c>
      <c r="AH3" s="79" t="b">
        <v>1</v>
      </c>
      <c r="AI3" s="79" t="s">
        <v>880</v>
      </c>
      <c r="AJ3" s="79"/>
      <c r="AK3" s="84" t="s">
        <v>885</v>
      </c>
      <c r="AL3" s="79" t="b">
        <v>0</v>
      </c>
      <c r="AM3" s="79">
        <v>6</v>
      </c>
      <c r="AN3" s="84" t="s">
        <v>696</v>
      </c>
      <c r="AO3" s="84" t="s">
        <v>889</v>
      </c>
      <c r="AP3" s="79" t="b">
        <v>0</v>
      </c>
      <c r="AQ3" s="84" t="s">
        <v>696</v>
      </c>
      <c r="AR3" s="79" t="s">
        <v>178</v>
      </c>
      <c r="AS3" s="79">
        <v>0</v>
      </c>
      <c r="AT3" s="79">
        <v>0</v>
      </c>
      <c r="AU3" s="79"/>
      <c r="AV3" s="79"/>
      <c r="AW3" s="79"/>
      <c r="AX3" s="79"/>
      <c r="AY3" s="79"/>
      <c r="AZ3" s="79"/>
      <c r="BA3" s="79"/>
      <c r="BB3" s="79"/>
      <c r="BC3">
        <v>1</v>
      </c>
      <c r="BD3" s="79" t="str">
        <f>REPLACE(INDEX(GroupVertices[Group],MATCH(Edges[[#This Row],[Vertex 1]],GroupVertices[Vertex],0)),1,1,"")</f>
        <v>6</v>
      </c>
      <c r="BE3" s="79" t="str">
        <f>REPLACE(INDEX(GroupVertices[Group],MATCH(Edges[[#This Row],[Vertex 2]],GroupVertices[Vertex],0)),1,1,"")</f>
        <v>6</v>
      </c>
      <c r="BF3" s="49"/>
      <c r="BG3" s="50"/>
      <c r="BH3" s="49"/>
      <c r="BI3" s="50"/>
      <c r="BJ3" s="49"/>
      <c r="BK3" s="50"/>
      <c r="BL3" s="49"/>
      <c r="BM3" s="50"/>
      <c r="BN3" s="49"/>
    </row>
    <row r="4" spans="1:66" ht="15" customHeight="1">
      <c r="A4" s="65" t="s">
        <v>216</v>
      </c>
      <c r="B4" s="65" t="s">
        <v>358</v>
      </c>
      <c r="C4" s="66" t="s">
        <v>2698</v>
      </c>
      <c r="D4" s="67">
        <v>4</v>
      </c>
      <c r="E4" s="68" t="s">
        <v>132</v>
      </c>
      <c r="F4" s="69">
        <v>30</v>
      </c>
      <c r="G4" s="66"/>
      <c r="H4" s="70"/>
      <c r="I4" s="71"/>
      <c r="J4" s="71"/>
      <c r="K4" s="35" t="s">
        <v>65</v>
      </c>
      <c r="L4" s="78">
        <v>4</v>
      </c>
      <c r="M4" s="78"/>
      <c r="N4" s="73"/>
      <c r="O4" s="80" t="s">
        <v>382</v>
      </c>
      <c r="P4" s="82">
        <v>44455.73625</v>
      </c>
      <c r="Q4" s="80" t="s">
        <v>386</v>
      </c>
      <c r="R4" s="80" t="s">
        <v>448</v>
      </c>
      <c r="S4" s="80" t="s">
        <v>449</v>
      </c>
      <c r="T4" s="85" t="s">
        <v>467</v>
      </c>
      <c r="U4" s="83" t="str">
        <f>HYPERLINK("https://pbs.twimg.com/ext_tw_video_thumb/1438555724775231489/pu/img/3eMPChFtKy7dWr8h.jpg")</f>
        <v>https://pbs.twimg.com/ext_tw_video_thumb/1438555724775231489/pu/img/3eMPChFtKy7dWr8h.jpg</v>
      </c>
      <c r="V4" s="83" t="str">
        <f>HYPERLINK("https://pbs.twimg.com/ext_tw_video_thumb/1438555724775231489/pu/img/3eMPChFtKy7dWr8h.jpg")</f>
        <v>https://pbs.twimg.com/ext_tw_video_thumb/1438555724775231489/pu/img/3eMPChFtKy7dWr8h.jpg</v>
      </c>
      <c r="W4" s="82">
        <v>44455.73625</v>
      </c>
      <c r="X4" s="88">
        <v>44455</v>
      </c>
      <c r="Y4" s="85" t="s">
        <v>517</v>
      </c>
      <c r="Z4" s="83" t="str">
        <f>HYPERLINK("https://twitter.com/xxiperiodismo/status/1438558348778016771")</f>
        <v>https://twitter.com/xxiperiodismo/status/1438558348778016771</v>
      </c>
      <c r="AA4" s="80"/>
      <c r="AB4" s="80"/>
      <c r="AC4" s="85" t="s">
        <v>690</v>
      </c>
      <c r="AD4" s="80"/>
      <c r="AE4" s="80" t="b">
        <v>0</v>
      </c>
      <c r="AF4" s="80">
        <v>0</v>
      </c>
      <c r="AG4" s="85" t="s">
        <v>871</v>
      </c>
      <c r="AH4" s="80" t="b">
        <v>1</v>
      </c>
      <c r="AI4" s="80" t="s">
        <v>880</v>
      </c>
      <c r="AJ4" s="80"/>
      <c r="AK4" s="85" t="s">
        <v>885</v>
      </c>
      <c r="AL4" s="80" t="b">
        <v>0</v>
      </c>
      <c r="AM4" s="80">
        <v>6</v>
      </c>
      <c r="AN4" s="85" t="s">
        <v>696</v>
      </c>
      <c r="AO4" s="85" t="s">
        <v>889</v>
      </c>
      <c r="AP4" s="80" t="b">
        <v>0</v>
      </c>
      <c r="AQ4" s="85" t="s">
        <v>696</v>
      </c>
      <c r="AR4" s="80" t="s">
        <v>178</v>
      </c>
      <c r="AS4" s="80">
        <v>0</v>
      </c>
      <c r="AT4" s="80">
        <v>0</v>
      </c>
      <c r="AU4" s="80"/>
      <c r="AV4" s="80"/>
      <c r="AW4" s="80"/>
      <c r="AX4" s="80"/>
      <c r="AY4" s="80"/>
      <c r="AZ4" s="80"/>
      <c r="BA4" s="80"/>
      <c r="BB4" s="80"/>
      <c r="BC4">
        <v>1</v>
      </c>
      <c r="BD4" s="79" t="str">
        <f>REPLACE(INDEX(GroupVertices[Group],MATCH(Edges[[#This Row],[Vertex 1]],GroupVertices[Vertex],0)),1,1,"")</f>
        <v>6</v>
      </c>
      <c r="BE4" s="79" t="str">
        <f>REPLACE(INDEX(GroupVertices[Group],MATCH(Edges[[#This Row],[Vertex 2]],GroupVertices[Vertex],0)),1,1,"")</f>
        <v>6</v>
      </c>
      <c r="BF4" s="49"/>
      <c r="BG4" s="50"/>
      <c r="BH4" s="49"/>
      <c r="BI4" s="50"/>
      <c r="BJ4" s="49"/>
      <c r="BK4" s="50"/>
      <c r="BL4" s="49"/>
      <c r="BM4" s="50"/>
      <c r="BN4" s="49"/>
    </row>
    <row r="5" spans="1:66" ht="15">
      <c r="A5" s="65" t="s">
        <v>216</v>
      </c>
      <c r="B5" s="65" t="s">
        <v>220</v>
      </c>
      <c r="C5" s="66" t="s">
        <v>2698</v>
      </c>
      <c r="D5" s="67">
        <v>4</v>
      </c>
      <c r="E5" s="68" t="s">
        <v>132</v>
      </c>
      <c r="F5" s="69">
        <v>30</v>
      </c>
      <c r="G5" s="66"/>
      <c r="H5" s="70"/>
      <c r="I5" s="71"/>
      <c r="J5" s="71"/>
      <c r="K5" s="35" t="s">
        <v>65</v>
      </c>
      <c r="L5" s="78">
        <v>5</v>
      </c>
      <c r="M5" s="78"/>
      <c r="N5" s="73"/>
      <c r="O5" s="80" t="s">
        <v>382</v>
      </c>
      <c r="P5" s="82">
        <v>44455.73625</v>
      </c>
      <c r="Q5" s="80" t="s">
        <v>386</v>
      </c>
      <c r="R5" s="80" t="s">
        <v>448</v>
      </c>
      <c r="S5" s="80" t="s">
        <v>449</v>
      </c>
      <c r="T5" s="85" t="s">
        <v>467</v>
      </c>
      <c r="U5" s="83" t="str">
        <f>HYPERLINK("https://pbs.twimg.com/ext_tw_video_thumb/1438555724775231489/pu/img/3eMPChFtKy7dWr8h.jpg")</f>
        <v>https://pbs.twimg.com/ext_tw_video_thumb/1438555724775231489/pu/img/3eMPChFtKy7dWr8h.jpg</v>
      </c>
      <c r="V5" s="83" t="str">
        <f>HYPERLINK("https://pbs.twimg.com/ext_tw_video_thumb/1438555724775231489/pu/img/3eMPChFtKy7dWr8h.jpg")</f>
        <v>https://pbs.twimg.com/ext_tw_video_thumb/1438555724775231489/pu/img/3eMPChFtKy7dWr8h.jpg</v>
      </c>
      <c r="W5" s="82">
        <v>44455.73625</v>
      </c>
      <c r="X5" s="88">
        <v>44455</v>
      </c>
      <c r="Y5" s="85" t="s">
        <v>517</v>
      </c>
      <c r="Z5" s="83" t="str">
        <f>HYPERLINK("https://twitter.com/xxiperiodismo/status/1438558348778016771")</f>
        <v>https://twitter.com/xxiperiodismo/status/1438558348778016771</v>
      </c>
      <c r="AA5" s="80"/>
      <c r="AB5" s="80"/>
      <c r="AC5" s="85" t="s">
        <v>690</v>
      </c>
      <c r="AD5" s="80"/>
      <c r="AE5" s="80" t="b">
        <v>0</v>
      </c>
      <c r="AF5" s="80">
        <v>0</v>
      </c>
      <c r="AG5" s="85" t="s">
        <v>871</v>
      </c>
      <c r="AH5" s="80" t="b">
        <v>1</v>
      </c>
      <c r="AI5" s="80" t="s">
        <v>880</v>
      </c>
      <c r="AJ5" s="80"/>
      <c r="AK5" s="85" t="s">
        <v>885</v>
      </c>
      <c r="AL5" s="80" t="b">
        <v>0</v>
      </c>
      <c r="AM5" s="80">
        <v>6</v>
      </c>
      <c r="AN5" s="85" t="s">
        <v>696</v>
      </c>
      <c r="AO5" s="85" t="s">
        <v>889</v>
      </c>
      <c r="AP5" s="80" t="b">
        <v>0</v>
      </c>
      <c r="AQ5" s="85" t="s">
        <v>696</v>
      </c>
      <c r="AR5" s="80" t="s">
        <v>178</v>
      </c>
      <c r="AS5" s="80">
        <v>0</v>
      </c>
      <c r="AT5" s="80">
        <v>0</v>
      </c>
      <c r="AU5" s="80"/>
      <c r="AV5" s="80"/>
      <c r="AW5" s="80"/>
      <c r="AX5" s="80"/>
      <c r="AY5" s="80"/>
      <c r="AZ5" s="80"/>
      <c r="BA5" s="80"/>
      <c r="BB5" s="80"/>
      <c r="BC5">
        <v>1</v>
      </c>
      <c r="BD5" s="79" t="str">
        <f>REPLACE(INDEX(GroupVertices[Group],MATCH(Edges[[#This Row],[Vertex 1]],GroupVertices[Vertex],0)),1,1,"")</f>
        <v>6</v>
      </c>
      <c r="BE5" s="79" t="str">
        <f>REPLACE(INDEX(GroupVertices[Group],MATCH(Edges[[#This Row],[Vertex 2]],GroupVertices[Vertex],0)),1,1,"")</f>
        <v>6</v>
      </c>
      <c r="BF5" s="49"/>
      <c r="BG5" s="50"/>
      <c r="BH5" s="49"/>
      <c r="BI5" s="50"/>
      <c r="BJ5" s="49"/>
      <c r="BK5" s="50"/>
      <c r="BL5" s="49"/>
      <c r="BM5" s="50"/>
      <c r="BN5" s="49"/>
    </row>
    <row r="6" spans="1:66" ht="15">
      <c r="A6" s="65" t="s">
        <v>216</v>
      </c>
      <c r="B6" s="65" t="s">
        <v>219</v>
      </c>
      <c r="C6" s="66" t="s">
        <v>2698</v>
      </c>
      <c r="D6" s="67">
        <v>4</v>
      </c>
      <c r="E6" s="68" t="s">
        <v>132</v>
      </c>
      <c r="F6" s="69">
        <v>30</v>
      </c>
      <c r="G6" s="66"/>
      <c r="H6" s="70"/>
      <c r="I6" s="71"/>
      <c r="J6" s="71"/>
      <c r="K6" s="35" t="s">
        <v>65</v>
      </c>
      <c r="L6" s="78">
        <v>6</v>
      </c>
      <c r="M6" s="78"/>
      <c r="N6" s="73"/>
      <c r="O6" s="80" t="s">
        <v>382</v>
      </c>
      <c r="P6" s="82">
        <v>44455.73625</v>
      </c>
      <c r="Q6" s="80" t="s">
        <v>386</v>
      </c>
      <c r="R6" s="80" t="s">
        <v>448</v>
      </c>
      <c r="S6" s="80" t="s">
        <v>449</v>
      </c>
      <c r="T6" s="85" t="s">
        <v>467</v>
      </c>
      <c r="U6" s="83" t="str">
        <f>HYPERLINK("https://pbs.twimg.com/ext_tw_video_thumb/1438555724775231489/pu/img/3eMPChFtKy7dWr8h.jpg")</f>
        <v>https://pbs.twimg.com/ext_tw_video_thumb/1438555724775231489/pu/img/3eMPChFtKy7dWr8h.jpg</v>
      </c>
      <c r="V6" s="83" t="str">
        <f>HYPERLINK("https://pbs.twimg.com/ext_tw_video_thumb/1438555724775231489/pu/img/3eMPChFtKy7dWr8h.jpg")</f>
        <v>https://pbs.twimg.com/ext_tw_video_thumb/1438555724775231489/pu/img/3eMPChFtKy7dWr8h.jpg</v>
      </c>
      <c r="W6" s="82">
        <v>44455.73625</v>
      </c>
      <c r="X6" s="88">
        <v>44455</v>
      </c>
      <c r="Y6" s="85" t="s">
        <v>517</v>
      </c>
      <c r="Z6" s="83" t="str">
        <f>HYPERLINK("https://twitter.com/xxiperiodismo/status/1438558348778016771")</f>
        <v>https://twitter.com/xxiperiodismo/status/1438558348778016771</v>
      </c>
      <c r="AA6" s="80"/>
      <c r="AB6" s="80"/>
      <c r="AC6" s="85" t="s">
        <v>690</v>
      </c>
      <c r="AD6" s="80"/>
      <c r="AE6" s="80" t="b">
        <v>0</v>
      </c>
      <c r="AF6" s="80">
        <v>0</v>
      </c>
      <c r="AG6" s="85" t="s">
        <v>871</v>
      </c>
      <c r="AH6" s="80" t="b">
        <v>1</v>
      </c>
      <c r="AI6" s="80" t="s">
        <v>880</v>
      </c>
      <c r="AJ6" s="80"/>
      <c r="AK6" s="85" t="s">
        <v>885</v>
      </c>
      <c r="AL6" s="80" t="b">
        <v>0</v>
      </c>
      <c r="AM6" s="80">
        <v>6</v>
      </c>
      <c r="AN6" s="85" t="s">
        <v>696</v>
      </c>
      <c r="AO6" s="85" t="s">
        <v>889</v>
      </c>
      <c r="AP6" s="80" t="b">
        <v>0</v>
      </c>
      <c r="AQ6" s="85" t="s">
        <v>696</v>
      </c>
      <c r="AR6" s="80" t="s">
        <v>178</v>
      </c>
      <c r="AS6" s="80">
        <v>0</v>
      </c>
      <c r="AT6" s="80">
        <v>0</v>
      </c>
      <c r="AU6" s="80"/>
      <c r="AV6" s="80"/>
      <c r="AW6" s="80"/>
      <c r="AX6" s="80"/>
      <c r="AY6" s="80"/>
      <c r="AZ6" s="80"/>
      <c r="BA6" s="80"/>
      <c r="BB6" s="80"/>
      <c r="BC6">
        <v>1</v>
      </c>
      <c r="BD6" s="79" t="str">
        <f>REPLACE(INDEX(GroupVertices[Group],MATCH(Edges[[#This Row],[Vertex 1]],GroupVertices[Vertex],0)),1,1,"")</f>
        <v>6</v>
      </c>
      <c r="BE6" s="79" t="str">
        <f>REPLACE(INDEX(GroupVertices[Group],MATCH(Edges[[#This Row],[Vertex 2]],GroupVertices[Vertex],0)),1,1,"")</f>
        <v>6</v>
      </c>
      <c r="BF6" s="49"/>
      <c r="BG6" s="50"/>
      <c r="BH6" s="49"/>
      <c r="BI6" s="50"/>
      <c r="BJ6" s="49"/>
      <c r="BK6" s="50"/>
      <c r="BL6" s="49"/>
      <c r="BM6" s="50"/>
      <c r="BN6" s="49"/>
    </row>
    <row r="7" spans="1:66" ht="15">
      <c r="A7" s="65" t="s">
        <v>216</v>
      </c>
      <c r="B7" s="65" t="s">
        <v>222</v>
      </c>
      <c r="C7" s="66" t="s">
        <v>2698</v>
      </c>
      <c r="D7" s="67">
        <v>4</v>
      </c>
      <c r="E7" s="68" t="s">
        <v>132</v>
      </c>
      <c r="F7" s="69">
        <v>30</v>
      </c>
      <c r="G7" s="66"/>
      <c r="H7" s="70"/>
      <c r="I7" s="71"/>
      <c r="J7" s="71"/>
      <c r="K7" s="35" t="s">
        <v>65</v>
      </c>
      <c r="L7" s="78">
        <v>7</v>
      </c>
      <c r="M7" s="78"/>
      <c r="N7" s="73"/>
      <c r="O7" s="80" t="s">
        <v>383</v>
      </c>
      <c r="P7" s="82">
        <v>44455.73625</v>
      </c>
      <c r="Q7" s="80" t="s">
        <v>386</v>
      </c>
      <c r="R7" s="80" t="s">
        <v>448</v>
      </c>
      <c r="S7" s="80" t="s">
        <v>449</v>
      </c>
      <c r="T7" s="85" t="s">
        <v>467</v>
      </c>
      <c r="U7" s="83" t="str">
        <f>HYPERLINK("https://pbs.twimg.com/ext_tw_video_thumb/1438555724775231489/pu/img/3eMPChFtKy7dWr8h.jpg")</f>
        <v>https://pbs.twimg.com/ext_tw_video_thumb/1438555724775231489/pu/img/3eMPChFtKy7dWr8h.jpg</v>
      </c>
      <c r="V7" s="83" t="str">
        <f>HYPERLINK("https://pbs.twimg.com/ext_tw_video_thumb/1438555724775231489/pu/img/3eMPChFtKy7dWr8h.jpg")</f>
        <v>https://pbs.twimg.com/ext_tw_video_thumb/1438555724775231489/pu/img/3eMPChFtKy7dWr8h.jpg</v>
      </c>
      <c r="W7" s="82">
        <v>44455.73625</v>
      </c>
      <c r="X7" s="88">
        <v>44455</v>
      </c>
      <c r="Y7" s="85" t="s">
        <v>517</v>
      </c>
      <c r="Z7" s="83" t="str">
        <f>HYPERLINK("https://twitter.com/xxiperiodismo/status/1438558348778016771")</f>
        <v>https://twitter.com/xxiperiodismo/status/1438558348778016771</v>
      </c>
      <c r="AA7" s="80"/>
      <c r="AB7" s="80"/>
      <c r="AC7" s="85" t="s">
        <v>690</v>
      </c>
      <c r="AD7" s="80"/>
      <c r="AE7" s="80" t="b">
        <v>0</v>
      </c>
      <c r="AF7" s="80">
        <v>0</v>
      </c>
      <c r="AG7" s="85" t="s">
        <v>871</v>
      </c>
      <c r="AH7" s="80" t="b">
        <v>1</v>
      </c>
      <c r="AI7" s="80" t="s">
        <v>880</v>
      </c>
      <c r="AJ7" s="80"/>
      <c r="AK7" s="85" t="s">
        <v>885</v>
      </c>
      <c r="AL7" s="80" t="b">
        <v>0</v>
      </c>
      <c r="AM7" s="80">
        <v>6</v>
      </c>
      <c r="AN7" s="85" t="s">
        <v>696</v>
      </c>
      <c r="AO7" s="85" t="s">
        <v>889</v>
      </c>
      <c r="AP7" s="80" t="b">
        <v>0</v>
      </c>
      <c r="AQ7" s="85" t="s">
        <v>696</v>
      </c>
      <c r="AR7" s="80" t="s">
        <v>178</v>
      </c>
      <c r="AS7" s="80">
        <v>0</v>
      </c>
      <c r="AT7" s="80">
        <v>0</v>
      </c>
      <c r="AU7" s="80"/>
      <c r="AV7" s="80"/>
      <c r="AW7" s="80"/>
      <c r="AX7" s="80"/>
      <c r="AY7" s="80"/>
      <c r="AZ7" s="80"/>
      <c r="BA7" s="80"/>
      <c r="BB7" s="80"/>
      <c r="BC7">
        <v>1</v>
      </c>
      <c r="BD7" s="79" t="str">
        <f>REPLACE(INDEX(GroupVertices[Group],MATCH(Edges[[#This Row],[Vertex 1]],GroupVertices[Vertex],0)),1,1,"")</f>
        <v>6</v>
      </c>
      <c r="BE7" s="79" t="str">
        <f>REPLACE(INDEX(GroupVertices[Group],MATCH(Edges[[#This Row],[Vertex 2]],GroupVertices[Vertex],0)),1,1,"")</f>
        <v>6</v>
      </c>
      <c r="BF7" s="49">
        <v>0</v>
      </c>
      <c r="BG7" s="50">
        <v>0</v>
      </c>
      <c r="BH7" s="49">
        <v>0</v>
      </c>
      <c r="BI7" s="50">
        <v>0</v>
      </c>
      <c r="BJ7" s="49">
        <v>0</v>
      </c>
      <c r="BK7" s="50">
        <v>0</v>
      </c>
      <c r="BL7" s="49">
        <v>24</v>
      </c>
      <c r="BM7" s="50">
        <v>100</v>
      </c>
      <c r="BN7" s="49">
        <v>24</v>
      </c>
    </row>
    <row r="8" spans="1:66" ht="15">
      <c r="A8" s="65" t="s">
        <v>217</v>
      </c>
      <c r="B8" s="65" t="s">
        <v>359</v>
      </c>
      <c r="C8" s="66" t="s">
        <v>2698</v>
      </c>
      <c r="D8" s="67">
        <v>4</v>
      </c>
      <c r="E8" s="68" t="s">
        <v>132</v>
      </c>
      <c r="F8" s="69">
        <v>30</v>
      </c>
      <c r="G8" s="66"/>
      <c r="H8" s="70"/>
      <c r="I8" s="71"/>
      <c r="J8" s="71"/>
      <c r="K8" s="35" t="s">
        <v>65</v>
      </c>
      <c r="L8" s="78">
        <v>8</v>
      </c>
      <c r="M8" s="78"/>
      <c r="N8" s="73"/>
      <c r="O8" s="80" t="s">
        <v>384</v>
      </c>
      <c r="P8" s="82">
        <v>44440.269594907404</v>
      </c>
      <c r="Q8" s="80" t="s">
        <v>387</v>
      </c>
      <c r="R8" s="80"/>
      <c r="S8" s="80"/>
      <c r="T8" s="85" t="s">
        <v>468</v>
      </c>
      <c r="U8" s="83" t="str">
        <f>HYPERLINK("https://pbs.twimg.com/ext_tw_video_thumb/1432953181168971778/pu/img/8ecDRGo4Sy-MKE2n.jpg")</f>
        <v>https://pbs.twimg.com/ext_tw_video_thumb/1432953181168971778/pu/img/8ecDRGo4Sy-MKE2n.jpg</v>
      </c>
      <c r="V8" s="83" t="str">
        <f>HYPERLINK("https://pbs.twimg.com/ext_tw_video_thumb/1432953181168971778/pu/img/8ecDRGo4Sy-MKE2n.jpg")</f>
        <v>https://pbs.twimg.com/ext_tw_video_thumb/1432953181168971778/pu/img/8ecDRGo4Sy-MKE2n.jpg</v>
      </c>
      <c r="W8" s="82">
        <v>44440.269594907404</v>
      </c>
      <c r="X8" s="88">
        <v>44440</v>
      </c>
      <c r="Y8" s="85" t="s">
        <v>518</v>
      </c>
      <c r="Z8" s="83" t="str">
        <f>HYPERLINK("https://twitter.com/vim_media/status/1432953423612321797")</f>
        <v>https://twitter.com/vim_media/status/1432953423612321797</v>
      </c>
      <c r="AA8" s="80"/>
      <c r="AB8" s="80"/>
      <c r="AC8" s="85" t="s">
        <v>691</v>
      </c>
      <c r="AD8" s="80"/>
      <c r="AE8" s="80" t="b">
        <v>0</v>
      </c>
      <c r="AF8" s="80">
        <v>523</v>
      </c>
      <c r="AG8" s="85" t="s">
        <v>871</v>
      </c>
      <c r="AH8" s="80" t="b">
        <v>0</v>
      </c>
      <c r="AI8" s="80" t="s">
        <v>881</v>
      </c>
      <c r="AJ8" s="80"/>
      <c r="AK8" s="85" t="s">
        <v>871</v>
      </c>
      <c r="AL8" s="80" t="b">
        <v>0</v>
      </c>
      <c r="AM8" s="80">
        <v>147</v>
      </c>
      <c r="AN8" s="85" t="s">
        <v>871</v>
      </c>
      <c r="AO8" s="85" t="s">
        <v>890</v>
      </c>
      <c r="AP8" s="80" t="b">
        <v>0</v>
      </c>
      <c r="AQ8" s="85" t="s">
        <v>691</v>
      </c>
      <c r="AR8" s="80" t="s">
        <v>383</v>
      </c>
      <c r="AS8" s="80">
        <v>0</v>
      </c>
      <c r="AT8" s="80">
        <v>0</v>
      </c>
      <c r="AU8" s="80"/>
      <c r="AV8" s="80"/>
      <c r="AW8" s="80"/>
      <c r="AX8" s="80"/>
      <c r="AY8" s="80"/>
      <c r="AZ8" s="80"/>
      <c r="BA8" s="80"/>
      <c r="BB8" s="80"/>
      <c r="BC8">
        <v>1</v>
      </c>
      <c r="BD8" s="79" t="str">
        <f>REPLACE(INDEX(GroupVertices[Group],MATCH(Edges[[#This Row],[Vertex 1]],GroupVertices[Vertex],0)),1,1,"")</f>
        <v>17</v>
      </c>
      <c r="BE8" s="79" t="str">
        <f>REPLACE(INDEX(GroupVertices[Group],MATCH(Edges[[#This Row],[Vertex 2]],GroupVertices[Vertex],0)),1,1,"")</f>
        <v>17</v>
      </c>
      <c r="BF8" s="49">
        <v>1</v>
      </c>
      <c r="BG8" s="50">
        <v>2.7777777777777777</v>
      </c>
      <c r="BH8" s="49">
        <v>0</v>
      </c>
      <c r="BI8" s="50">
        <v>0</v>
      </c>
      <c r="BJ8" s="49">
        <v>0</v>
      </c>
      <c r="BK8" s="50">
        <v>0</v>
      </c>
      <c r="BL8" s="49">
        <v>35</v>
      </c>
      <c r="BM8" s="50">
        <v>97.22222222222223</v>
      </c>
      <c r="BN8" s="49">
        <v>36</v>
      </c>
    </row>
    <row r="9" spans="1:66" ht="15">
      <c r="A9" s="65" t="s">
        <v>218</v>
      </c>
      <c r="B9" s="65" t="s">
        <v>359</v>
      </c>
      <c r="C9" s="66" t="s">
        <v>2698</v>
      </c>
      <c r="D9" s="67">
        <v>4</v>
      </c>
      <c r="E9" s="68" t="s">
        <v>132</v>
      </c>
      <c r="F9" s="69">
        <v>30</v>
      </c>
      <c r="G9" s="66"/>
      <c r="H9" s="70"/>
      <c r="I9" s="71"/>
      <c r="J9" s="71"/>
      <c r="K9" s="35" t="s">
        <v>65</v>
      </c>
      <c r="L9" s="78">
        <v>9</v>
      </c>
      <c r="M9" s="78"/>
      <c r="N9" s="73"/>
      <c r="O9" s="80" t="s">
        <v>382</v>
      </c>
      <c r="P9" s="82">
        <v>44455.80405092592</v>
      </c>
      <c r="Q9" s="80" t="s">
        <v>387</v>
      </c>
      <c r="R9" s="80"/>
      <c r="S9" s="80"/>
      <c r="T9" s="85" t="s">
        <v>468</v>
      </c>
      <c r="U9" s="83" t="str">
        <f>HYPERLINK("https://pbs.twimg.com/ext_tw_video_thumb/1432953181168971778/pu/img/8ecDRGo4Sy-MKE2n.jpg")</f>
        <v>https://pbs.twimg.com/ext_tw_video_thumb/1432953181168971778/pu/img/8ecDRGo4Sy-MKE2n.jpg</v>
      </c>
      <c r="V9" s="83" t="str">
        <f>HYPERLINK("https://pbs.twimg.com/ext_tw_video_thumb/1432953181168971778/pu/img/8ecDRGo4Sy-MKE2n.jpg")</f>
        <v>https://pbs.twimg.com/ext_tw_video_thumb/1432953181168971778/pu/img/8ecDRGo4Sy-MKE2n.jpg</v>
      </c>
      <c r="W9" s="82">
        <v>44455.80405092592</v>
      </c>
      <c r="X9" s="88">
        <v>44455</v>
      </c>
      <c r="Y9" s="85" t="s">
        <v>519</v>
      </c>
      <c r="Z9" s="83" t="str">
        <f>HYPERLINK("https://twitter.com/dontreadthis97/status/1438582920277594118")</f>
        <v>https://twitter.com/dontreadthis97/status/1438582920277594118</v>
      </c>
      <c r="AA9" s="80"/>
      <c r="AB9" s="80"/>
      <c r="AC9" s="85" t="s">
        <v>692</v>
      </c>
      <c r="AD9" s="80"/>
      <c r="AE9" s="80" t="b">
        <v>0</v>
      </c>
      <c r="AF9" s="80">
        <v>0</v>
      </c>
      <c r="AG9" s="85" t="s">
        <v>871</v>
      </c>
      <c r="AH9" s="80" t="b">
        <v>0</v>
      </c>
      <c r="AI9" s="80" t="s">
        <v>881</v>
      </c>
      <c r="AJ9" s="80"/>
      <c r="AK9" s="85" t="s">
        <v>871</v>
      </c>
      <c r="AL9" s="80" t="b">
        <v>0</v>
      </c>
      <c r="AM9" s="80">
        <v>147</v>
      </c>
      <c r="AN9" s="85" t="s">
        <v>691</v>
      </c>
      <c r="AO9" s="85" t="s">
        <v>891</v>
      </c>
      <c r="AP9" s="80" t="b">
        <v>0</v>
      </c>
      <c r="AQ9" s="85" t="s">
        <v>691</v>
      </c>
      <c r="AR9" s="80" t="s">
        <v>178</v>
      </c>
      <c r="AS9" s="80">
        <v>0</v>
      </c>
      <c r="AT9" s="80">
        <v>0</v>
      </c>
      <c r="AU9" s="80"/>
      <c r="AV9" s="80"/>
      <c r="AW9" s="80"/>
      <c r="AX9" s="80"/>
      <c r="AY9" s="80"/>
      <c r="AZ9" s="80"/>
      <c r="BA9" s="80"/>
      <c r="BB9" s="80"/>
      <c r="BC9">
        <v>1</v>
      </c>
      <c r="BD9" s="79" t="str">
        <f>REPLACE(INDEX(GroupVertices[Group],MATCH(Edges[[#This Row],[Vertex 1]],GroupVertices[Vertex],0)),1,1,"")</f>
        <v>17</v>
      </c>
      <c r="BE9" s="79" t="str">
        <f>REPLACE(INDEX(GroupVertices[Group],MATCH(Edges[[#This Row],[Vertex 2]],GroupVertices[Vertex],0)),1,1,"")</f>
        <v>17</v>
      </c>
      <c r="BF9" s="49"/>
      <c r="BG9" s="50"/>
      <c r="BH9" s="49"/>
      <c r="BI9" s="50"/>
      <c r="BJ9" s="49"/>
      <c r="BK9" s="50"/>
      <c r="BL9" s="49"/>
      <c r="BM9" s="50"/>
      <c r="BN9" s="49"/>
    </row>
    <row r="10" spans="1:66" ht="15">
      <c r="A10" s="65" t="s">
        <v>218</v>
      </c>
      <c r="B10" s="65" t="s">
        <v>217</v>
      </c>
      <c r="C10" s="66" t="s">
        <v>2698</v>
      </c>
      <c r="D10" s="67">
        <v>4</v>
      </c>
      <c r="E10" s="68" t="s">
        <v>132</v>
      </c>
      <c r="F10" s="69">
        <v>30</v>
      </c>
      <c r="G10" s="66"/>
      <c r="H10" s="70"/>
      <c r="I10" s="71"/>
      <c r="J10" s="71"/>
      <c r="K10" s="35" t="s">
        <v>65</v>
      </c>
      <c r="L10" s="78">
        <v>10</v>
      </c>
      <c r="M10" s="78"/>
      <c r="N10" s="73"/>
      <c r="O10" s="80" t="s">
        <v>383</v>
      </c>
      <c r="P10" s="82">
        <v>44455.80405092592</v>
      </c>
      <c r="Q10" s="80" t="s">
        <v>387</v>
      </c>
      <c r="R10" s="80"/>
      <c r="S10" s="80"/>
      <c r="T10" s="85" t="s">
        <v>468</v>
      </c>
      <c r="U10" s="83" t="str">
        <f>HYPERLINK("https://pbs.twimg.com/ext_tw_video_thumb/1432953181168971778/pu/img/8ecDRGo4Sy-MKE2n.jpg")</f>
        <v>https://pbs.twimg.com/ext_tw_video_thumb/1432953181168971778/pu/img/8ecDRGo4Sy-MKE2n.jpg</v>
      </c>
      <c r="V10" s="83" t="str">
        <f>HYPERLINK("https://pbs.twimg.com/ext_tw_video_thumb/1432953181168971778/pu/img/8ecDRGo4Sy-MKE2n.jpg")</f>
        <v>https://pbs.twimg.com/ext_tw_video_thumb/1432953181168971778/pu/img/8ecDRGo4Sy-MKE2n.jpg</v>
      </c>
      <c r="W10" s="82">
        <v>44455.80405092592</v>
      </c>
      <c r="X10" s="88">
        <v>44455</v>
      </c>
      <c r="Y10" s="85" t="s">
        <v>519</v>
      </c>
      <c r="Z10" s="83" t="str">
        <f>HYPERLINK("https://twitter.com/dontreadthis97/status/1438582920277594118")</f>
        <v>https://twitter.com/dontreadthis97/status/1438582920277594118</v>
      </c>
      <c r="AA10" s="80"/>
      <c r="AB10" s="80"/>
      <c r="AC10" s="85" t="s">
        <v>692</v>
      </c>
      <c r="AD10" s="80"/>
      <c r="AE10" s="80" t="b">
        <v>0</v>
      </c>
      <c r="AF10" s="80">
        <v>0</v>
      </c>
      <c r="AG10" s="85" t="s">
        <v>871</v>
      </c>
      <c r="AH10" s="80" t="b">
        <v>0</v>
      </c>
      <c r="AI10" s="80" t="s">
        <v>881</v>
      </c>
      <c r="AJ10" s="80"/>
      <c r="AK10" s="85" t="s">
        <v>871</v>
      </c>
      <c r="AL10" s="80" t="b">
        <v>0</v>
      </c>
      <c r="AM10" s="80">
        <v>147</v>
      </c>
      <c r="AN10" s="85" t="s">
        <v>691</v>
      </c>
      <c r="AO10" s="85" t="s">
        <v>891</v>
      </c>
      <c r="AP10" s="80" t="b">
        <v>0</v>
      </c>
      <c r="AQ10" s="85" t="s">
        <v>691</v>
      </c>
      <c r="AR10" s="80" t="s">
        <v>178</v>
      </c>
      <c r="AS10" s="80">
        <v>0</v>
      </c>
      <c r="AT10" s="80">
        <v>0</v>
      </c>
      <c r="AU10" s="80"/>
      <c r="AV10" s="80"/>
      <c r="AW10" s="80"/>
      <c r="AX10" s="80"/>
      <c r="AY10" s="80"/>
      <c r="AZ10" s="80"/>
      <c r="BA10" s="80"/>
      <c r="BB10" s="80"/>
      <c r="BC10">
        <v>1</v>
      </c>
      <c r="BD10" s="79" t="str">
        <f>REPLACE(INDEX(GroupVertices[Group],MATCH(Edges[[#This Row],[Vertex 1]],GroupVertices[Vertex],0)),1,1,"")</f>
        <v>17</v>
      </c>
      <c r="BE10" s="79" t="str">
        <f>REPLACE(INDEX(GroupVertices[Group],MATCH(Edges[[#This Row],[Vertex 2]],GroupVertices[Vertex],0)),1,1,"")</f>
        <v>17</v>
      </c>
      <c r="BF10" s="49">
        <v>1</v>
      </c>
      <c r="BG10" s="50">
        <v>2.7777777777777777</v>
      </c>
      <c r="BH10" s="49">
        <v>0</v>
      </c>
      <c r="BI10" s="50">
        <v>0</v>
      </c>
      <c r="BJ10" s="49">
        <v>0</v>
      </c>
      <c r="BK10" s="50">
        <v>0</v>
      </c>
      <c r="BL10" s="49">
        <v>35</v>
      </c>
      <c r="BM10" s="50">
        <v>97.22222222222223</v>
      </c>
      <c r="BN10" s="49">
        <v>36</v>
      </c>
    </row>
    <row r="11" spans="1:66" ht="15">
      <c r="A11" s="65" t="s">
        <v>219</v>
      </c>
      <c r="B11" s="65" t="s">
        <v>221</v>
      </c>
      <c r="C11" s="66" t="s">
        <v>2698</v>
      </c>
      <c r="D11" s="67">
        <v>4</v>
      </c>
      <c r="E11" s="68" t="s">
        <v>132</v>
      </c>
      <c r="F11" s="69">
        <v>30</v>
      </c>
      <c r="G11" s="66"/>
      <c r="H11" s="70"/>
      <c r="I11" s="71"/>
      <c r="J11" s="71"/>
      <c r="K11" s="35" t="s">
        <v>66</v>
      </c>
      <c r="L11" s="78">
        <v>11</v>
      </c>
      <c r="M11" s="78"/>
      <c r="N11" s="73"/>
      <c r="O11" s="80" t="s">
        <v>382</v>
      </c>
      <c r="P11" s="82">
        <v>44455.735451388886</v>
      </c>
      <c r="Q11" s="80" t="s">
        <v>386</v>
      </c>
      <c r="R11" s="80" t="s">
        <v>448</v>
      </c>
      <c r="S11" s="80" t="s">
        <v>449</v>
      </c>
      <c r="T11" s="85" t="s">
        <v>467</v>
      </c>
      <c r="U11" s="83" t="str">
        <f>HYPERLINK("https://pbs.twimg.com/ext_tw_video_thumb/1438555724775231489/pu/img/3eMPChFtKy7dWr8h.jpg")</f>
        <v>https://pbs.twimg.com/ext_tw_video_thumb/1438555724775231489/pu/img/3eMPChFtKy7dWr8h.jpg</v>
      </c>
      <c r="V11" s="83" t="str">
        <f>HYPERLINK("https://pbs.twimg.com/ext_tw_video_thumb/1438555724775231489/pu/img/3eMPChFtKy7dWr8h.jpg")</f>
        <v>https://pbs.twimg.com/ext_tw_video_thumb/1438555724775231489/pu/img/3eMPChFtKy7dWr8h.jpg</v>
      </c>
      <c r="W11" s="82">
        <v>44455.735451388886</v>
      </c>
      <c r="X11" s="88">
        <v>44455</v>
      </c>
      <c r="Y11" s="85" t="s">
        <v>520</v>
      </c>
      <c r="Z11" s="83" t="str">
        <f>HYPERLINK("https://twitter.com/julioastillero/status/1438558061103394818")</f>
        <v>https://twitter.com/julioastillero/status/1438558061103394818</v>
      </c>
      <c r="AA11" s="80"/>
      <c r="AB11" s="80"/>
      <c r="AC11" s="85" t="s">
        <v>693</v>
      </c>
      <c r="AD11" s="80"/>
      <c r="AE11" s="80" t="b">
        <v>0</v>
      </c>
      <c r="AF11" s="80">
        <v>0</v>
      </c>
      <c r="AG11" s="85" t="s">
        <v>871</v>
      </c>
      <c r="AH11" s="80" t="b">
        <v>1</v>
      </c>
      <c r="AI11" s="80" t="s">
        <v>880</v>
      </c>
      <c r="AJ11" s="80"/>
      <c r="AK11" s="85" t="s">
        <v>885</v>
      </c>
      <c r="AL11" s="80" t="b">
        <v>0</v>
      </c>
      <c r="AM11" s="80">
        <v>6</v>
      </c>
      <c r="AN11" s="85" t="s">
        <v>696</v>
      </c>
      <c r="AO11" s="85" t="s">
        <v>890</v>
      </c>
      <c r="AP11" s="80" t="b">
        <v>0</v>
      </c>
      <c r="AQ11" s="85" t="s">
        <v>696</v>
      </c>
      <c r="AR11" s="80" t="s">
        <v>178</v>
      </c>
      <c r="AS11" s="80">
        <v>0</v>
      </c>
      <c r="AT11" s="80">
        <v>0</v>
      </c>
      <c r="AU11" s="80"/>
      <c r="AV11" s="80"/>
      <c r="AW11" s="80"/>
      <c r="AX11" s="80"/>
      <c r="AY11" s="80"/>
      <c r="AZ11" s="80"/>
      <c r="BA11" s="80"/>
      <c r="BB11" s="80"/>
      <c r="BC11">
        <v>1</v>
      </c>
      <c r="BD11" s="79" t="str">
        <f>REPLACE(INDEX(GroupVertices[Group],MATCH(Edges[[#This Row],[Vertex 1]],GroupVertices[Vertex],0)),1,1,"")</f>
        <v>6</v>
      </c>
      <c r="BE11" s="79" t="str">
        <f>REPLACE(INDEX(GroupVertices[Group],MATCH(Edges[[#This Row],[Vertex 2]],GroupVertices[Vertex],0)),1,1,"")</f>
        <v>6</v>
      </c>
      <c r="BF11" s="49"/>
      <c r="BG11" s="50"/>
      <c r="BH11" s="49"/>
      <c r="BI11" s="50"/>
      <c r="BJ11" s="49"/>
      <c r="BK11" s="50"/>
      <c r="BL11" s="49"/>
      <c r="BM11" s="50"/>
      <c r="BN11" s="49"/>
    </row>
    <row r="12" spans="1:66" ht="15">
      <c r="A12" s="65" t="s">
        <v>220</v>
      </c>
      <c r="B12" s="65" t="s">
        <v>221</v>
      </c>
      <c r="C12" s="66" t="s">
        <v>2698</v>
      </c>
      <c r="D12" s="67">
        <v>4</v>
      </c>
      <c r="E12" s="68" t="s">
        <v>132</v>
      </c>
      <c r="F12" s="69">
        <v>30</v>
      </c>
      <c r="G12" s="66"/>
      <c r="H12" s="70"/>
      <c r="I12" s="71"/>
      <c r="J12" s="71"/>
      <c r="K12" s="35" t="s">
        <v>66</v>
      </c>
      <c r="L12" s="78">
        <v>12</v>
      </c>
      <c r="M12" s="78"/>
      <c r="N12" s="73"/>
      <c r="O12" s="80" t="s">
        <v>382</v>
      </c>
      <c r="P12" s="82">
        <v>44455.740752314814</v>
      </c>
      <c r="Q12" s="80" t="s">
        <v>386</v>
      </c>
      <c r="R12" s="80" t="s">
        <v>448</v>
      </c>
      <c r="S12" s="80" t="s">
        <v>449</v>
      </c>
      <c r="T12" s="85" t="s">
        <v>467</v>
      </c>
      <c r="U12" s="83" t="str">
        <f>HYPERLINK("https://pbs.twimg.com/ext_tw_video_thumb/1438555724775231489/pu/img/3eMPChFtKy7dWr8h.jpg")</f>
        <v>https://pbs.twimg.com/ext_tw_video_thumb/1438555724775231489/pu/img/3eMPChFtKy7dWr8h.jpg</v>
      </c>
      <c r="V12" s="83" t="str">
        <f>HYPERLINK("https://pbs.twimg.com/ext_tw_video_thumb/1438555724775231489/pu/img/3eMPChFtKy7dWr8h.jpg")</f>
        <v>https://pbs.twimg.com/ext_tw_video_thumb/1438555724775231489/pu/img/3eMPChFtKy7dWr8h.jpg</v>
      </c>
      <c r="W12" s="82">
        <v>44455.740752314814</v>
      </c>
      <c r="X12" s="88">
        <v>44455</v>
      </c>
      <c r="Y12" s="85" t="s">
        <v>521</v>
      </c>
      <c r="Z12" s="83" t="str">
        <f>HYPERLINK("https://twitter.com/gcorreacabrera/status/1438559983176671240")</f>
        <v>https://twitter.com/gcorreacabrera/status/1438559983176671240</v>
      </c>
      <c r="AA12" s="80"/>
      <c r="AB12" s="80"/>
      <c r="AC12" s="85" t="s">
        <v>694</v>
      </c>
      <c r="AD12" s="80"/>
      <c r="AE12" s="80" t="b">
        <v>0</v>
      </c>
      <c r="AF12" s="80">
        <v>0</v>
      </c>
      <c r="AG12" s="85" t="s">
        <v>871</v>
      </c>
      <c r="AH12" s="80" t="b">
        <v>1</v>
      </c>
      <c r="AI12" s="80" t="s">
        <v>880</v>
      </c>
      <c r="AJ12" s="80"/>
      <c r="AK12" s="85" t="s">
        <v>885</v>
      </c>
      <c r="AL12" s="80" t="b">
        <v>0</v>
      </c>
      <c r="AM12" s="80">
        <v>6</v>
      </c>
      <c r="AN12" s="85" t="s">
        <v>696</v>
      </c>
      <c r="AO12" s="85" t="s">
        <v>889</v>
      </c>
      <c r="AP12" s="80" t="b">
        <v>0</v>
      </c>
      <c r="AQ12" s="85" t="s">
        <v>696</v>
      </c>
      <c r="AR12" s="80" t="s">
        <v>178</v>
      </c>
      <c r="AS12" s="80">
        <v>0</v>
      </c>
      <c r="AT12" s="80">
        <v>0</v>
      </c>
      <c r="AU12" s="80"/>
      <c r="AV12" s="80"/>
      <c r="AW12" s="80"/>
      <c r="AX12" s="80"/>
      <c r="AY12" s="80"/>
      <c r="AZ12" s="80"/>
      <c r="BA12" s="80"/>
      <c r="BB12" s="80"/>
      <c r="BC12">
        <v>1</v>
      </c>
      <c r="BD12" s="79" t="str">
        <f>REPLACE(INDEX(GroupVertices[Group],MATCH(Edges[[#This Row],[Vertex 1]],GroupVertices[Vertex],0)),1,1,"")</f>
        <v>6</v>
      </c>
      <c r="BE12" s="79" t="str">
        <f>REPLACE(INDEX(GroupVertices[Group],MATCH(Edges[[#This Row],[Vertex 2]],GroupVertices[Vertex],0)),1,1,"")</f>
        <v>6</v>
      </c>
      <c r="BF12" s="49"/>
      <c r="BG12" s="50"/>
      <c r="BH12" s="49"/>
      <c r="BI12" s="50"/>
      <c r="BJ12" s="49"/>
      <c r="BK12" s="50"/>
      <c r="BL12" s="49"/>
      <c r="BM12" s="50"/>
      <c r="BN12" s="49"/>
    </row>
    <row r="13" spans="1:66" ht="15">
      <c r="A13" s="65" t="s">
        <v>221</v>
      </c>
      <c r="B13" s="65" t="s">
        <v>358</v>
      </c>
      <c r="C13" s="66" t="s">
        <v>2698</v>
      </c>
      <c r="D13" s="67">
        <v>4</v>
      </c>
      <c r="E13" s="68" t="s">
        <v>132</v>
      </c>
      <c r="F13" s="69">
        <v>30</v>
      </c>
      <c r="G13" s="66"/>
      <c r="H13" s="70"/>
      <c r="I13" s="71"/>
      <c r="J13" s="71"/>
      <c r="K13" s="35" t="s">
        <v>65</v>
      </c>
      <c r="L13" s="78">
        <v>13</v>
      </c>
      <c r="M13" s="78"/>
      <c r="N13" s="73"/>
      <c r="O13" s="80" t="s">
        <v>382</v>
      </c>
      <c r="P13" s="82">
        <v>44455.745729166665</v>
      </c>
      <c r="Q13" s="80" t="s">
        <v>386</v>
      </c>
      <c r="R13" s="80" t="s">
        <v>448</v>
      </c>
      <c r="S13" s="80" t="s">
        <v>449</v>
      </c>
      <c r="T13" s="85" t="s">
        <v>467</v>
      </c>
      <c r="U13" s="83" t="str">
        <f>HYPERLINK("https://pbs.twimg.com/ext_tw_video_thumb/1438555724775231489/pu/img/3eMPChFtKy7dWr8h.jpg")</f>
        <v>https://pbs.twimg.com/ext_tw_video_thumb/1438555724775231489/pu/img/3eMPChFtKy7dWr8h.jpg</v>
      </c>
      <c r="V13" s="83" t="str">
        <f>HYPERLINK("https://pbs.twimg.com/ext_tw_video_thumb/1438555724775231489/pu/img/3eMPChFtKy7dWr8h.jpg")</f>
        <v>https://pbs.twimg.com/ext_tw_video_thumb/1438555724775231489/pu/img/3eMPChFtKy7dWr8h.jpg</v>
      </c>
      <c r="W13" s="82">
        <v>44455.745729166665</v>
      </c>
      <c r="X13" s="88">
        <v>44455</v>
      </c>
      <c r="Y13" s="85" t="s">
        <v>522</v>
      </c>
      <c r="Z13" s="83" t="str">
        <f>HYPERLINK("https://twitter.com/rravelo27/status/1438561786739953665")</f>
        <v>https://twitter.com/rravelo27/status/1438561786739953665</v>
      </c>
      <c r="AA13" s="80"/>
      <c r="AB13" s="80"/>
      <c r="AC13" s="85" t="s">
        <v>695</v>
      </c>
      <c r="AD13" s="80"/>
      <c r="AE13" s="80" t="b">
        <v>0</v>
      </c>
      <c r="AF13" s="80">
        <v>0</v>
      </c>
      <c r="AG13" s="85" t="s">
        <v>871</v>
      </c>
      <c r="AH13" s="80" t="b">
        <v>1</v>
      </c>
      <c r="AI13" s="80" t="s">
        <v>880</v>
      </c>
      <c r="AJ13" s="80"/>
      <c r="AK13" s="85" t="s">
        <v>885</v>
      </c>
      <c r="AL13" s="80" t="b">
        <v>0</v>
      </c>
      <c r="AM13" s="80">
        <v>6</v>
      </c>
      <c r="AN13" s="85" t="s">
        <v>696</v>
      </c>
      <c r="AO13" s="85" t="s">
        <v>889</v>
      </c>
      <c r="AP13" s="80" t="b">
        <v>0</v>
      </c>
      <c r="AQ13" s="85" t="s">
        <v>696</v>
      </c>
      <c r="AR13" s="80" t="s">
        <v>178</v>
      </c>
      <c r="AS13" s="80">
        <v>0</v>
      </c>
      <c r="AT13" s="80">
        <v>0</v>
      </c>
      <c r="AU13" s="80"/>
      <c r="AV13" s="80"/>
      <c r="AW13" s="80"/>
      <c r="AX13" s="80"/>
      <c r="AY13" s="80"/>
      <c r="AZ13" s="80"/>
      <c r="BA13" s="80"/>
      <c r="BB13" s="80"/>
      <c r="BC13">
        <v>1</v>
      </c>
      <c r="BD13" s="79" t="str">
        <f>REPLACE(INDEX(GroupVertices[Group],MATCH(Edges[[#This Row],[Vertex 1]],GroupVertices[Vertex],0)),1,1,"")</f>
        <v>6</v>
      </c>
      <c r="BE13" s="79" t="str">
        <f>REPLACE(INDEX(GroupVertices[Group],MATCH(Edges[[#This Row],[Vertex 2]],GroupVertices[Vertex],0)),1,1,"")</f>
        <v>6</v>
      </c>
      <c r="BF13" s="49"/>
      <c r="BG13" s="50"/>
      <c r="BH13" s="49"/>
      <c r="BI13" s="50"/>
      <c r="BJ13" s="49"/>
      <c r="BK13" s="50"/>
      <c r="BL13" s="49"/>
      <c r="BM13" s="50"/>
      <c r="BN13" s="49"/>
    </row>
    <row r="14" spans="1:66" ht="15">
      <c r="A14" s="65" t="s">
        <v>221</v>
      </c>
      <c r="B14" s="65" t="s">
        <v>220</v>
      </c>
      <c r="C14" s="66" t="s">
        <v>2698</v>
      </c>
      <c r="D14" s="67">
        <v>4</v>
      </c>
      <c r="E14" s="68" t="s">
        <v>132</v>
      </c>
      <c r="F14" s="69">
        <v>30</v>
      </c>
      <c r="G14" s="66"/>
      <c r="H14" s="70"/>
      <c r="I14" s="71"/>
      <c r="J14" s="71"/>
      <c r="K14" s="35" t="s">
        <v>66</v>
      </c>
      <c r="L14" s="78">
        <v>14</v>
      </c>
      <c r="M14" s="78"/>
      <c r="N14" s="73"/>
      <c r="O14" s="80" t="s">
        <v>382</v>
      </c>
      <c r="P14" s="82">
        <v>44455.745729166665</v>
      </c>
      <c r="Q14" s="80" t="s">
        <v>386</v>
      </c>
      <c r="R14" s="80" t="s">
        <v>448</v>
      </c>
      <c r="S14" s="80" t="s">
        <v>449</v>
      </c>
      <c r="T14" s="85" t="s">
        <v>467</v>
      </c>
      <c r="U14" s="83" t="str">
        <f>HYPERLINK("https://pbs.twimg.com/ext_tw_video_thumb/1438555724775231489/pu/img/3eMPChFtKy7dWr8h.jpg")</f>
        <v>https://pbs.twimg.com/ext_tw_video_thumb/1438555724775231489/pu/img/3eMPChFtKy7dWr8h.jpg</v>
      </c>
      <c r="V14" s="83" t="str">
        <f>HYPERLINK("https://pbs.twimg.com/ext_tw_video_thumb/1438555724775231489/pu/img/3eMPChFtKy7dWr8h.jpg")</f>
        <v>https://pbs.twimg.com/ext_tw_video_thumb/1438555724775231489/pu/img/3eMPChFtKy7dWr8h.jpg</v>
      </c>
      <c r="W14" s="82">
        <v>44455.745729166665</v>
      </c>
      <c r="X14" s="88">
        <v>44455</v>
      </c>
      <c r="Y14" s="85" t="s">
        <v>522</v>
      </c>
      <c r="Z14" s="83" t="str">
        <f>HYPERLINK("https://twitter.com/rravelo27/status/1438561786739953665")</f>
        <v>https://twitter.com/rravelo27/status/1438561786739953665</v>
      </c>
      <c r="AA14" s="80"/>
      <c r="AB14" s="80"/>
      <c r="AC14" s="85" t="s">
        <v>695</v>
      </c>
      <c r="AD14" s="80"/>
      <c r="AE14" s="80" t="b">
        <v>0</v>
      </c>
      <c r="AF14" s="80">
        <v>0</v>
      </c>
      <c r="AG14" s="85" t="s">
        <v>871</v>
      </c>
      <c r="AH14" s="80" t="b">
        <v>1</v>
      </c>
      <c r="AI14" s="80" t="s">
        <v>880</v>
      </c>
      <c r="AJ14" s="80"/>
      <c r="AK14" s="85" t="s">
        <v>885</v>
      </c>
      <c r="AL14" s="80" t="b">
        <v>0</v>
      </c>
      <c r="AM14" s="80">
        <v>6</v>
      </c>
      <c r="AN14" s="85" t="s">
        <v>696</v>
      </c>
      <c r="AO14" s="85" t="s">
        <v>889</v>
      </c>
      <c r="AP14" s="80" t="b">
        <v>0</v>
      </c>
      <c r="AQ14" s="85" t="s">
        <v>696</v>
      </c>
      <c r="AR14" s="80" t="s">
        <v>178</v>
      </c>
      <c r="AS14" s="80">
        <v>0</v>
      </c>
      <c r="AT14" s="80">
        <v>0</v>
      </c>
      <c r="AU14" s="80"/>
      <c r="AV14" s="80"/>
      <c r="AW14" s="80"/>
      <c r="AX14" s="80"/>
      <c r="AY14" s="80"/>
      <c r="AZ14" s="80"/>
      <c r="BA14" s="80"/>
      <c r="BB14" s="80"/>
      <c r="BC14">
        <v>1</v>
      </c>
      <c r="BD14" s="79" t="str">
        <f>REPLACE(INDEX(GroupVertices[Group],MATCH(Edges[[#This Row],[Vertex 1]],GroupVertices[Vertex],0)),1,1,"")</f>
        <v>6</v>
      </c>
      <c r="BE14" s="79" t="str">
        <f>REPLACE(INDEX(GroupVertices[Group],MATCH(Edges[[#This Row],[Vertex 2]],GroupVertices[Vertex],0)),1,1,"")</f>
        <v>6</v>
      </c>
      <c r="BF14" s="49"/>
      <c r="BG14" s="50"/>
      <c r="BH14" s="49"/>
      <c r="BI14" s="50"/>
      <c r="BJ14" s="49"/>
      <c r="BK14" s="50"/>
      <c r="BL14" s="49"/>
      <c r="BM14" s="50"/>
      <c r="BN14" s="49"/>
    </row>
    <row r="15" spans="1:66" ht="15">
      <c r="A15" s="65" t="s">
        <v>221</v>
      </c>
      <c r="B15" s="65" t="s">
        <v>219</v>
      </c>
      <c r="C15" s="66" t="s">
        <v>2698</v>
      </c>
      <c r="D15" s="67">
        <v>4</v>
      </c>
      <c r="E15" s="68" t="s">
        <v>132</v>
      </c>
      <c r="F15" s="69">
        <v>30</v>
      </c>
      <c r="G15" s="66"/>
      <c r="H15" s="70"/>
      <c r="I15" s="71"/>
      <c r="J15" s="71"/>
      <c r="K15" s="35" t="s">
        <v>66</v>
      </c>
      <c r="L15" s="78">
        <v>15</v>
      </c>
      <c r="M15" s="78"/>
      <c r="N15" s="73"/>
      <c r="O15" s="80" t="s">
        <v>382</v>
      </c>
      <c r="P15" s="82">
        <v>44455.745729166665</v>
      </c>
      <c r="Q15" s="80" t="s">
        <v>386</v>
      </c>
      <c r="R15" s="80" t="s">
        <v>448</v>
      </c>
      <c r="S15" s="80" t="s">
        <v>449</v>
      </c>
      <c r="T15" s="85" t="s">
        <v>467</v>
      </c>
      <c r="U15" s="83" t="str">
        <f>HYPERLINK("https://pbs.twimg.com/ext_tw_video_thumb/1438555724775231489/pu/img/3eMPChFtKy7dWr8h.jpg")</f>
        <v>https://pbs.twimg.com/ext_tw_video_thumb/1438555724775231489/pu/img/3eMPChFtKy7dWr8h.jpg</v>
      </c>
      <c r="V15" s="83" t="str">
        <f>HYPERLINK("https://pbs.twimg.com/ext_tw_video_thumb/1438555724775231489/pu/img/3eMPChFtKy7dWr8h.jpg")</f>
        <v>https://pbs.twimg.com/ext_tw_video_thumb/1438555724775231489/pu/img/3eMPChFtKy7dWr8h.jpg</v>
      </c>
      <c r="W15" s="82">
        <v>44455.745729166665</v>
      </c>
      <c r="X15" s="88">
        <v>44455</v>
      </c>
      <c r="Y15" s="85" t="s">
        <v>522</v>
      </c>
      <c r="Z15" s="83" t="str">
        <f>HYPERLINK("https://twitter.com/rravelo27/status/1438561786739953665")</f>
        <v>https://twitter.com/rravelo27/status/1438561786739953665</v>
      </c>
      <c r="AA15" s="80"/>
      <c r="AB15" s="80"/>
      <c r="AC15" s="85" t="s">
        <v>695</v>
      </c>
      <c r="AD15" s="80"/>
      <c r="AE15" s="80" t="b">
        <v>0</v>
      </c>
      <c r="AF15" s="80">
        <v>0</v>
      </c>
      <c r="AG15" s="85" t="s">
        <v>871</v>
      </c>
      <c r="AH15" s="80" t="b">
        <v>1</v>
      </c>
      <c r="AI15" s="80" t="s">
        <v>880</v>
      </c>
      <c r="AJ15" s="80"/>
      <c r="AK15" s="85" t="s">
        <v>885</v>
      </c>
      <c r="AL15" s="80" t="b">
        <v>0</v>
      </c>
      <c r="AM15" s="80">
        <v>6</v>
      </c>
      <c r="AN15" s="85" t="s">
        <v>696</v>
      </c>
      <c r="AO15" s="85" t="s">
        <v>889</v>
      </c>
      <c r="AP15" s="80" t="b">
        <v>0</v>
      </c>
      <c r="AQ15" s="85" t="s">
        <v>696</v>
      </c>
      <c r="AR15" s="80" t="s">
        <v>178</v>
      </c>
      <c r="AS15" s="80">
        <v>0</v>
      </c>
      <c r="AT15" s="80">
        <v>0</v>
      </c>
      <c r="AU15" s="80"/>
      <c r="AV15" s="80"/>
      <c r="AW15" s="80"/>
      <c r="AX15" s="80"/>
      <c r="AY15" s="80"/>
      <c r="AZ15" s="80"/>
      <c r="BA15" s="80"/>
      <c r="BB15" s="80"/>
      <c r="BC15">
        <v>1</v>
      </c>
      <c r="BD15" s="79" t="str">
        <f>REPLACE(INDEX(GroupVertices[Group],MATCH(Edges[[#This Row],[Vertex 1]],GroupVertices[Vertex],0)),1,1,"")</f>
        <v>6</v>
      </c>
      <c r="BE15" s="79" t="str">
        <f>REPLACE(INDEX(GroupVertices[Group],MATCH(Edges[[#This Row],[Vertex 2]],GroupVertices[Vertex],0)),1,1,"")</f>
        <v>6</v>
      </c>
      <c r="BF15" s="49"/>
      <c r="BG15" s="50"/>
      <c r="BH15" s="49"/>
      <c r="BI15" s="50"/>
      <c r="BJ15" s="49"/>
      <c r="BK15" s="50"/>
      <c r="BL15" s="49"/>
      <c r="BM15" s="50"/>
      <c r="BN15" s="49"/>
    </row>
    <row r="16" spans="1:66" ht="15">
      <c r="A16" s="65" t="s">
        <v>221</v>
      </c>
      <c r="B16" s="65" t="s">
        <v>222</v>
      </c>
      <c r="C16" s="66" t="s">
        <v>2698</v>
      </c>
      <c r="D16" s="67">
        <v>4</v>
      </c>
      <c r="E16" s="68" t="s">
        <v>132</v>
      </c>
      <c r="F16" s="69">
        <v>30</v>
      </c>
      <c r="G16" s="66"/>
      <c r="H16" s="70"/>
      <c r="I16" s="71"/>
      <c r="J16" s="71"/>
      <c r="K16" s="35" t="s">
        <v>66</v>
      </c>
      <c r="L16" s="78">
        <v>16</v>
      </c>
      <c r="M16" s="78"/>
      <c r="N16" s="73"/>
      <c r="O16" s="80" t="s">
        <v>383</v>
      </c>
      <c r="P16" s="82">
        <v>44455.745729166665</v>
      </c>
      <c r="Q16" s="80" t="s">
        <v>386</v>
      </c>
      <c r="R16" s="80" t="s">
        <v>448</v>
      </c>
      <c r="S16" s="80" t="s">
        <v>449</v>
      </c>
      <c r="T16" s="85" t="s">
        <v>467</v>
      </c>
      <c r="U16" s="83" t="str">
        <f>HYPERLINK("https://pbs.twimg.com/ext_tw_video_thumb/1438555724775231489/pu/img/3eMPChFtKy7dWr8h.jpg")</f>
        <v>https://pbs.twimg.com/ext_tw_video_thumb/1438555724775231489/pu/img/3eMPChFtKy7dWr8h.jpg</v>
      </c>
      <c r="V16" s="83" t="str">
        <f>HYPERLINK("https://pbs.twimg.com/ext_tw_video_thumb/1438555724775231489/pu/img/3eMPChFtKy7dWr8h.jpg")</f>
        <v>https://pbs.twimg.com/ext_tw_video_thumb/1438555724775231489/pu/img/3eMPChFtKy7dWr8h.jpg</v>
      </c>
      <c r="W16" s="82">
        <v>44455.745729166665</v>
      </c>
      <c r="X16" s="88">
        <v>44455</v>
      </c>
      <c r="Y16" s="85" t="s">
        <v>522</v>
      </c>
      <c r="Z16" s="83" t="str">
        <f>HYPERLINK("https://twitter.com/rravelo27/status/1438561786739953665")</f>
        <v>https://twitter.com/rravelo27/status/1438561786739953665</v>
      </c>
      <c r="AA16" s="80"/>
      <c r="AB16" s="80"/>
      <c r="AC16" s="85" t="s">
        <v>695</v>
      </c>
      <c r="AD16" s="80"/>
      <c r="AE16" s="80" t="b">
        <v>0</v>
      </c>
      <c r="AF16" s="80">
        <v>0</v>
      </c>
      <c r="AG16" s="85" t="s">
        <v>871</v>
      </c>
      <c r="AH16" s="80" t="b">
        <v>1</v>
      </c>
      <c r="AI16" s="80" t="s">
        <v>880</v>
      </c>
      <c r="AJ16" s="80"/>
      <c r="AK16" s="85" t="s">
        <v>885</v>
      </c>
      <c r="AL16" s="80" t="b">
        <v>0</v>
      </c>
      <c r="AM16" s="80">
        <v>6</v>
      </c>
      <c r="AN16" s="85" t="s">
        <v>696</v>
      </c>
      <c r="AO16" s="85" t="s">
        <v>889</v>
      </c>
      <c r="AP16" s="80" t="b">
        <v>0</v>
      </c>
      <c r="AQ16" s="85" t="s">
        <v>696</v>
      </c>
      <c r="AR16" s="80" t="s">
        <v>178</v>
      </c>
      <c r="AS16" s="80">
        <v>0</v>
      </c>
      <c r="AT16" s="80">
        <v>0</v>
      </c>
      <c r="AU16" s="80"/>
      <c r="AV16" s="80"/>
      <c r="AW16" s="80"/>
      <c r="AX16" s="80"/>
      <c r="AY16" s="80"/>
      <c r="AZ16" s="80"/>
      <c r="BA16" s="80"/>
      <c r="BB16" s="80"/>
      <c r="BC16">
        <v>1</v>
      </c>
      <c r="BD16" s="79" t="str">
        <f>REPLACE(INDEX(GroupVertices[Group],MATCH(Edges[[#This Row],[Vertex 1]],GroupVertices[Vertex],0)),1,1,"")</f>
        <v>6</v>
      </c>
      <c r="BE16" s="79" t="str">
        <f>REPLACE(INDEX(GroupVertices[Group],MATCH(Edges[[#This Row],[Vertex 2]],GroupVertices[Vertex],0)),1,1,"")</f>
        <v>6</v>
      </c>
      <c r="BF16" s="49">
        <v>0</v>
      </c>
      <c r="BG16" s="50">
        <v>0</v>
      </c>
      <c r="BH16" s="49">
        <v>0</v>
      </c>
      <c r="BI16" s="50">
        <v>0</v>
      </c>
      <c r="BJ16" s="49">
        <v>0</v>
      </c>
      <c r="BK16" s="50">
        <v>0</v>
      </c>
      <c r="BL16" s="49">
        <v>24</v>
      </c>
      <c r="BM16" s="50">
        <v>100</v>
      </c>
      <c r="BN16" s="49">
        <v>24</v>
      </c>
    </row>
    <row r="17" spans="1:66" ht="15">
      <c r="A17" s="65" t="s">
        <v>222</v>
      </c>
      <c r="B17" s="65" t="s">
        <v>221</v>
      </c>
      <c r="C17" s="66" t="s">
        <v>2699</v>
      </c>
      <c r="D17" s="67">
        <v>10</v>
      </c>
      <c r="E17" s="68" t="s">
        <v>132</v>
      </c>
      <c r="F17" s="69">
        <v>10</v>
      </c>
      <c r="G17" s="66"/>
      <c r="H17" s="70"/>
      <c r="I17" s="71"/>
      <c r="J17" s="71"/>
      <c r="K17" s="35" t="s">
        <v>66</v>
      </c>
      <c r="L17" s="78">
        <v>17</v>
      </c>
      <c r="M17" s="78"/>
      <c r="N17" s="73"/>
      <c r="O17" s="80" t="s">
        <v>384</v>
      </c>
      <c r="P17" s="82">
        <v>44455.73023148148</v>
      </c>
      <c r="Q17" s="80" t="s">
        <v>386</v>
      </c>
      <c r="R17" s="80" t="s">
        <v>448</v>
      </c>
      <c r="S17" s="80" t="s">
        <v>449</v>
      </c>
      <c r="T17" s="85" t="s">
        <v>467</v>
      </c>
      <c r="U17" s="83" t="str">
        <f>HYPERLINK("https://pbs.twimg.com/ext_tw_video_thumb/1438555724775231489/pu/img/3eMPChFtKy7dWr8h.jpg")</f>
        <v>https://pbs.twimg.com/ext_tw_video_thumb/1438555724775231489/pu/img/3eMPChFtKy7dWr8h.jpg</v>
      </c>
      <c r="V17" s="83" t="str">
        <f>HYPERLINK("https://pbs.twimg.com/ext_tw_video_thumb/1438555724775231489/pu/img/3eMPChFtKy7dWr8h.jpg")</f>
        <v>https://pbs.twimg.com/ext_tw_video_thumb/1438555724775231489/pu/img/3eMPChFtKy7dWr8h.jpg</v>
      </c>
      <c r="W17" s="82">
        <v>44455.73023148148</v>
      </c>
      <c r="X17" s="88">
        <v>44455</v>
      </c>
      <c r="Y17" s="85" t="s">
        <v>523</v>
      </c>
      <c r="Z17" s="83" t="str">
        <f>HYPERLINK("https://twitter.com/comoleerenbici/status/1438556169916796930")</f>
        <v>https://twitter.com/comoleerenbici/status/1438556169916796930</v>
      </c>
      <c r="AA17" s="80"/>
      <c r="AB17" s="80"/>
      <c r="AC17" s="85" t="s">
        <v>696</v>
      </c>
      <c r="AD17" s="80"/>
      <c r="AE17" s="80" t="b">
        <v>0</v>
      </c>
      <c r="AF17" s="80">
        <v>8</v>
      </c>
      <c r="AG17" s="85" t="s">
        <v>871</v>
      </c>
      <c r="AH17" s="80" t="b">
        <v>1</v>
      </c>
      <c r="AI17" s="80" t="s">
        <v>880</v>
      </c>
      <c r="AJ17" s="80"/>
      <c r="AK17" s="85" t="s">
        <v>885</v>
      </c>
      <c r="AL17" s="80" t="b">
        <v>0</v>
      </c>
      <c r="AM17" s="80">
        <v>6</v>
      </c>
      <c r="AN17" s="85" t="s">
        <v>871</v>
      </c>
      <c r="AO17" s="85" t="s">
        <v>890</v>
      </c>
      <c r="AP17" s="80" t="b">
        <v>0</v>
      </c>
      <c r="AQ17" s="85" t="s">
        <v>696</v>
      </c>
      <c r="AR17" s="80" t="s">
        <v>178</v>
      </c>
      <c r="AS17" s="80">
        <v>0</v>
      </c>
      <c r="AT17" s="80">
        <v>0</v>
      </c>
      <c r="AU17" s="80"/>
      <c r="AV17" s="80"/>
      <c r="AW17" s="80"/>
      <c r="AX17" s="80"/>
      <c r="AY17" s="80"/>
      <c r="AZ17" s="80"/>
      <c r="BA17" s="80"/>
      <c r="BB17" s="80"/>
      <c r="BC17">
        <v>4</v>
      </c>
      <c r="BD17" s="79" t="str">
        <f>REPLACE(INDEX(GroupVertices[Group],MATCH(Edges[[#This Row],[Vertex 1]],GroupVertices[Vertex],0)),1,1,"")</f>
        <v>6</v>
      </c>
      <c r="BE17" s="79" t="str">
        <f>REPLACE(INDEX(GroupVertices[Group],MATCH(Edges[[#This Row],[Vertex 2]],GroupVertices[Vertex],0)),1,1,"")</f>
        <v>6</v>
      </c>
      <c r="BF17" s="49"/>
      <c r="BG17" s="50"/>
      <c r="BH17" s="49"/>
      <c r="BI17" s="50"/>
      <c r="BJ17" s="49"/>
      <c r="BK17" s="50"/>
      <c r="BL17" s="49"/>
      <c r="BM17" s="50"/>
      <c r="BN17" s="49"/>
    </row>
    <row r="18" spans="1:66" ht="15">
      <c r="A18" s="65" t="s">
        <v>222</v>
      </c>
      <c r="B18" s="65" t="s">
        <v>221</v>
      </c>
      <c r="C18" s="66" t="s">
        <v>2699</v>
      </c>
      <c r="D18" s="67">
        <v>10</v>
      </c>
      <c r="E18" s="68" t="s">
        <v>132</v>
      </c>
      <c r="F18" s="69">
        <v>10</v>
      </c>
      <c r="G18" s="66"/>
      <c r="H18" s="70"/>
      <c r="I18" s="71"/>
      <c r="J18" s="71"/>
      <c r="K18" s="35" t="s">
        <v>66</v>
      </c>
      <c r="L18" s="78">
        <v>18</v>
      </c>
      <c r="M18" s="78"/>
      <c r="N18" s="73"/>
      <c r="O18" s="80" t="s">
        <v>382</v>
      </c>
      <c r="P18" s="82">
        <v>44455.75827546296</v>
      </c>
      <c r="Q18" s="80" t="s">
        <v>386</v>
      </c>
      <c r="R18" s="80" t="s">
        <v>448</v>
      </c>
      <c r="S18" s="80" t="s">
        <v>449</v>
      </c>
      <c r="T18" s="85" t="s">
        <v>467</v>
      </c>
      <c r="U18" s="83" t="str">
        <f>HYPERLINK("https://pbs.twimg.com/ext_tw_video_thumb/1438555724775231489/pu/img/3eMPChFtKy7dWr8h.jpg")</f>
        <v>https://pbs.twimg.com/ext_tw_video_thumb/1438555724775231489/pu/img/3eMPChFtKy7dWr8h.jpg</v>
      </c>
      <c r="V18" s="83" t="str">
        <f>HYPERLINK("https://pbs.twimg.com/ext_tw_video_thumb/1438555724775231489/pu/img/3eMPChFtKy7dWr8h.jpg")</f>
        <v>https://pbs.twimg.com/ext_tw_video_thumb/1438555724775231489/pu/img/3eMPChFtKy7dWr8h.jpg</v>
      </c>
      <c r="W18" s="82">
        <v>44455.75827546296</v>
      </c>
      <c r="X18" s="88">
        <v>44455</v>
      </c>
      <c r="Y18" s="85" t="s">
        <v>524</v>
      </c>
      <c r="Z18" s="83" t="str">
        <f>HYPERLINK("https://twitter.com/comoleerenbici/status/1438566333629751299")</f>
        <v>https://twitter.com/comoleerenbici/status/1438566333629751299</v>
      </c>
      <c r="AA18" s="80"/>
      <c r="AB18" s="80"/>
      <c r="AC18" s="85" t="s">
        <v>697</v>
      </c>
      <c r="AD18" s="80"/>
      <c r="AE18" s="80" t="b">
        <v>0</v>
      </c>
      <c r="AF18" s="80">
        <v>0</v>
      </c>
      <c r="AG18" s="85" t="s">
        <v>871</v>
      </c>
      <c r="AH18" s="80" t="b">
        <v>1</v>
      </c>
      <c r="AI18" s="80" t="s">
        <v>880</v>
      </c>
      <c r="AJ18" s="80"/>
      <c r="AK18" s="85" t="s">
        <v>885</v>
      </c>
      <c r="AL18" s="80" t="b">
        <v>0</v>
      </c>
      <c r="AM18" s="80">
        <v>6</v>
      </c>
      <c r="AN18" s="85" t="s">
        <v>696</v>
      </c>
      <c r="AO18" s="85" t="s">
        <v>890</v>
      </c>
      <c r="AP18" s="80" t="b">
        <v>0</v>
      </c>
      <c r="AQ18" s="85" t="s">
        <v>696</v>
      </c>
      <c r="AR18" s="80" t="s">
        <v>178</v>
      </c>
      <c r="AS18" s="80">
        <v>0</v>
      </c>
      <c r="AT18" s="80">
        <v>0</v>
      </c>
      <c r="AU18" s="80"/>
      <c r="AV18" s="80"/>
      <c r="AW18" s="80"/>
      <c r="AX18" s="80"/>
      <c r="AY18" s="80"/>
      <c r="AZ18" s="80"/>
      <c r="BA18" s="80"/>
      <c r="BB18" s="80"/>
      <c r="BC18">
        <v>4</v>
      </c>
      <c r="BD18" s="79" t="str">
        <f>REPLACE(INDEX(GroupVertices[Group],MATCH(Edges[[#This Row],[Vertex 1]],GroupVertices[Vertex],0)),1,1,"")</f>
        <v>6</v>
      </c>
      <c r="BE18" s="79" t="str">
        <f>REPLACE(INDEX(GroupVertices[Group],MATCH(Edges[[#This Row],[Vertex 2]],GroupVertices[Vertex],0)),1,1,"")</f>
        <v>6</v>
      </c>
      <c r="BF18" s="49"/>
      <c r="BG18" s="50"/>
      <c r="BH18" s="49"/>
      <c r="BI18" s="50"/>
      <c r="BJ18" s="49"/>
      <c r="BK18" s="50"/>
      <c r="BL18" s="49"/>
      <c r="BM18" s="50"/>
      <c r="BN18" s="49"/>
    </row>
    <row r="19" spans="1:66" ht="15">
      <c r="A19" s="65" t="s">
        <v>223</v>
      </c>
      <c r="B19" s="65" t="s">
        <v>221</v>
      </c>
      <c r="C19" s="66" t="s">
        <v>2698</v>
      </c>
      <c r="D19" s="67">
        <v>4</v>
      </c>
      <c r="E19" s="68" t="s">
        <v>132</v>
      </c>
      <c r="F19" s="69">
        <v>30</v>
      </c>
      <c r="G19" s="66"/>
      <c r="H19" s="70"/>
      <c r="I19" s="71"/>
      <c r="J19" s="71"/>
      <c r="K19" s="35" t="s">
        <v>65</v>
      </c>
      <c r="L19" s="78">
        <v>19</v>
      </c>
      <c r="M19" s="78"/>
      <c r="N19" s="73"/>
      <c r="O19" s="80" t="s">
        <v>382</v>
      </c>
      <c r="P19" s="82">
        <v>44455.87799768519</v>
      </c>
      <c r="Q19" s="80" t="s">
        <v>386</v>
      </c>
      <c r="R19" s="80" t="s">
        <v>448</v>
      </c>
      <c r="S19" s="80" t="s">
        <v>449</v>
      </c>
      <c r="T19" s="85" t="s">
        <v>467</v>
      </c>
      <c r="U19" s="83" t="str">
        <f>HYPERLINK("https://pbs.twimg.com/ext_tw_video_thumb/1438555724775231489/pu/img/3eMPChFtKy7dWr8h.jpg")</f>
        <v>https://pbs.twimg.com/ext_tw_video_thumb/1438555724775231489/pu/img/3eMPChFtKy7dWr8h.jpg</v>
      </c>
      <c r="V19" s="83" t="str">
        <f>HYPERLINK("https://pbs.twimg.com/ext_tw_video_thumb/1438555724775231489/pu/img/3eMPChFtKy7dWr8h.jpg")</f>
        <v>https://pbs.twimg.com/ext_tw_video_thumb/1438555724775231489/pu/img/3eMPChFtKy7dWr8h.jpg</v>
      </c>
      <c r="W19" s="82">
        <v>44455.87799768519</v>
      </c>
      <c r="X19" s="88">
        <v>44455</v>
      </c>
      <c r="Y19" s="85" t="s">
        <v>525</v>
      </c>
      <c r="Z19" s="83" t="str">
        <f>HYPERLINK("https://twitter.com/carminamontesi2/status/1438609715932631051")</f>
        <v>https://twitter.com/carminamontesi2/status/1438609715932631051</v>
      </c>
      <c r="AA19" s="80"/>
      <c r="AB19" s="80"/>
      <c r="AC19" s="85" t="s">
        <v>698</v>
      </c>
      <c r="AD19" s="80"/>
      <c r="AE19" s="80" t="b">
        <v>0</v>
      </c>
      <c r="AF19" s="80">
        <v>0</v>
      </c>
      <c r="AG19" s="85" t="s">
        <v>871</v>
      </c>
      <c r="AH19" s="80" t="b">
        <v>1</v>
      </c>
      <c r="AI19" s="80" t="s">
        <v>880</v>
      </c>
      <c r="AJ19" s="80"/>
      <c r="AK19" s="85" t="s">
        <v>885</v>
      </c>
      <c r="AL19" s="80" t="b">
        <v>0</v>
      </c>
      <c r="AM19" s="80">
        <v>6</v>
      </c>
      <c r="AN19" s="85" t="s">
        <v>696</v>
      </c>
      <c r="AO19" s="85" t="s">
        <v>891</v>
      </c>
      <c r="AP19" s="80" t="b">
        <v>0</v>
      </c>
      <c r="AQ19" s="85" t="s">
        <v>696</v>
      </c>
      <c r="AR19" s="80" t="s">
        <v>178</v>
      </c>
      <c r="AS19" s="80">
        <v>0</v>
      </c>
      <c r="AT19" s="80">
        <v>0</v>
      </c>
      <c r="AU19" s="80"/>
      <c r="AV19" s="80"/>
      <c r="AW19" s="80"/>
      <c r="AX19" s="80"/>
      <c r="AY19" s="80"/>
      <c r="AZ19" s="80"/>
      <c r="BA19" s="80"/>
      <c r="BB19" s="80"/>
      <c r="BC19">
        <v>1</v>
      </c>
      <c r="BD19" s="79" t="str">
        <f>REPLACE(INDEX(GroupVertices[Group],MATCH(Edges[[#This Row],[Vertex 1]],GroupVertices[Vertex],0)),1,1,"")</f>
        <v>6</v>
      </c>
      <c r="BE19" s="79" t="str">
        <f>REPLACE(INDEX(GroupVertices[Group],MATCH(Edges[[#This Row],[Vertex 2]],GroupVertices[Vertex],0)),1,1,"")</f>
        <v>6</v>
      </c>
      <c r="BF19" s="49"/>
      <c r="BG19" s="50"/>
      <c r="BH19" s="49"/>
      <c r="BI19" s="50"/>
      <c r="BJ19" s="49"/>
      <c r="BK19" s="50"/>
      <c r="BL19" s="49"/>
      <c r="BM19" s="50"/>
      <c r="BN19" s="49"/>
    </row>
    <row r="20" spans="1:66" ht="15">
      <c r="A20" s="65" t="s">
        <v>219</v>
      </c>
      <c r="B20" s="65" t="s">
        <v>358</v>
      </c>
      <c r="C20" s="66" t="s">
        <v>2698</v>
      </c>
      <c r="D20" s="67">
        <v>4</v>
      </c>
      <c r="E20" s="68" t="s">
        <v>132</v>
      </c>
      <c r="F20" s="69">
        <v>30</v>
      </c>
      <c r="G20" s="66"/>
      <c r="H20" s="70"/>
      <c r="I20" s="71"/>
      <c r="J20" s="71"/>
      <c r="K20" s="35" t="s">
        <v>65</v>
      </c>
      <c r="L20" s="78">
        <v>20</v>
      </c>
      <c r="M20" s="78"/>
      <c r="N20" s="73"/>
      <c r="O20" s="80" t="s">
        <v>382</v>
      </c>
      <c r="P20" s="82">
        <v>44455.735451388886</v>
      </c>
      <c r="Q20" s="80" t="s">
        <v>386</v>
      </c>
      <c r="R20" s="80" t="s">
        <v>448</v>
      </c>
      <c r="S20" s="80" t="s">
        <v>449</v>
      </c>
      <c r="T20" s="85" t="s">
        <v>467</v>
      </c>
      <c r="U20" s="83" t="str">
        <f>HYPERLINK("https://pbs.twimg.com/ext_tw_video_thumb/1438555724775231489/pu/img/3eMPChFtKy7dWr8h.jpg")</f>
        <v>https://pbs.twimg.com/ext_tw_video_thumb/1438555724775231489/pu/img/3eMPChFtKy7dWr8h.jpg</v>
      </c>
      <c r="V20" s="83" t="str">
        <f>HYPERLINK("https://pbs.twimg.com/ext_tw_video_thumb/1438555724775231489/pu/img/3eMPChFtKy7dWr8h.jpg")</f>
        <v>https://pbs.twimg.com/ext_tw_video_thumb/1438555724775231489/pu/img/3eMPChFtKy7dWr8h.jpg</v>
      </c>
      <c r="W20" s="82">
        <v>44455.735451388886</v>
      </c>
      <c r="X20" s="88">
        <v>44455</v>
      </c>
      <c r="Y20" s="85" t="s">
        <v>520</v>
      </c>
      <c r="Z20" s="83" t="str">
        <f>HYPERLINK("https://twitter.com/julioastillero/status/1438558061103394818")</f>
        <v>https://twitter.com/julioastillero/status/1438558061103394818</v>
      </c>
      <c r="AA20" s="80"/>
      <c r="AB20" s="80"/>
      <c r="AC20" s="85" t="s">
        <v>693</v>
      </c>
      <c r="AD20" s="80"/>
      <c r="AE20" s="80" t="b">
        <v>0</v>
      </c>
      <c r="AF20" s="80">
        <v>0</v>
      </c>
      <c r="AG20" s="85" t="s">
        <v>871</v>
      </c>
      <c r="AH20" s="80" t="b">
        <v>1</v>
      </c>
      <c r="AI20" s="80" t="s">
        <v>880</v>
      </c>
      <c r="AJ20" s="80"/>
      <c r="AK20" s="85" t="s">
        <v>885</v>
      </c>
      <c r="AL20" s="80" t="b">
        <v>0</v>
      </c>
      <c r="AM20" s="80">
        <v>6</v>
      </c>
      <c r="AN20" s="85" t="s">
        <v>696</v>
      </c>
      <c r="AO20" s="85" t="s">
        <v>890</v>
      </c>
      <c r="AP20" s="80" t="b">
        <v>0</v>
      </c>
      <c r="AQ20" s="85" t="s">
        <v>696</v>
      </c>
      <c r="AR20" s="80" t="s">
        <v>178</v>
      </c>
      <c r="AS20" s="80">
        <v>0</v>
      </c>
      <c r="AT20" s="80">
        <v>0</v>
      </c>
      <c r="AU20" s="80"/>
      <c r="AV20" s="80"/>
      <c r="AW20" s="80"/>
      <c r="AX20" s="80"/>
      <c r="AY20" s="80"/>
      <c r="AZ20" s="80"/>
      <c r="BA20" s="80"/>
      <c r="BB20" s="80"/>
      <c r="BC20">
        <v>1</v>
      </c>
      <c r="BD20" s="79" t="str">
        <f>REPLACE(INDEX(GroupVertices[Group],MATCH(Edges[[#This Row],[Vertex 1]],GroupVertices[Vertex],0)),1,1,"")</f>
        <v>6</v>
      </c>
      <c r="BE20" s="79" t="str">
        <f>REPLACE(INDEX(GroupVertices[Group],MATCH(Edges[[#This Row],[Vertex 2]],GroupVertices[Vertex],0)),1,1,"")</f>
        <v>6</v>
      </c>
      <c r="BF20" s="49"/>
      <c r="BG20" s="50"/>
      <c r="BH20" s="49"/>
      <c r="BI20" s="50"/>
      <c r="BJ20" s="49"/>
      <c r="BK20" s="50"/>
      <c r="BL20" s="49"/>
      <c r="BM20" s="50"/>
      <c r="BN20" s="49"/>
    </row>
    <row r="21" spans="1:66" ht="15">
      <c r="A21" s="65" t="s">
        <v>220</v>
      </c>
      <c r="B21" s="65" t="s">
        <v>358</v>
      </c>
      <c r="C21" s="66" t="s">
        <v>2698</v>
      </c>
      <c r="D21" s="67">
        <v>4</v>
      </c>
      <c r="E21" s="68" t="s">
        <v>132</v>
      </c>
      <c r="F21" s="69">
        <v>30</v>
      </c>
      <c r="G21" s="66"/>
      <c r="H21" s="70"/>
      <c r="I21" s="71"/>
      <c r="J21" s="71"/>
      <c r="K21" s="35" t="s">
        <v>65</v>
      </c>
      <c r="L21" s="78">
        <v>21</v>
      </c>
      <c r="M21" s="78"/>
      <c r="N21" s="73"/>
      <c r="O21" s="80" t="s">
        <v>382</v>
      </c>
      <c r="P21" s="82">
        <v>44455.740752314814</v>
      </c>
      <c r="Q21" s="80" t="s">
        <v>386</v>
      </c>
      <c r="R21" s="80" t="s">
        <v>448</v>
      </c>
      <c r="S21" s="80" t="s">
        <v>449</v>
      </c>
      <c r="T21" s="85" t="s">
        <v>467</v>
      </c>
      <c r="U21" s="83" t="str">
        <f>HYPERLINK("https://pbs.twimg.com/ext_tw_video_thumb/1438555724775231489/pu/img/3eMPChFtKy7dWr8h.jpg")</f>
        <v>https://pbs.twimg.com/ext_tw_video_thumb/1438555724775231489/pu/img/3eMPChFtKy7dWr8h.jpg</v>
      </c>
      <c r="V21" s="83" t="str">
        <f>HYPERLINK("https://pbs.twimg.com/ext_tw_video_thumb/1438555724775231489/pu/img/3eMPChFtKy7dWr8h.jpg")</f>
        <v>https://pbs.twimg.com/ext_tw_video_thumb/1438555724775231489/pu/img/3eMPChFtKy7dWr8h.jpg</v>
      </c>
      <c r="W21" s="82">
        <v>44455.740752314814</v>
      </c>
      <c r="X21" s="88">
        <v>44455</v>
      </c>
      <c r="Y21" s="85" t="s">
        <v>521</v>
      </c>
      <c r="Z21" s="83" t="str">
        <f>HYPERLINK("https://twitter.com/gcorreacabrera/status/1438559983176671240")</f>
        <v>https://twitter.com/gcorreacabrera/status/1438559983176671240</v>
      </c>
      <c r="AA21" s="80"/>
      <c r="AB21" s="80"/>
      <c r="AC21" s="85" t="s">
        <v>694</v>
      </c>
      <c r="AD21" s="80"/>
      <c r="AE21" s="80" t="b">
        <v>0</v>
      </c>
      <c r="AF21" s="80">
        <v>0</v>
      </c>
      <c r="AG21" s="85" t="s">
        <v>871</v>
      </c>
      <c r="AH21" s="80" t="b">
        <v>1</v>
      </c>
      <c r="AI21" s="80" t="s">
        <v>880</v>
      </c>
      <c r="AJ21" s="80"/>
      <c r="AK21" s="85" t="s">
        <v>885</v>
      </c>
      <c r="AL21" s="80" t="b">
        <v>0</v>
      </c>
      <c r="AM21" s="80">
        <v>6</v>
      </c>
      <c r="AN21" s="85" t="s">
        <v>696</v>
      </c>
      <c r="AO21" s="85" t="s">
        <v>889</v>
      </c>
      <c r="AP21" s="80" t="b">
        <v>0</v>
      </c>
      <c r="AQ21" s="85" t="s">
        <v>696</v>
      </c>
      <c r="AR21" s="80" t="s">
        <v>178</v>
      </c>
      <c r="AS21" s="80">
        <v>0</v>
      </c>
      <c r="AT21" s="80">
        <v>0</v>
      </c>
      <c r="AU21" s="80"/>
      <c r="AV21" s="80"/>
      <c r="AW21" s="80"/>
      <c r="AX21" s="80"/>
      <c r="AY21" s="80"/>
      <c r="AZ21" s="80"/>
      <c r="BA21" s="80"/>
      <c r="BB21" s="80"/>
      <c r="BC21">
        <v>1</v>
      </c>
      <c r="BD21" s="79" t="str">
        <f>REPLACE(INDEX(GroupVertices[Group],MATCH(Edges[[#This Row],[Vertex 1]],GroupVertices[Vertex],0)),1,1,"")</f>
        <v>6</v>
      </c>
      <c r="BE21" s="79" t="str">
        <f>REPLACE(INDEX(GroupVertices[Group],MATCH(Edges[[#This Row],[Vertex 2]],GroupVertices[Vertex],0)),1,1,"")</f>
        <v>6</v>
      </c>
      <c r="BF21" s="49"/>
      <c r="BG21" s="50"/>
      <c r="BH21" s="49"/>
      <c r="BI21" s="50"/>
      <c r="BJ21" s="49"/>
      <c r="BK21" s="50"/>
      <c r="BL21" s="49"/>
      <c r="BM21" s="50"/>
      <c r="BN21" s="49"/>
    </row>
    <row r="22" spans="1:66" ht="15">
      <c r="A22" s="65" t="s">
        <v>222</v>
      </c>
      <c r="B22" s="65" t="s">
        <v>358</v>
      </c>
      <c r="C22" s="66" t="s">
        <v>2699</v>
      </c>
      <c r="D22" s="67">
        <v>10</v>
      </c>
      <c r="E22" s="68" t="s">
        <v>132</v>
      </c>
      <c r="F22" s="69">
        <v>10</v>
      </c>
      <c r="G22" s="66"/>
      <c r="H22" s="70"/>
      <c r="I22" s="71"/>
      <c r="J22" s="71"/>
      <c r="K22" s="35" t="s">
        <v>65</v>
      </c>
      <c r="L22" s="78">
        <v>22</v>
      </c>
      <c r="M22" s="78"/>
      <c r="N22" s="73"/>
      <c r="O22" s="80" t="s">
        <v>384</v>
      </c>
      <c r="P22" s="82">
        <v>44455.73023148148</v>
      </c>
      <c r="Q22" s="80" t="s">
        <v>386</v>
      </c>
      <c r="R22" s="80" t="s">
        <v>448</v>
      </c>
      <c r="S22" s="80" t="s">
        <v>449</v>
      </c>
      <c r="T22" s="85" t="s">
        <v>467</v>
      </c>
      <c r="U22" s="83" t="str">
        <f>HYPERLINK("https://pbs.twimg.com/ext_tw_video_thumb/1438555724775231489/pu/img/3eMPChFtKy7dWr8h.jpg")</f>
        <v>https://pbs.twimg.com/ext_tw_video_thumb/1438555724775231489/pu/img/3eMPChFtKy7dWr8h.jpg</v>
      </c>
      <c r="V22" s="83" t="str">
        <f>HYPERLINK("https://pbs.twimg.com/ext_tw_video_thumb/1438555724775231489/pu/img/3eMPChFtKy7dWr8h.jpg")</f>
        <v>https://pbs.twimg.com/ext_tw_video_thumb/1438555724775231489/pu/img/3eMPChFtKy7dWr8h.jpg</v>
      </c>
      <c r="W22" s="82">
        <v>44455.73023148148</v>
      </c>
      <c r="X22" s="88">
        <v>44455</v>
      </c>
      <c r="Y22" s="85" t="s">
        <v>523</v>
      </c>
      <c r="Z22" s="83" t="str">
        <f>HYPERLINK("https://twitter.com/comoleerenbici/status/1438556169916796930")</f>
        <v>https://twitter.com/comoleerenbici/status/1438556169916796930</v>
      </c>
      <c r="AA22" s="80"/>
      <c r="AB22" s="80"/>
      <c r="AC22" s="85" t="s">
        <v>696</v>
      </c>
      <c r="AD22" s="80"/>
      <c r="AE22" s="80" t="b">
        <v>0</v>
      </c>
      <c r="AF22" s="80">
        <v>8</v>
      </c>
      <c r="AG22" s="85" t="s">
        <v>871</v>
      </c>
      <c r="AH22" s="80" t="b">
        <v>1</v>
      </c>
      <c r="AI22" s="80" t="s">
        <v>880</v>
      </c>
      <c r="AJ22" s="80"/>
      <c r="AK22" s="85" t="s">
        <v>885</v>
      </c>
      <c r="AL22" s="80" t="b">
        <v>0</v>
      </c>
      <c r="AM22" s="80">
        <v>6</v>
      </c>
      <c r="AN22" s="85" t="s">
        <v>871</v>
      </c>
      <c r="AO22" s="85" t="s">
        <v>890</v>
      </c>
      <c r="AP22" s="80" t="b">
        <v>0</v>
      </c>
      <c r="AQ22" s="85" t="s">
        <v>696</v>
      </c>
      <c r="AR22" s="80" t="s">
        <v>178</v>
      </c>
      <c r="AS22" s="80">
        <v>0</v>
      </c>
      <c r="AT22" s="80">
        <v>0</v>
      </c>
      <c r="AU22" s="80"/>
      <c r="AV22" s="80"/>
      <c r="AW22" s="80"/>
      <c r="AX22" s="80"/>
      <c r="AY22" s="80"/>
      <c r="AZ22" s="80"/>
      <c r="BA22" s="80"/>
      <c r="BB22" s="80"/>
      <c r="BC22">
        <v>4</v>
      </c>
      <c r="BD22" s="79" t="str">
        <f>REPLACE(INDEX(GroupVertices[Group],MATCH(Edges[[#This Row],[Vertex 1]],GroupVertices[Vertex],0)),1,1,"")</f>
        <v>6</v>
      </c>
      <c r="BE22" s="79" t="str">
        <f>REPLACE(INDEX(GroupVertices[Group],MATCH(Edges[[#This Row],[Vertex 2]],GroupVertices[Vertex],0)),1,1,"")</f>
        <v>6</v>
      </c>
      <c r="BF22" s="49"/>
      <c r="BG22" s="50"/>
      <c r="BH22" s="49"/>
      <c r="BI22" s="50"/>
      <c r="BJ22" s="49"/>
      <c r="BK22" s="50"/>
      <c r="BL22" s="49"/>
      <c r="BM22" s="50"/>
      <c r="BN22" s="49"/>
    </row>
    <row r="23" spans="1:66" ht="15">
      <c r="A23" s="65" t="s">
        <v>222</v>
      </c>
      <c r="B23" s="65" t="s">
        <v>358</v>
      </c>
      <c r="C23" s="66" t="s">
        <v>2699</v>
      </c>
      <c r="D23" s="67">
        <v>10</v>
      </c>
      <c r="E23" s="68" t="s">
        <v>132</v>
      </c>
      <c r="F23" s="69">
        <v>10</v>
      </c>
      <c r="G23" s="66"/>
      <c r="H23" s="70"/>
      <c r="I23" s="71"/>
      <c r="J23" s="71"/>
      <c r="K23" s="35" t="s">
        <v>65</v>
      </c>
      <c r="L23" s="78">
        <v>23</v>
      </c>
      <c r="M23" s="78"/>
      <c r="N23" s="73"/>
      <c r="O23" s="80" t="s">
        <v>382</v>
      </c>
      <c r="P23" s="82">
        <v>44455.75827546296</v>
      </c>
      <c r="Q23" s="80" t="s">
        <v>386</v>
      </c>
      <c r="R23" s="80" t="s">
        <v>448</v>
      </c>
      <c r="S23" s="80" t="s">
        <v>449</v>
      </c>
      <c r="T23" s="85" t="s">
        <v>467</v>
      </c>
      <c r="U23" s="83" t="str">
        <f>HYPERLINK("https://pbs.twimg.com/ext_tw_video_thumb/1438555724775231489/pu/img/3eMPChFtKy7dWr8h.jpg")</f>
        <v>https://pbs.twimg.com/ext_tw_video_thumb/1438555724775231489/pu/img/3eMPChFtKy7dWr8h.jpg</v>
      </c>
      <c r="V23" s="83" t="str">
        <f>HYPERLINK("https://pbs.twimg.com/ext_tw_video_thumb/1438555724775231489/pu/img/3eMPChFtKy7dWr8h.jpg")</f>
        <v>https://pbs.twimg.com/ext_tw_video_thumb/1438555724775231489/pu/img/3eMPChFtKy7dWr8h.jpg</v>
      </c>
      <c r="W23" s="82">
        <v>44455.75827546296</v>
      </c>
      <c r="X23" s="88">
        <v>44455</v>
      </c>
      <c r="Y23" s="85" t="s">
        <v>524</v>
      </c>
      <c r="Z23" s="83" t="str">
        <f>HYPERLINK("https://twitter.com/comoleerenbici/status/1438566333629751299")</f>
        <v>https://twitter.com/comoleerenbici/status/1438566333629751299</v>
      </c>
      <c r="AA23" s="80"/>
      <c r="AB23" s="80"/>
      <c r="AC23" s="85" t="s">
        <v>697</v>
      </c>
      <c r="AD23" s="80"/>
      <c r="AE23" s="80" t="b">
        <v>0</v>
      </c>
      <c r="AF23" s="80">
        <v>0</v>
      </c>
      <c r="AG23" s="85" t="s">
        <v>871</v>
      </c>
      <c r="AH23" s="80" t="b">
        <v>1</v>
      </c>
      <c r="AI23" s="80" t="s">
        <v>880</v>
      </c>
      <c r="AJ23" s="80"/>
      <c r="AK23" s="85" t="s">
        <v>885</v>
      </c>
      <c r="AL23" s="80" t="b">
        <v>0</v>
      </c>
      <c r="AM23" s="80">
        <v>6</v>
      </c>
      <c r="AN23" s="85" t="s">
        <v>696</v>
      </c>
      <c r="AO23" s="85" t="s">
        <v>890</v>
      </c>
      <c r="AP23" s="80" t="b">
        <v>0</v>
      </c>
      <c r="AQ23" s="85" t="s">
        <v>696</v>
      </c>
      <c r="AR23" s="80" t="s">
        <v>178</v>
      </c>
      <c r="AS23" s="80">
        <v>0</v>
      </c>
      <c r="AT23" s="80">
        <v>0</v>
      </c>
      <c r="AU23" s="80"/>
      <c r="AV23" s="80"/>
      <c r="AW23" s="80"/>
      <c r="AX23" s="80"/>
      <c r="AY23" s="80"/>
      <c r="AZ23" s="80"/>
      <c r="BA23" s="80"/>
      <c r="BB23" s="80"/>
      <c r="BC23">
        <v>4</v>
      </c>
      <c r="BD23" s="79" t="str">
        <f>REPLACE(INDEX(GroupVertices[Group],MATCH(Edges[[#This Row],[Vertex 1]],GroupVertices[Vertex],0)),1,1,"")</f>
        <v>6</v>
      </c>
      <c r="BE23" s="79" t="str">
        <f>REPLACE(INDEX(GroupVertices[Group],MATCH(Edges[[#This Row],[Vertex 2]],GroupVertices[Vertex],0)),1,1,"")</f>
        <v>6</v>
      </c>
      <c r="BF23" s="49"/>
      <c r="BG23" s="50"/>
      <c r="BH23" s="49"/>
      <c r="BI23" s="50"/>
      <c r="BJ23" s="49"/>
      <c r="BK23" s="50"/>
      <c r="BL23" s="49"/>
      <c r="BM23" s="50"/>
      <c r="BN23" s="49"/>
    </row>
    <row r="24" spans="1:66" ht="15">
      <c r="A24" s="65" t="s">
        <v>223</v>
      </c>
      <c r="B24" s="65" t="s">
        <v>358</v>
      </c>
      <c r="C24" s="66" t="s">
        <v>2698</v>
      </c>
      <c r="D24" s="67">
        <v>4</v>
      </c>
      <c r="E24" s="68" t="s">
        <v>132</v>
      </c>
      <c r="F24" s="69">
        <v>30</v>
      </c>
      <c r="G24" s="66"/>
      <c r="H24" s="70"/>
      <c r="I24" s="71"/>
      <c r="J24" s="71"/>
      <c r="K24" s="35" t="s">
        <v>65</v>
      </c>
      <c r="L24" s="78">
        <v>24</v>
      </c>
      <c r="M24" s="78"/>
      <c r="N24" s="73"/>
      <c r="O24" s="80" t="s">
        <v>382</v>
      </c>
      <c r="P24" s="82">
        <v>44455.87799768519</v>
      </c>
      <c r="Q24" s="80" t="s">
        <v>386</v>
      </c>
      <c r="R24" s="80" t="s">
        <v>448</v>
      </c>
      <c r="S24" s="80" t="s">
        <v>449</v>
      </c>
      <c r="T24" s="85" t="s">
        <v>467</v>
      </c>
      <c r="U24" s="83" t="str">
        <f>HYPERLINK("https://pbs.twimg.com/ext_tw_video_thumb/1438555724775231489/pu/img/3eMPChFtKy7dWr8h.jpg")</f>
        <v>https://pbs.twimg.com/ext_tw_video_thumb/1438555724775231489/pu/img/3eMPChFtKy7dWr8h.jpg</v>
      </c>
      <c r="V24" s="83" t="str">
        <f>HYPERLINK("https://pbs.twimg.com/ext_tw_video_thumb/1438555724775231489/pu/img/3eMPChFtKy7dWr8h.jpg")</f>
        <v>https://pbs.twimg.com/ext_tw_video_thumb/1438555724775231489/pu/img/3eMPChFtKy7dWr8h.jpg</v>
      </c>
      <c r="W24" s="82">
        <v>44455.87799768519</v>
      </c>
      <c r="X24" s="88">
        <v>44455</v>
      </c>
      <c r="Y24" s="85" t="s">
        <v>525</v>
      </c>
      <c r="Z24" s="83" t="str">
        <f>HYPERLINK("https://twitter.com/carminamontesi2/status/1438609715932631051")</f>
        <v>https://twitter.com/carminamontesi2/status/1438609715932631051</v>
      </c>
      <c r="AA24" s="80"/>
      <c r="AB24" s="80"/>
      <c r="AC24" s="85" t="s">
        <v>698</v>
      </c>
      <c r="AD24" s="80"/>
      <c r="AE24" s="80" t="b">
        <v>0</v>
      </c>
      <c r="AF24" s="80">
        <v>0</v>
      </c>
      <c r="AG24" s="85" t="s">
        <v>871</v>
      </c>
      <c r="AH24" s="80" t="b">
        <v>1</v>
      </c>
      <c r="AI24" s="80" t="s">
        <v>880</v>
      </c>
      <c r="AJ24" s="80"/>
      <c r="AK24" s="85" t="s">
        <v>885</v>
      </c>
      <c r="AL24" s="80" t="b">
        <v>0</v>
      </c>
      <c r="AM24" s="80">
        <v>6</v>
      </c>
      <c r="AN24" s="85" t="s">
        <v>696</v>
      </c>
      <c r="AO24" s="85" t="s">
        <v>891</v>
      </c>
      <c r="AP24" s="80" t="b">
        <v>0</v>
      </c>
      <c r="AQ24" s="85" t="s">
        <v>696</v>
      </c>
      <c r="AR24" s="80" t="s">
        <v>178</v>
      </c>
      <c r="AS24" s="80">
        <v>0</v>
      </c>
      <c r="AT24" s="80">
        <v>0</v>
      </c>
      <c r="AU24" s="80"/>
      <c r="AV24" s="80"/>
      <c r="AW24" s="80"/>
      <c r="AX24" s="80"/>
      <c r="AY24" s="80"/>
      <c r="AZ24" s="80"/>
      <c r="BA24" s="80"/>
      <c r="BB24" s="80"/>
      <c r="BC24">
        <v>1</v>
      </c>
      <c r="BD24" s="79" t="str">
        <f>REPLACE(INDEX(GroupVertices[Group],MATCH(Edges[[#This Row],[Vertex 1]],GroupVertices[Vertex],0)),1,1,"")</f>
        <v>6</v>
      </c>
      <c r="BE24" s="79" t="str">
        <f>REPLACE(INDEX(GroupVertices[Group],MATCH(Edges[[#This Row],[Vertex 2]],GroupVertices[Vertex],0)),1,1,"")</f>
        <v>6</v>
      </c>
      <c r="BF24" s="49"/>
      <c r="BG24" s="50"/>
      <c r="BH24" s="49"/>
      <c r="BI24" s="50"/>
      <c r="BJ24" s="49"/>
      <c r="BK24" s="50"/>
      <c r="BL24" s="49"/>
      <c r="BM24" s="50"/>
      <c r="BN24" s="49"/>
    </row>
    <row r="25" spans="1:66" ht="15">
      <c r="A25" s="65" t="s">
        <v>219</v>
      </c>
      <c r="B25" s="65" t="s">
        <v>220</v>
      </c>
      <c r="C25" s="66" t="s">
        <v>2698</v>
      </c>
      <c r="D25" s="67">
        <v>4</v>
      </c>
      <c r="E25" s="68" t="s">
        <v>132</v>
      </c>
      <c r="F25" s="69">
        <v>30</v>
      </c>
      <c r="G25" s="66"/>
      <c r="H25" s="70"/>
      <c r="I25" s="71"/>
      <c r="J25" s="71"/>
      <c r="K25" s="35" t="s">
        <v>66</v>
      </c>
      <c r="L25" s="78">
        <v>25</v>
      </c>
      <c r="M25" s="78"/>
      <c r="N25" s="73"/>
      <c r="O25" s="80" t="s">
        <v>382</v>
      </c>
      <c r="P25" s="82">
        <v>44455.735451388886</v>
      </c>
      <c r="Q25" s="80" t="s">
        <v>386</v>
      </c>
      <c r="R25" s="80" t="s">
        <v>448</v>
      </c>
      <c r="S25" s="80" t="s">
        <v>449</v>
      </c>
      <c r="T25" s="85" t="s">
        <v>467</v>
      </c>
      <c r="U25" s="83" t="str">
        <f>HYPERLINK("https://pbs.twimg.com/ext_tw_video_thumb/1438555724775231489/pu/img/3eMPChFtKy7dWr8h.jpg")</f>
        <v>https://pbs.twimg.com/ext_tw_video_thumb/1438555724775231489/pu/img/3eMPChFtKy7dWr8h.jpg</v>
      </c>
      <c r="V25" s="83" t="str">
        <f>HYPERLINK("https://pbs.twimg.com/ext_tw_video_thumb/1438555724775231489/pu/img/3eMPChFtKy7dWr8h.jpg")</f>
        <v>https://pbs.twimg.com/ext_tw_video_thumb/1438555724775231489/pu/img/3eMPChFtKy7dWr8h.jpg</v>
      </c>
      <c r="W25" s="82">
        <v>44455.735451388886</v>
      </c>
      <c r="X25" s="88">
        <v>44455</v>
      </c>
      <c r="Y25" s="85" t="s">
        <v>520</v>
      </c>
      <c r="Z25" s="83" t="str">
        <f>HYPERLINK("https://twitter.com/julioastillero/status/1438558061103394818")</f>
        <v>https://twitter.com/julioastillero/status/1438558061103394818</v>
      </c>
      <c r="AA25" s="80"/>
      <c r="AB25" s="80"/>
      <c r="AC25" s="85" t="s">
        <v>693</v>
      </c>
      <c r="AD25" s="80"/>
      <c r="AE25" s="80" t="b">
        <v>0</v>
      </c>
      <c r="AF25" s="80">
        <v>0</v>
      </c>
      <c r="AG25" s="85" t="s">
        <v>871</v>
      </c>
      <c r="AH25" s="80" t="b">
        <v>1</v>
      </c>
      <c r="AI25" s="80" t="s">
        <v>880</v>
      </c>
      <c r="AJ25" s="80"/>
      <c r="AK25" s="85" t="s">
        <v>885</v>
      </c>
      <c r="AL25" s="80" t="b">
        <v>0</v>
      </c>
      <c r="AM25" s="80">
        <v>6</v>
      </c>
      <c r="AN25" s="85" t="s">
        <v>696</v>
      </c>
      <c r="AO25" s="85" t="s">
        <v>890</v>
      </c>
      <c r="AP25" s="80" t="b">
        <v>0</v>
      </c>
      <c r="AQ25" s="85" t="s">
        <v>696</v>
      </c>
      <c r="AR25" s="80" t="s">
        <v>178</v>
      </c>
      <c r="AS25" s="80">
        <v>0</v>
      </c>
      <c r="AT25" s="80">
        <v>0</v>
      </c>
      <c r="AU25" s="80"/>
      <c r="AV25" s="80"/>
      <c r="AW25" s="80"/>
      <c r="AX25" s="80"/>
      <c r="AY25" s="80"/>
      <c r="AZ25" s="80"/>
      <c r="BA25" s="80"/>
      <c r="BB25" s="80"/>
      <c r="BC25">
        <v>1</v>
      </c>
      <c r="BD25" s="79" t="str">
        <f>REPLACE(INDEX(GroupVertices[Group],MATCH(Edges[[#This Row],[Vertex 1]],GroupVertices[Vertex],0)),1,1,"")</f>
        <v>6</v>
      </c>
      <c r="BE25" s="79" t="str">
        <f>REPLACE(INDEX(GroupVertices[Group],MATCH(Edges[[#This Row],[Vertex 2]],GroupVertices[Vertex],0)),1,1,"")</f>
        <v>6</v>
      </c>
      <c r="BF25" s="49"/>
      <c r="BG25" s="50"/>
      <c r="BH25" s="49"/>
      <c r="BI25" s="50"/>
      <c r="BJ25" s="49"/>
      <c r="BK25" s="50"/>
      <c r="BL25" s="49"/>
      <c r="BM25" s="50"/>
      <c r="BN25" s="49"/>
    </row>
    <row r="26" spans="1:66" ht="15">
      <c r="A26" s="65" t="s">
        <v>220</v>
      </c>
      <c r="B26" s="65" t="s">
        <v>219</v>
      </c>
      <c r="C26" s="66" t="s">
        <v>2698</v>
      </c>
      <c r="D26" s="67">
        <v>4</v>
      </c>
      <c r="E26" s="68" t="s">
        <v>132</v>
      </c>
      <c r="F26" s="69">
        <v>30</v>
      </c>
      <c r="G26" s="66"/>
      <c r="H26" s="70"/>
      <c r="I26" s="71"/>
      <c r="J26" s="71"/>
      <c r="K26" s="35" t="s">
        <v>66</v>
      </c>
      <c r="L26" s="78">
        <v>26</v>
      </c>
      <c r="M26" s="78"/>
      <c r="N26" s="73"/>
      <c r="O26" s="80" t="s">
        <v>382</v>
      </c>
      <c r="P26" s="82">
        <v>44455.740752314814</v>
      </c>
      <c r="Q26" s="80" t="s">
        <v>386</v>
      </c>
      <c r="R26" s="80" t="s">
        <v>448</v>
      </c>
      <c r="S26" s="80" t="s">
        <v>449</v>
      </c>
      <c r="T26" s="85" t="s">
        <v>467</v>
      </c>
      <c r="U26" s="83" t="str">
        <f>HYPERLINK("https://pbs.twimg.com/ext_tw_video_thumb/1438555724775231489/pu/img/3eMPChFtKy7dWr8h.jpg")</f>
        <v>https://pbs.twimg.com/ext_tw_video_thumb/1438555724775231489/pu/img/3eMPChFtKy7dWr8h.jpg</v>
      </c>
      <c r="V26" s="83" t="str">
        <f>HYPERLINK("https://pbs.twimg.com/ext_tw_video_thumb/1438555724775231489/pu/img/3eMPChFtKy7dWr8h.jpg")</f>
        <v>https://pbs.twimg.com/ext_tw_video_thumb/1438555724775231489/pu/img/3eMPChFtKy7dWr8h.jpg</v>
      </c>
      <c r="W26" s="82">
        <v>44455.740752314814</v>
      </c>
      <c r="X26" s="88">
        <v>44455</v>
      </c>
      <c r="Y26" s="85" t="s">
        <v>521</v>
      </c>
      <c r="Z26" s="83" t="str">
        <f>HYPERLINK("https://twitter.com/gcorreacabrera/status/1438559983176671240")</f>
        <v>https://twitter.com/gcorreacabrera/status/1438559983176671240</v>
      </c>
      <c r="AA26" s="80"/>
      <c r="AB26" s="80"/>
      <c r="AC26" s="85" t="s">
        <v>694</v>
      </c>
      <c r="AD26" s="80"/>
      <c r="AE26" s="80" t="b">
        <v>0</v>
      </c>
      <c r="AF26" s="80">
        <v>0</v>
      </c>
      <c r="AG26" s="85" t="s">
        <v>871</v>
      </c>
      <c r="AH26" s="80" t="b">
        <v>1</v>
      </c>
      <c r="AI26" s="80" t="s">
        <v>880</v>
      </c>
      <c r="AJ26" s="80"/>
      <c r="AK26" s="85" t="s">
        <v>885</v>
      </c>
      <c r="AL26" s="80" t="b">
        <v>0</v>
      </c>
      <c r="AM26" s="80">
        <v>6</v>
      </c>
      <c r="AN26" s="85" t="s">
        <v>696</v>
      </c>
      <c r="AO26" s="85" t="s">
        <v>889</v>
      </c>
      <c r="AP26" s="80" t="b">
        <v>0</v>
      </c>
      <c r="AQ26" s="85" t="s">
        <v>696</v>
      </c>
      <c r="AR26" s="80" t="s">
        <v>178</v>
      </c>
      <c r="AS26" s="80">
        <v>0</v>
      </c>
      <c r="AT26" s="80">
        <v>0</v>
      </c>
      <c r="AU26" s="80"/>
      <c r="AV26" s="80"/>
      <c r="AW26" s="80"/>
      <c r="AX26" s="80"/>
      <c r="AY26" s="80"/>
      <c r="AZ26" s="80"/>
      <c r="BA26" s="80"/>
      <c r="BB26" s="80"/>
      <c r="BC26">
        <v>1</v>
      </c>
      <c r="BD26" s="79" t="str">
        <f>REPLACE(INDEX(GroupVertices[Group],MATCH(Edges[[#This Row],[Vertex 1]],GroupVertices[Vertex],0)),1,1,"")</f>
        <v>6</v>
      </c>
      <c r="BE26" s="79" t="str">
        <f>REPLACE(INDEX(GroupVertices[Group],MATCH(Edges[[#This Row],[Vertex 2]],GroupVertices[Vertex],0)),1,1,"")</f>
        <v>6</v>
      </c>
      <c r="BF26" s="49"/>
      <c r="BG26" s="50"/>
      <c r="BH26" s="49"/>
      <c r="BI26" s="50"/>
      <c r="BJ26" s="49"/>
      <c r="BK26" s="50"/>
      <c r="BL26" s="49"/>
      <c r="BM26" s="50"/>
      <c r="BN26" s="49"/>
    </row>
    <row r="27" spans="1:66" ht="15">
      <c r="A27" s="65" t="s">
        <v>220</v>
      </c>
      <c r="B27" s="65" t="s">
        <v>222</v>
      </c>
      <c r="C27" s="66" t="s">
        <v>2698</v>
      </c>
      <c r="D27" s="67">
        <v>4</v>
      </c>
      <c r="E27" s="68" t="s">
        <v>132</v>
      </c>
      <c r="F27" s="69">
        <v>30</v>
      </c>
      <c r="G27" s="66"/>
      <c r="H27" s="70"/>
      <c r="I27" s="71"/>
      <c r="J27" s="71"/>
      <c r="K27" s="35" t="s">
        <v>66</v>
      </c>
      <c r="L27" s="78">
        <v>27</v>
      </c>
      <c r="M27" s="78"/>
      <c r="N27" s="73"/>
      <c r="O27" s="80" t="s">
        <v>383</v>
      </c>
      <c r="P27" s="82">
        <v>44455.740752314814</v>
      </c>
      <c r="Q27" s="80" t="s">
        <v>386</v>
      </c>
      <c r="R27" s="80" t="s">
        <v>448</v>
      </c>
      <c r="S27" s="80" t="s">
        <v>449</v>
      </c>
      <c r="T27" s="85" t="s">
        <v>467</v>
      </c>
      <c r="U27" s="83" t="str">
        <f>HYPERLINK("https://pbs.twimg.com/ext_tw_video_thumb/1438555724775231489/pu/img/3eMPChFtKy7dWr8h.jpg")</f>
        <v>https://pbs.twimg.com/ext_tw_video_thumb/1438555724775231489/pu/img/3eMPChFtKy7dWr8h.jpg</v>
      </c>
      <c r="V27" s="83" t="str">
        <f>HYPERLINK("https://pbs.twimg.com/ext_tw_video_thumb/1438555724775231489/pu/img/3eMPChFtKy7dWr8h.jpg")</f>
        <v>https://pbs.twimg.com/ext_tw_video_thumb/1438555724775231489/pu/img/3eMPChFtKy7dWr8h.jpg</v>
      </c>
      <c r="W27" s="82">
        <v>44455.740752314814</v>
      </c>
      <c r="X27" s="88">
        <v>44455</v>
      </c>
      <c r="Y27" s="85" t="s">
        <v>521</v>
      </c>
      <c r="Z27" s="83" t="str">
        <f>HYPERLINK("https://twitter.com/gcorreacabrera/status/1438559983176671240")</f>
        <v>https://twitter.com/gcorreacabrera/status/1438559983176671240</v>
      </c>
      <c r="AA27" s="80"/>
      <c r="AB27" s="80"/>
      <c r="AC27" s="85" t="s">
        <v>694</v>
      </c>
      <c r="AD27" s="80"/>
      <c r="AE27" s="80" t="b">
        <v>0</v>
      </c>
      <c r="AF27" s="80">
        <v>0</v>
      </c>
      <c r="AG27" s="85" t="s">
        <v>871</v>
      </c>
      <c r="AH27" s="80" t="b">
        <v>1</v>
      </c>
      <c r="AI27" s="80" t="s">
        <v>880</v>
      </c>
      <c r="AJ27" s="80"/>
      <c r="AK27" s="85" t="s">
        <v>885</v>
      </c>
      <c r="AL27" s="80" t="b">
        <v>0</v>
      </c>
      <c r="AM27" s="80">
        <v>6</v>
      </c>
      <c r="AN27" s="85" t="s">
        <v>696</v>
      </c>
      <c r="AO27" s="85" t="s">
        <v>889</v>
      </c>
      <c r="AP27" s="80" t="b">
        <v>0</v>
      </c>
      <c r="AQ27" s="85" t="s">
        <v>696</v>
      </c>
      <c r="AR27" s="80" t="s">
        <v>178</v>
      </c>
      <c r="AS27" s="80">
        <v>0</v>
      </c>
      <c r="AT27" s="80">
        <v>0</v>
      </c>
      <c r="AU27" s="80"/>
      <c r="AV27" s="80"/>
      <c r="AW27" s="80"/>
      <c r="AX27" s="80"/>
      <c r="AY27" s="80"/>
      <c r="AZ27" s="80"/>
      <c r="BA27" s="80"/>
      <c r="BB27" s="80"/>
      <c r="BC27">
        <v>1</v>
      </c>
      <c r="BD27" s="79" t="str">
        <f>REPLACE(INDEX(GroupVertices[Group],MATCH(Edges[[#This Row],[Vertex 1]],GroupVertices[Vertex],0)),1,1,"")</f>
        <v>6</v>
      </c>
      <c r="BE27" s="79" t="str">
        <f>REPLACE(INDEX(GroupVertices[Group],MATCH(Edges[[#This Row],[Vertex 2]],GroupVertices[Vertex],0)),1,1,"")</f>
        <v>6</v>
      </c>
      <c r="BF27" s="49">
        <v>0</v>
      </c>
      <c r="BG27" s="50">
        <v>0</v>
      </c>
      <c r="BH27" s="49">
        <v>0</v>
      </c>
      <c r="BI27" s="50">
        <v>0</v>
      </c>
      <c r="BJ27" s="49">
        <v>0</v>
      </c>
      <c r="BK27" s="50">
        <v>0</v>
      </c>
      <c r="BL27" s="49">
        <v>24</v>
      </c>
      <c r="BM27" s="50">
        <v>100</v>
      </c>
      <c r="BN27" s="49">
        <v>24</v>
      </c>
    </row>
    <row r="28" spans="1:66" ht="15">
      <c r="A28" s="65" t="s">
        <v>222</v>
      </c>
      <c r="B28" s="65" t="s">
        <v>220</v>
      </c>
      <c r="C28" s="66" t="s">
        <v>2699</v>
      </c>
      <c r="D28" s="67">
        <v>10</v>
      </c>
      <c r="E28" s="68" t="s">
        <v>132</v>
      </c>
      <c r="F28" s="69">
        <v>10</v>
      </c>
      <c r="G28" s="66"/>
      <c r="H28" s="70"/>
      <c r="I28" s="71"/>
      <c r="J28" s="71"/>
      <c r="K28" s="35" t="s">
        <v>66</v>
      </c>
      <c r="L28" s="78">
        <v>28</v>
      </c>
      <c r="M28" s="78"/>
      <c r="N28" s="73"/>
      <c r="O28" s="80" t="s">
        <v>384</v>
      </c>
      <c r="P28" s="82">
        <v>44455.73023148148</v>
      </c>
      <c r="Q28" s="80" t="s">
        <v>386</v>
      </c>
      <c r="R28" s="80" t="s">
        <v>448</v>
      </c>
      <c r="S28" s="80" t="s">
        <v>449</v>
      </c>
      <c r="T28" s="85" t="s">
        <v>467</v>
      </c>
      <c r="U28" s="83" t="str">
        <f>HYPERLINK("https://pbs.twimg.com/ext_tw_video_thumb/1438555724775231489/pu/img/3eMPChFtKy7dWr8h.jpg")</f>
        <v>https://pbs.twimg.com/ext_tw_video_thumb/1438555724775231489/pu/img/3eMPChFtKy7dWr8h.jpg</v>
      </c>
      <c r="V28" s="83" t="str">
        <f>HYPERLINK("https://pbs.twimg.com/ext_tw_video_thumb/1438555724775231489/pu/img/3eMPChFtKy7dWr8h.jpg")</f>
        <v>https://pbs.twimg.com/ext_tw_video_thumb/1438555724775231489/pu/img/3eMPChFtKy7dWr8h.jpg</v>
      </c>
      <c r="W28" s="82">
        <v>44455.73023148148</v>
      </c>
      <c r="X28" s="88">
        <v>44455</v>
      </c>
      <c r="Y28" s="85" t="s">
        <v>523</v>
      </c>
      <c r="Z28" s="83" t="str">
        <f>HYPERLINK("https://twitter.com/comoleerenbici/status/1438556169916796930")</f>
        <v>https://twitter.com/comoleerenbici/status/1438556169916796930</v>
      </c>
      <c r="AA28" s="80"/>
      <c r="AB28" s="80"/>
      <c r="AC28" s="85" t="s">
        <v>696</v>
      </c>
      <c r="AD28" s="80"/>
      <c r="AE28" s="80" t="b">
        <v>0</v>
      </c>
      <c r="AF28" s="80">
        <v>8</v>
      </c>
      <c r="AG28" s="85" t="s">
        <v>871</v>
      </c>
      <c r="AH28" s="80" t="b">
        <v>1</v>
      </c>
      <c r="AI28" s="80" t="s">
        <v>880</v>
      </c>
      <c r="AJ28" s="80"/>
      <c r="AK28" s="85" t="s">
        <v>885</v>
      </c>
      <c r="AL28" s="80" t="b">
        <v>0</v>
      </c>
      <c r="AM28" s="80">
        <v>6</v>
      </c>
      <c r="AN28" s="85" t="s">
        <v>871</v>
      </c>
      <c r="AO28" s="85" t="s">
        <v>890</v>
      </c>
      <c r="AP28" s="80" t="b">
        <v>0</v>
      </c>
      <c r="AQ28" s="85" t="s">
        <v>696</v>
      </c>
      <c r="AR28" s="80" t="s">
        <v>178</v>
      </c>
      <c r="AS28" s="80">
        <v>0</v>
      </c>
      <c r="AT28" s="80">
        <v>0</v>
      </c>
      <c r="AU28" s="80"/>
      <c r="AV28" s="80"/>
      <c r="AW28" s="80"/>
      <c r="AX28" s="80"/>
      <c r="AY28" s="80"/>
      <c r="AZ28" s="80"/>
      <c r="BA28" s="80"/>
      <c r="BB28" s="80"/>
      <c r="BC28">
        <v>4</v>
      </c>
      <c r="BD28" s="79" t="str">
        <f>REPLACE(INDEX(GroupVertices[Group],MATCH(Edges[[#This Row],[Vertex 1]],GroupVertices[Vertex],0)),1,1,"")</f>
        <v>6</v>
      </c>
      <c r="BE28" s="79" t="str">
        <f>REPLACE(INDEX(GroupVertices[Group],MATCH(Edges[[#This Row],[Vertex 2]],GroupVertices[Vertex],0)),1,1,"")</f>
        <v>6</v>
      </c>
      <c r="BF28" s="49"/>
      <c r="BG28" s="50"/>
      <c r="BH28" s="49"/>
      <c r="BI28" s="50"/>
      <c r="BJ28" s="49"/>
      <c r="BK28" s="50"/>
      <c r="BL28" s="49"/>
      <c r="BM28" s="50"/>
      <c r="BN28" s="49"/>
    </row>
    <row r="29" spans="1:66" ht="15">
      <c r="A29" s="65" t="s">
        <v>222</v>
      </c>
      <c r="B29" s="65" t="s">
        <v>220</v>
      </c>
      <c r="C29" s="66" t="s">
        <v>2699</v>
      </c>
      <c r="D29" s="67">
        <v>10</v>
      </c>
      <c r="E29" s="68" t="s">
        <v>132</v>
      </c>
      <c r="F29" s="69">
        <v>10</v>
      </c>
      <c r="G29" s="66"/>
      <c r="H29" s="70"/>
      <c r="I29" s="71"/>
      <c r="J29" s="71"/>
      <c r="K29" s="35" t="s">
        <v>66</v>
      </c>
      <c r="L29" s="78">
        <v>29</v>
      </c>
      <c r="M29" s="78"/>
      <c r="N29" s="73"/>
      <c r="O29" s="80" t="s">
        <v>382</v>
      </c>
      <c r="P29" s="82">
        <v>44455.75827546296</v>
      </c>
      <c r="Q29" s="80" t="s">
        <v>386</v>
      </c>
      <c r="R29" s="80" t="s">
        <v>448</v>
      </c>
      <c r="S29" s="80" t="s">
        <v>449</v>
      </c>
      <c r="T29" s="85" t="s">
        <v>467</v>
      </c>
      <c r="U29" s="83" t="str">
        <f>HYPERLINK("https://pbs.twimg.com/ext_tw_video_thumb/1438555724775231489/pu/img/3eMPChFtKy7dWr8h.jpg")</f>
        <v>https://pbs.twimg.com/ext_tw_video_thumb/1438555724775231489/pu/img/3eMPChFtKy7dWr8h.jpg</v>
      </c>
      <c r="V29" s="83" t="str">
        <f>HYPERLINK("https://pbs.twimg.com/ext_tw_video_thumb/1438555724775231489/pu/img/3eMPChFtKy7dWr8h.jpg")</f>
        <v>https://pbs.twimg.com/ext_tw_video_thumb/1438555724775231489/pu/img/3eMPChFtKy7dWr8h.jpg</v>
      </c>
      <c r="W29" s="82">
        <v>44455.75827546296</v>
      </c>
      <c r="X29" s="88">
        <v>44455</v>
      </c>
      <c r="Y29" s="85" t="s">
        <v>524</v>
      </c>
      <c r="Z29" s="83" t="str">
        <f>HYPERLINK("https://twitter.com/comoleerenbici/status/1438566333629751299")</f>
        <v>https://twitter.com/comoleerenbici/status/1438566333629751299</v>
      </c>
      <c r="AA29" s="80"/>
      <c r="AB29" s="80"/>
      <c r="AC29" s="85" t="s">
        <v>697</v>
      </c>
      <c r="AD29" s="80"/>
      <c r="AE29" s="80" t="b">
        <v>0</v>
      </c>
      <c r="AF29" s="80">
        <v>0</v>
      </c>
      <c r="AG29" s="85" t="s">
        <v>871</v>
      </c>
      <c r="AH29" s="80" t="b">
        <v>1</v>
      </c>
      <c r="AI29" s="80" t="s">
        <v>880</v>
      </c>
      <c r="AJ29" s="80"/>
      <c r="AK29" s="85" t="s">
        <v>885</v>
      </c>
      <c r="AL29" s="80" t="b">
        <v>0</v>
      </c>
      <c r="AM29" s="80">
        <v>6</v>
      </c>
      <c r="AN29" s="85" t="s">
        <v>696</v>
      </c>
      <c r="AO29" s="85" t="s">
        <v>890</v>
      </c>
      <c r="AP29" s="80" t="b">
        <v>0</v>
      </c>
      <c r="AQ29" s="85" t="s">
        <v>696</v>
      </c>
      <c r="AR29" s="80" t="s">
        <v>178</v>
      </c>
      <c r="AS29" s="80">
        <v>0</v>
      </c>
      <c r="AT29" s="80">
        <v>0</v>
      </c>
      <c r="AU29" s="80"/>
      <c r="AV29" s="80"/>
      <c r="AW29" s="80"/>
      <c r="AX29" s="80"/>
      <c r="AY29" s="80"/>
      <c r="AZ29" s="80"/>
      <c r="BA29" s="80"/>
      <c r="BB29" s="80"/>
      <c r="BC29">
        <v>4</v>
      </c>
      <c r="BD29" s="79" t="str">
        <f>REPLACE(INDEX(GroupVertices[Group],MATCH(Edges[[#This Row],[Vertex 1]],GroupVertices[Vertex],0)),1,1,"")</f>
        <v>6</v>
      </c>
      <c r="BE29" s="79" t="str">
        <f>REPLACE(INDEX(GroupVertices[Group],MATCH(Edges[[#This Row],[Vertex 2]],GroupVertices[Vertex],0)),1,1,"")</f>
        <v>6</v>
      </c>
      <c r="BF29" s="49"/>
      <c r="BG29" s="50"/>
      <c r="BH29" s="49"/>
      <c r="BI29" s="50"/>
      <c r="BJ29" s="49"/>
      <c r="BK29" s="50"/>
      <c r="BL29" s="49"/>
      <c r="BM29" s="50"/>
      <c r="BN29" s="49"/>
    </row>
    <row r="30" spans="1:66" ht="15">
      <c r="A30" s="65" t="s">
        <v>223</v>
      </c>
      <c r="B30" s="65" t="s">
        <v>220</v>
      </c>
      <c r="C30" s="66" t="s">
        <v>2698</v>
      </c>
      <c r="D30" s="67">
        <v>4</v>
      </c>
      <c r="E30" s="68" t="s">
        <v>132</v>
      </c>
      <c r="F30" s="69">
        <v>30</v>
      </c>
      <c r="G30" s="66"/>
      <c r="H30" s="70"/>
      <c r="I30" s="71"/>
      <c r="J30" s="71"/>
      <c r="K30" s="35" t="s">
        <v>65</v>
      </c>
      <c r="L30" s="78">
        <v>30</v>
      </c>
      <c r="M30" s="78"/>
      <c r="N30" s="73"/>
      <c r="O30" s="80" t="s">
        <v>382</v>
      </c>
      <c r="P30" s="82">
        <v>44455.87799768519</v>
      </c>
      <c r="Q30" s="80" t="s">
        <v>386</v>
      </c>
      <c r="R30" s="80" t="s">
        <v>448</v>
      </c>
      <c r="S30" s="80" t="s">
        <v>449</v>
      </c>
      <c r="T30" s="85" t="s">
        <v>467</v>
      </c>
      <c r="U30" s="83" t="str">
        <f>HYPERLINK("https://pbs.twimg.com/ext_tw_video_thumb/1438555724775231489/pu/img/3eMPChFtKy7dWr8h.jpg")</f>
        <v>https://pbs.twimg.com/ext_tw_video_thumb/1438555724775231489/pu/img/3eMPChFtKy7dWr8h.jpg</v>
      </c>
      <c r="V30" s="83" t="str">
        <f>HYPERLINK("https://pbs.twimg.com/ext_tw_video_thumb/1438555724775231489/pu/img/3eMPChFtKy7dWr8h.jpg")</f>
        <v>https://pbs.twimg.com/ext_tw_video_thumb/1438555724775231489/pu/img/3eMPChFtKy7dWr8h.jpg</v>
      </c>
      <c r="W30" s="82">
        <v>44455.87799768519</v>
      </c>
      <c r="X30" s="88">
        <v>44455</v>
      </c>
      <c r="Y30" s="85" t="s">
        <v>525</v>
      </c>
      <c r="Z30" s="83" t="str">
        <f>HYPERLINK("https://twitter.com/carminamontesi2/status/1438609715932631051")</f>
        <v>https://twitter.com/carminamontesi2/status/1438609715932631051</v>
      </c>
      <c r="AA30" s="80"/>
      <c r="AB30" s="80"/>
      <c r="AC30" s="85" t="s">
        <v>698</v>
      </c>
      <c r="AD30" s="80"/>
      <c r="AE30" s="80" t="b">
        <v>0</v>
      </c>
      <c r="AF30" s="80">
        <v>0</v>
      </c>
      <c r="AG30" s="85" t="s">
        <v>871</v>
      </c>
      <c r="AH30" s="80" t="b">
        <v>1</v>
      </c>
      <c r="AI30" s="80" t="s">
        <v>880</v>
      </c>
      <c r="AJ30" s="80"/>
      <c r="AK30" s="85" t="s">
        <v>885</v>
      </c>
      <c r="AL30" s="80" t="b">
        <v>0</v>
      </c>
      <c r="AM30" s="80">
        <v>6</v>
      </c>
      <c r="AN30" s="85" t="s">
        <v>696</v>
      </c>
      <c r="AO30" s="85" t="s">
        <v>891</v>
      </c>
      <c r="AP30" s="80" t="b">
        <v>0</v>
      </c>
      <c r="AQ30" s="85" t="s">
        <v>696</v>
      </c>
      <c r="AR30" s="80" t="s">
        <v>178</v>
      </c>
      <c r="AS30" s="80">
        <v>0</v>
      </c>
      <c r="AT30" s="80">
        <v>0</v>
      </c>
      <c r="AU30" s="80"/>
      <c r="AV30" s="80"/>
      <c r="AW30" s="80"/>
      <c r="AX30" s="80"/>
      <c r="AY30" s="80"/>
      <c r="AZ30" s="80"/>
      <c r="BA30" s="80"/>
      <c r="BB30" s="80"/>
      <c r="BC30">
        <v>1</v>
      </c>
      <c r="BD30" s="79" t="str">
        <f>REPLACE(INDEX(GroupVertices[Group],MATCH(Edges[[#This Row],[Vertex 1]],GroupVertices[Vertex],0)),1,1,"")</f>
        <v>6</v>
      </c>
      <c r="BE30" s="79" t="str">
        <f>REPLACE(INDEX(GroupVertices[Group],MATCH(Edges[[#This Row],[Vertex 2]],GroupVertices[Vertex],0)),1,1,"")</f>
        <v>6</v>
      </c>
      <c r="BF30" s="49"/>
      <c r="BG30" s="50"/>
      <c r="BH30" s="49"/>
      <c r="BI30" s="50"/>
      <c r="BJ30" s="49"/>
      <c r="BK30" s="50"/>
      <c r="BL30" s="49"/>
      <c r="BM30" s="50"/>
      <c r="BN30" s="49"/>
    </row>
    <row r="31" spans="1:66" ht="15">
      <c r="A31" s="65" t="s">
        <v>219</v>
      </c>
      <c r="B31" s="65" t="s">
        <v>222</v>
      </c>
      <c r="C31" s="66" t="s">
        <v>2698</v>
      </c>
      <c r="D31" s="67">
        <v>4</v>
      </c>
      <c r="E31" s="68" t="s">
        <v>132</v>
      </c>
      <c r="F31" s="69">
        <v>30</v>
      </c>
      <c r="G31" s="66"/>
      <c r="H31" s="70"/>
      <c r="I31" s="71"/>
      <c r="J31" s="71"/>
      <c r="K31" s="35" t="s">
        <v>66</v>
      </c>
      <c r="L31" s="78">
        <v>31</v>
      </c>
      <c r="M31" s="78"/>
      <c r="N31" s="73"/>
      <c r="O31" s="80" t="s">
        <v>383</v>
      </c>
      <c r="P31" s="82">
        <v>44455.735451388886</v>
      </c>
      <c r="Q31" s="80" t="s">
        <v>386</v>
      </c>
      <c r="R31" s="80" t="s">
        <v>448</v>
      </c>
      <c r="S31" s="80" t="s">
        <v>449</v>
      </c>
      <c r="T31" s="85" t="s">
        <v>467</v>
      </c>
      <c r="U31" s="83" t="str">
        <f>HYPERLINK("https://pbs.twimg.com/ext_tw_video_thumb/1438555724775231489/pu/img/3eMPChFtKy7dWr8h.jpg")</f>
        <v>https://pbs.twimg.com/ext_tw_video_thumb/1438555724775231489/pu/img/3eMPChFtKy7dWr8h.jpg</v>
      </c>
      <c r="V31" s="83" t="str">
        <f>HYPERLINK("https://pbs.twimg.com/ext_tw_video_thumb/1438555724775231489/pu/img/3eMPChFtKy7dWr8h.jpg")</f>
        <v>https://pbs.twimg.com/ext_tw_video_thumb/1438555724775231489/pu/img/3eMPChFtKy7dWr8h.jpg</v>
      </c>
      <c r="W31" s="82">
        <v>44455.735451388886</v>
      </c>
      <c r="X31" s="88">
        <v>44455</v>
      </c>
      <c r="Y31" s="85" t="s">
        <v>520</v>
      </c>
      <c r="Z31" s="83" t="str">
        <f>HYPERLINK("https://twitter.com/julioastillero/status/1438558061103394818")</f>
        <v>https://twitter.com/julioastillero/status/1438558061103394818</v>
      </c>
      <c r="AA31" s="80"/>
      <c r="AB31" s="80"/>
      <c r="AC31" s="85" t="s">
        <v>693</v>
      </c>
      <c r="AD31" s="80"/>
      <c r="AE31" s="80" t="b">
        <v>0</v>
      </c>
      <c r="AF31" s="80">
        <v>0</v>
      </c>
      <c r="AG31" s="85" t="s">
        <v>871</v>
      </c>
      <c r="AH31" s="80" t="b">
        <v>1</v>
      </c>
      <c r="AI31" s="80" t="s">
        <v>880</v>
      </c>
      <c r="AJ31" s="80"/>
      <c r="AK31" s="85" t="s">
        <v>885</v>
      </c>
      <c r="AL31" s="80" t="b">
        <v>0</v>
      </c>
      <c r="AM31" s="80">
        <v>6</v>
      </c>
      <c r="AN31" s="85" t="s">
        <v>696</v>
      </c>
      <c r="AO31" s="85" t="s">
        <v>890</v>
      </c>
      <c r="AP31" s="80" t="b">
        <v>0</v>
      </c>
      <c r="AQ31" s="85" t="s">
        <v>696</v>
      </c>
      <c r="AR31" s="80" t="s">
        <v>178</v>
      </c>
      <c r="AS31" s="80">
        <v>0</v>
      </c>
      <c r="AT31" s="80">
        <v>0</v>
      </c>
      <c r="AU31" s="80"/>
      <c r="AV31" s="80"/>
      <c r="AW31" s="80"/>
      <c r="AX31" s="80"/>
      <c r="AY31" s="80"/>
      <c r="AZ31" s="80"/>
      <c r="BA31" s="80"/>
      <c r="BB31" s="80"/>
      <c r="BC31">
        <v>1</v>
      </c>
      <c r="BD31" s="79" t="str">
        <f>REPLACE(INDEX(GroupVertices[Group],MATCH(Edges[[#This Row],[Vertex 1]],GroupVertices[Vertex],0)),1,1,"")</f>
        <v>6</v>
      </c>
      <c r="BE31" s="79" t="str">
        <f>REPLACE(INDEX(GroupVertices[Group],MATCH(Edges[[#This Row],[Vertex 2]],GroupVertices[Vertex],0)),1,1,"")</f>
        <v>6</v>
      </c>
      <c r="BF31" s="49">
        <v>0</v>
      </c>
      <c r="BG31" s="50">
        <v>0</v>
      </c>
      <c r="BH31" s="49">
        <v>0</v>
      </c>
      <c r="BI31" s="50">
        <v>0</v>
      </c>
      <c r="BJ31" s="49">
        <v>0</v>
      </c>
      <c r="BK31" s="50">
        <v>0</v>
      </c>
      <c r="BL31" s="49">
        <v>24</v>
      </c>
      <c r="BM31" s="50">
        <v>100</v>
      </c>
      <c r="BN31" s="49">
        <v>24</v>
      </c>
    </row>
    <row r="32" spans="1:66" ht="15">
      <c r="A32" s="65" t="s">
        <v>222</v>
      </c>
      <c r="B32" s="65" t="s">
        <v>219</v>
      </c>
      <c r="C32" s="66" t="s">
        <v>2699</v>
      </c>
      <c r="D32" s="67">
        <v>10</v>
      </c>
      <c r="E32" s="68" t="s">
        <v>132</v>
      </c>
      <c r="F32" s="69">
        <v>10</v>
      </c>
      <c r="G32" s="66"/>
      <c r="H32" s="70"/>
      <c r="I32" s="71"/>
      <c r="J32" s="71"/>
      <c r="K32" s="35" t="s">
        <v>66</v>
      </c>
      <c r="L32" s="78">
        <v>32</v>
      </c>
      <c r="M32" s="78"/>
      <c r="N32" s="73"/>
      <c r="O32" s="80" t="s">
        <v>384</v>
      </c>
      <c r="P32" s="82">
        <v>44455.73023148148</v>
      </c>
      <c r="Q32" s="80" t="s">
        <v>386</v>
      </c>
      <c r="R32" s="80" t="s">
        <v>448</v>
      </c>
      <c r="S32" s="80" t="s">
        <v>449</v>
      </c>
      <c r="T32" s="85" t="s">
        <v>467</v>
      </c>
      <c r="U32" s="83" t="str">
        <f>HYPERLINK("https://pbs.twimg.com/ext_tw_video_thumb/1438555724775231489/pu/img/3eMPChFtKy7dWr8h.jpg")</f>
        <v>https://pbs.twimg.com/ext_tw_video_thumb/1438555724775231489/pu/img/3eMPChFtKy7dWr8h.jpg</v>
      </c>
      <c r="V32" s="83" t="str">
        <f>HYPERLINK("https://pbs.twimg.com/ext_tw_video_thumb/1438555724775231489/pu/img/3eMPChFtKy7dWr8h.jpg")</f>
        <v>https://pbs.twimg.com/ext_tw_video_thumb/1438555724775231489/pu/img/3eMPChFtKy7dWr8h.jpg</v>
      </c>
      <c r="W32" s="82">
        <v>44455.73023148148</v>
      </c>
      <c r="X32" s="88">
        <v>44455</v>
      </c>
      <c r="Y32" s="85" t="s">
        <v>523</v>
      </c>
      <c r="Z32" s="83" t="str">
        <f>HYPERLINK("https://twitter.com/comoleerenbici/status/1438556169916796930")</f>
        <v>https://twitter.com/comoleerenbici/status/1438556169916796930</v>
      </c>
      <c r="AA32" s="80"/>
      <c r="AB32" s="80"/>
      <c r="AC32" s="85" t="s">
        <v>696</v>
      </c>
      <c r="AD32" s="80"/>
      <c r="AE32" s="80" t="b">
        <v>0</v>
      </c>
      <c r="AF32" s="80">
        <v>8</v>
      </c>
      <c r="AG32" s="85" t="s">
        <v>871</v>
      </c>
      <c r="AH32" s="80" t="b">
        <v>1</v>
      </c>
      <c r="AI32" s="80" t="s">
        <v>880</v>
      </c>
      <c r="AJ32" s="80"/>
      <c r="AK32" s="85" t="s">
        <v>885</v>
      </c>
      <c r="AL32" s="80" t="b">
        <v>0</v>
      </c>
      <c r="AM32" s="80">
        <v>6</v>
      </c>
      <c r="AN32" s="85" t="s">
        <v>871</v>
      </c>
      <c r="AO32" s="85" t="s">
        <v>890</v>
      </c>
      <c r="AP32" s="80" t="b">
        <v>0</v>
      </c>
      <c r="AQ32" s="85" t="s">
        <v>696</v>
      </c>
      <c r="AR32" s="80" t="s">
        <v>178</v>
      </c>
      <c r="AS32" s="80">
        <v>0</v>
      </c>
      <c r="AT32" s="80">
        <v>0</v>
      </c>
      <c r="AU32" s="80"/>
      <c r="AV32" s="80"/>
      <c r="AW32" s="80"/>
      <c r="AX32" s="80"/>
      <c r="AY32" s="80"/>
      <c r="AZ32" s="80"/>
      <c r="BA32" s="80"/>
      <c r="BB32" s="80"/>
      <c r="BC32">
        <v>4</v>
      </c>
      <c r="BD32" s="79" t="str">
        <f>REPLACE(INDEX(GroupVertices[Group],MATCH(Edges[[#This Row],[Vertex 1]],GroupVertices[Vertex],0)),1,1,"")</f>
        <v>6</v>
      </c>
      <c r="BE32" s="79" t="str">
        <f>REPLACE(INDEX(GroupVertices[Group],MATCH(Edges[[#This Row],[Vertex 2]],GroupVertices[Vertex],0)),1,1,"")</f>
        <v>6</v>
      </c>
      <c r="BF32" s="49">
        <v>0</v>
      </c>
      <c r="BG32" s="50">
        <v>0</v>
      </c>
      <c r="BH32" s="49">
        <v>0</v>
      </c>
      <c r="BI32" s="50">
        <v>0</v>
      </c>
      <c r="BJ32" s="49">
        <v>0</v>
      </c>
      <c r="BK32" s="50">
        <v>0</v>
      </c>
      <c r="BL32" s="49">
        <v>24</v>
      </c>
      <c r="BM32" s="50">
        <v>100</v>
      </c>
      <c r="BN32" s="49">
        <v>24</v>
      </c>
    </row>
    <row r="33" spans="1:66" ht="15">
      <c r="A33" s="65" t="s">
        <v>222</v>
      </c>
      <c r="B33" s="65" t="s">
        <v>219</v>
      </c>
      <c r="C33" s="66" t="s">
        <v>2699</v>
      </c>
      <c r="D33" s="67">
        <v>10</v>
      </c>
      <c r="E33" s="68" t="s">
        <v>132</v>
      </c>
      <c r="F33" s="69">
        <v>10</v>
      </c>
      <c r="G33" s="66"/>
      <c r="H33" s="70"/>
      <c r="I33" s="71"/>
      <c r="J33" s="71"/>
      <c r="K33" s="35" t="s">
        <v>66</v>
      </c>
      <c r="L33" s="78">
        <v>33</v>
      </c>
      <c r="M33" s="78"/>
      <c r="N33" s="73"/>
      <c r="O33" s="80" t="s">
        <v>382</v>
      </c>
      <c r="P33" s="82">
        <v>44455.75827546296</v>
      </c>
      <c r="Q33" s="80" t="s">
        <v>386</v>
      </c>
      <c r="R33" s="80" t="s">
        <v>448</v>
      </c>
      <c r="S33" s="80" t="s">
        <v>449</v>
      </c>
      <c r="T33" s="85" t="s">
        <v>467</v>
      </c>
      <c r="U33" s="83" t="str">
        <f>HYPERLINK("https://pbs.twimg.com/ext_tw_video_thumb/1438555724775231489/pu/img/3eMPChFtKy7dWr8h.jpg")</f>
        <v>https://pbs.twimg.com/ext_tw_video_thumb/1438555724775231489/pu/img/3eMPChFtKy7dWr8h.jpg</v>
      </c>
      <c r="V33" s="83" t="str">
        <f>HYPERLINK("https://pbs.twimg.com/ext_tw_video_thumb/1438555724775231489/pu/img/3eMPChFtKy7dWr8h.jpg")</f>
        <v>https://pbs.twimg.com/ext_tw_video_thumb/1438555724775231489/pu/img/3eMPChFtKy7dWr8h.jpg</v>
      </c>
      <c r="W33" s="82">
        <v>44455.75827546296</v>
      </c>
      <c r="X33" s="88">
        <v>44455</v>
      </c>
      <c r="Y33" s="85" t="s">
        <v>524</v>
      </c>
      <c r="Z33" s="83" t="str">
        <f>HYPERLINK("https://twitter.com/comoleerenbici/status/1438566333629751299")</f>
        <v>https://twitter.com/comoleerenbici/status/1438566333629751299</v>
      </c>
      <c r="AA33" s="80"/>
      <c r="AB33" s="80"/>
      <c r="AC33" s="85" t="s">
        <v>697</v>
      </c>
      <c r="AD33" s="80"/>
      <c r="AE33" s="80" t="b">
        <v>0</v>
      </c>
      <c r="AF33" s="80">
        <v>0</v>
      </c>
      <c r="AG33" s="85" t="s">
        <v>871</v>
      </c>
      <c r="AH33" s="80" t="b">
        <v>1</v>
      </c>
      <c r="AI33" s="80" t="s">
        <v>880</v>
      </c>
      <c r="AJ33" s="80"/>
      <c r="AK33" s="85" t="s">
        <v>885</v>
      </c>
      <c r="AL33" s="80" t="b">
        <v>0</v>
      </c>
      <c r="AM33" s="80">
        <v>6</v>
      </c>
      <c r="AN33" s="85" t="s">
        <v>696</v>
      </c>
      <c r="AO33" s="85" t="s">
        <v>890</v>
      </c>
      <c r="AP33" s="80" t="b">
        <v>0</v>
      </c>
      <c r="AQ33" s="85" t="s">
        <v>696</v>
      </c>
      <c r="AR33" s="80" t="s">
        <v>178</v>
      </c>
      <c r="AS33" s="80">
        <v>0</v>
      </c>
      <c r="AT33" s="80">
        <v>0</v>
      </c>
      <c r="AU33" s="80"/>
      <c r="AV33" s="80"/>
      <c r="AW33" s="80"/>
      <c r="AX33" s="80"/>
      <c r="AY33" s="80"/>
      <c r="AZ33" s="80"/>
      <c r="BA33" s="80"/>
      <c r="BB33" s="80"/>
      <c r="BC33">
        <v>4</v>
      </c>
      <c r="BD33" s="79" t="str">
        <f>REPLACE(INDEX(GroupVertices[Group],MATCH(Edges[[#This Row],[Vertex 1]],GroupVertices[Vertex],0)),1,1,"")</f>
        <v>6</v>
      </c>
      <c r="BE33" s="79" t="str">
        <f>REPLACE(INDEX(GroupVertices[Group],MATCH(Edges[[#This Row],[Vertex 2]],GroupVertices[Vertex],0)),1,1,"")</f>
        <v>6</v>
      </c>
      <c r="BF33" s="49"/>
      <c r="BG33" s="50"/>
      <c r="BH33" s="49"/>
      <c r="BI33" s="50"/>
      <c r="BJ33" s="49"/>
      <c r="BK33" s="50"/>
      <c r="BL33" s="49"/>
      <c r="BM33" s="50"/>
      <c r="BN33" s="49"/>
    </row>
    <row r="34" spans="1:66" ht="15">
      <c r="A34" s="65" t="s">
        <v>223</v>
      </c>
      <c r="B34" s="65" t="s">
        <v>219</v>
      </c>
      <c r="C34" s="66" t="s">
        <v>2698</v>
      </c>
      <c r="D34" s="67">
        <v>4</v>
      </c>
      <c r="E34" s="68" t="s">
        <v>132</v>
      </c>
      <c r="F34" s="69">
        <v>30</v>
      </c>
      <c r="G34" s="66"/>
      <c r="H34" s="70"/>
      <c r="I34" s="71"/>
      <c r="J34" s="71"/>
      <c r="K34" s="35" t="s">
        <v>65</v>
      </c>
      <c r="L34" s="78">
        <v>34</v>
      </c>
      <c r="M34" s="78"/>
      <c r="N34" s="73"/>
      <c r="O34" s="80" t="s">
        <v>382</v>
      </c>
      <c r="P34" s="82">
        <v>44455.87799768519</v>
      </c>
      <c r="Q34" s="80" t="s">
        <v>386</v>
      </c>
      <c r="R34" s="80" t="s">
        <v>448</v>
      </c>
      <c r="S34" s="80" t="s">
        <v>449</v>
      </c>
      <c r="T34" s="85" t="s">
        <v>467</v>
      </c>
      <c r="U34" s="83" t="str">
        <f>HYPERLINK("https://pbs.twimg.com/ext_tw_video_thumb/1438555724775231489/pu/img/3eMPChFtKy7dWr8h.jpg")</f>
        <v>https://pbs.twimg.com/ext_tw_video_thumb/1438555724775231489/pu/img/3eMPChFtKy7dWr8h.jpg</v>
      </c>
      <c r="V34" s="83" t="str">
        <f>HYPERLINK("https://pbs.twimg.com/ext_tw_video_thumb/1438555724775231489/pu/img/3eMPChFtKy7dWr8h.jpg")</f>
        <v>https://pbs.twimg.com/ext_tw_video_thumb/1438555724775231489/pu/img/3eMPChFtKy7dWr8h.jpg</v>
      </c>
      <c r="W34" s="82">
        <v>44455.87799768519</v>
      </c>
      <c r="X34" s="88">
        <v>44455</v>
      </c>
      <c r="Y34" s="85" t="s">
        <v>525</v>
      </c>
      <c r="Z34" s="83" t="str">
        <f>HYPERLINK("https://twitter.com/carminamontesi2/status/1438609715932631051")</f>
        <v>https://twitter.com/carminamontesi2/status/1438609715932631051</v>
      </c>
      <c r="AA34" s="80"/>
      <c r="AB34" s="80"/>
      <c r="AC34" s="85" t="s">
        <v>698</v>
      </c>
      <c r="AD34" s="80"/>
      <c r="AE34" s="80" t="b">
        <v>0</v>
      </c>
      <c r="AF34" s="80">
        <v>0</v>
      </c>
      <c r="AG34" s="85" t="s">
        <v>871</v>
      </c>
      <c r="AH34" s="80" t="b">
        <v>1</v>
      </c>
      <c r="AI34" s="80" t="s">
        <v>880</v>
      </c>
      <c r="AJ34" s="80"/>
      <c r="AK34" s="85" t="s">
        <v>885</v>
      </c>
      <c r="AL34" s="80" t="b">
        <v>0</v>
      </c>
      <c r="AM34" s="80">
        <v>6</v>
      </c>
      <c r="AN34" s="85" t="s">
        <v>696</v>
      </c>
      <c r="AO34" s="85" t="s">
        <v>891</v>
      </c>
      <c r="AP34" s="80" t="b">
        <v>0</v>
      </c>
      <c r="AQ34" s="85" t="s">
        <v>696</v>
      </c>
      <c r="AR34" s="80" t="s">
        <v>178</v>
      </c>
      <c r="AS34" s="80">
        <v>0</v>
      </c>
      <c r="AT34" s="80">
        <v>0</v>
      </c>
      <c r="AU34" s="80"/>
      <c r="AV34" s="80"/>
      <c r="AW34" s="80"/>
      <c r="AX34" s="80"/>
      <c r="AY34" s="80"/>
      <c r="AZ34" s="80"/>
      <c r="BA34" s="80"/>
      <c r="BB34" s="80"/>
      <c r="BC34">
        <v>1</v>
      </c>
      <c r="BD34" s="79" t="str">
        <f>REPLACE(INDEX(GroupVertices[Group],MATCH(Edges[[#This Row],[Vertex 1]],GroupVertices[Vertex],0)),1,1,"")</f>
        <v>6</v>
      </c>
      <c r="BE34" s="79" t="str">
        <f>REPLACE(INDEX(GroupVertices[Group],MATCH(Edges[[#This Row],[Vertex 2]],GroupVertices[Vertex],0)),1,1,"")</f>
        <v>6</v>
      </c>
      <c r="BF34" s="49"/>
      <c r="BG34" s="50"/>
      <c r="BH34" s="49"/>
      <c r="BI34" s="50"/>
      <c r="BJ34" s="49"/>
      <c r="BK34" s="50"/>
      <c r="BL34" s="49"/>
      <c r="BM34" s="50"/>
      <c r="BN34" s="49"/>
    </row>
    <row r="35" spans="1:66" ht="15">
      <c r="A35" s="65" t="s">
        <v>222</v>
      </c>
      <c r="B35" s="65" t="s">
        <v>222</v>
      </c>
      <c r="C35" s="66" t="s">
        <v>2698</v>
      </c>
      <c r="D35" s="67">
        <v>4</v>
      </c>
      <c r="E35" s="68" t="s">
        <v>132</v>
      </c>
      <c r="F35" s="69">
        <v>30</v>
      </c>
      <c r="G35" s="66"/>
      <c r="H35" s="70"/>
      <c r="I35" s="71"/>
      <c r="J35" s="71"/>
      <c r="K35" s="35" t="s">
        <v>65</v>
      </c>
      <c r="L35" s="78">
        <v>35</v>
      </c>
      <c r="M35" s="78"/>
      <c r="N35" s="73"/>
      <c r="O35" s="80" t="s">
        <v>383</v>
      </c>
      <c r="P35" s="82">
        <v>44455.75827546296</v>
      </c>
      <c r="Q35" s="80" t="s">
        <v>386</v>
      </c>
      <c r="R35" s="80" t="s">
        <v>448</v>
      </c>
      <c r="S35" s="80" t="s">
        <v>449</v>
      </c>
      <c r="T35" s="85" t="s">
        <v>467</v>
      </c>
      <c r="U35" s="83" t="str">
        <f>HYPERLINK("https://pbs.twimg.com/ext_tw_video_thumb/1438555724775231489/pu/img/3eMPChFtKy7dWr8h.jpg")</f>
        <v>https://pbs.twimg.com/ext_tw_video_thumb/1438555724775231489/pu/img/3eMPChFtKy7dWr8h.jpg</v>
      </c>
      <c r="V35" s="83" t="str">
        <f>HYPERLINK("https://pbs.twimg.com/ext_tw_video_thumb/1438555724775231489/pu/img/3eMPChFtKy7dWr8h.jpg")</f>
        <v>https://pbs.twimg.com/ext_tw_video_thumb/1438555724775231489/pu/img/3eMPChFtKy7dWr8h.jpg</v>
      </c>
      <c r="W35" s="82">
        <v>44455.75827546296</v>
      </c>
      <c r="X35" s="88">
        <v>44455</v>
      </c>
      <c r="Y35" s="85" t="s">
        <v>524</v>
      </c>
      <c r="Z35" s="83" t="str">
        <f>HYPERLINK("https://twitter.com/comoleerenbici/status/1438566333629751299")</f>
        <v>https://twitter.com/comoleerenbici/status/1438566333629751299</v>
      </c>
      <c r="AA35" s="80"/>
      <c r="AB35" s="80"/>
      <c r="AC35" s="85" t="s">
        <v>697</v>
      </c>
      <c r="AD35" s="80"/>
      <c r="AE35" s="80" t="b">
        <v>0</v>
      </c>
      <c r="AF35" s="80">
        <v>0</v>
      </c>
      <c r="AG35" s="85" t="s">
        <v>871</v>
      </c>
      <c r="AH35" s="80" t="b">
        <v>1</v>
      </c>
      <c r="AI35" s="80" t="s">
        <v>880</v>
      </c>
      <c r="AJ35" s="80"/>
      <c r="AK35" s="85" t="s">
        <v>885</v>
      </c>
      <c r="AL35" s="80" t="b">
        <v>0</v>
      </c>
      <c r="AM35" s="80">
        <v>6</v>
      </c>
      <c r="AN35" s="85" t="s">
        <v>696</v>
      </c>
      <c r="AO35" s="85" t="s">
        <v>890</v>
      </c>
      <c r="AP35" s="80" t="b">
        <v>0</v>
      </c>
      <c r="AQ35" s="85" t="s">
        <v>696</v>
      </c>
      <c r="AR35" s="80" t="s">
        <v>178</v>
      </c>
      <c r="AS35" s="80">
        <v>0</v>
      </c>
      <c r="AT35" s="80">
        <v>0</v>
      </c>
      <c r="AU35" s="80"/>
      <c r="AV35" s="80"/>
      <c r="AW35" s="80"/>
      <c r="AX35" s="80"/>
      <c r="AY35" s="80"/>
      <c r="AZ35" s="80"/>
      <c r="BA35" s="80"/>
      <c r="BB35" s="80"/>
      <c r="BC35">
        <v>1</v>
      </c>
      <c r="BD35" s="79" t="str">
        <f>REPLACE(INDEX(GroupVertices[Group],MATCH(Edges[[#This Row],[Vertex 1]],GroupVertices[Vertex],0)),1,1,"")</f>
        <v>6</v>
      </c>
      <c r="BE35" s="79" t="str">
        <f>REPLACE(INDEX(GroupVertices[Group],MATCH(Edges[[#This Row],[Vertex 2]],GroupVertices[Vertex],0)),1,1,"")</f>
        <v>6</v>
      </c>
      <c r="BF35" s="49">
        <v>0</v>
      </c>
      <c r="BG35" s="50">
        <v>0</v>
      </c>
      <c r="BH35" s="49">
        <v>0</v>
      </c>
      <c r="BI35" s="50">
        <v>0</v>
      </c>
      <c r="BJ35" s="49">
        <v>0</v>
      </c>
      <c r="BK35" s="50">
        <v>0</v>
      </c>
      <c r="BL35" s="49">
        <v>24</v>
      </c>
      <c r="BM35" s="50">
        <v>100</v>
      </c>
      <c r="BN35" s="49">
        <v>24</v>
      </c>
    </row>
    <row r="36" spans="1:66" ht="15">
      <c r="A36" s="65" t="s">
        <v>223</v>
      </c>
      <c r="B36" s="65" t="s">
        <v>222</v>
      </c>
      <c r="C36" s="66" t="s">
        <v>2698</v>
      </c>
      <c r="D36" s="67">
        <v>4</v>
      </c>
      <c r="E36" s="68" t="s">
        <v>132</v>
      </c>
      <c r="F36" s="69">
        <v>30</v>
      </c>
      <c r="G36" s="66"/>
      <c r="H36" s="70"/>
      <c r="I36" s="71"/>
      <c r="J36" s="71"/>
      <c r="K36" s="35" t="s">
        <v>65</v>
      </c>
      <c r="L36" s="78">
        <v>36</v>
      </c>
      <c r="M36" s="78"/>
      <c r="N36" s="73"/>
      <c r="O36" s="80" t="s">
        <v>383</v>
      </c>
      <c r="P36" s="82">
        <v>44455.87799768519</v>
      </c>
      <c r="Q36" s="80" t="s">
        <v>386</v>
      </c>
      <c r="R36" s="80" t="s">
        <v>448</v>
      </c>
      <c r="S36" s="80" t="s">
        <v>449</v>
      </c>
      <c r="T36" s="85" t="s">
        <v>467</v>
      </c>
      <c r="U36" s="83" t="str">
        <f>HYPERLINK("https://pbs.twimg.com/ext_tw_video_thumb/1438555724775231489/pu/img/3eMPChFtKy7dWr8h.jpg")</f>
        <v>https://pbs.twimg.com/ext_tw_video_thumb/1438555724775231489/pu/img/3eMPChFtKy7dWr8h.jpg</v>
      </c>
      <c r="V36" s="83" t="str">
        <f>HYPERLINK("https://pbs.twimg.com/ext_tw_video_thumb/1438555724775231489/pu/img/3eMPChFtKy7dWr8h.jpg")</f>
        <v>https://pbs.twimg.com/ext_tw_video_thumb/1438555724775231489/pu/img/3eMPChFtKy7dWr8h.jpg</v>
      </c>
      <c r="W36" s="82">
        <v>44455.87799768519</v>
      </c>
      <c r="X36" s="88">
        <v>44455</v>
      </c>
      <c r="Y36" s="85" t="s">
        <v>525</v>
      </c>
      <c r="Z36" s="83" t="str">
        <f>HYPERLINK("https://twitter.com/carminamontesi2/status/1438609715932631051")</f>
        <v>https://twitter.com/carminamontesi2/status/1438609715932631051</v>
      </c>
      <c r="AA36" s="80"/>
      <c r="AB36" s="80"/>
      <c r="AC36" s="85" t="s">
        <v>698</v>
      </c>
      <c r="AD36" s="80"/>
      <c r="AE36" s="80" t="b">
        <v>0</v>
      </c>
      <c r="AF36" s="80">
        <v>0</v>
      </c>
      <c r="AG36" s="85" t="s">
        <v>871</v>
      </c>
      <c r="AH36" s="80" t="b">
        <v>1</v>
      </c>
      <c r="AI36" s="80" t="s">
        <v>880</v>
      </c>
      <c r="AJ36" s="80"/>
      <c r="AK36" s="85" t="s">
        <v>885</v>
      </c>
      <c r="AL36" s="80" t="b">
        <v>0</v>
      </c>
      <c r="AM36" s="80">
        <v>6</v>
      </c>
      <c r="AN36" s="85" t="s">
        <v>696</v>
      </c>
      <c r="AO36" s="85" t="s">
        <v>891</v>
      </c>
      <c r="AP36" s="80" t="b">
        <v>0</v>
      </c>
      <c r="AQ36" s="85" t="s">
        <v>696</v>
      </c>
      <c r="AR36" s="80" t="s">
        <v>178</v>
      </c>
      <c r="AS36" s="80">
        <v>0</v>
      </c>
      <c r="AT36" s="80">
        <v>0</v>
      </c>
      <c r="AU36" s="80"/>
      <c r="AV36" s="80"/>
      <c r="AW36" s="80"/>
      <c r="AX36" s="80"/>
      <c r="AY36" s="80"/>
      <c r="AZ36" s="80"/>
      <c r="BA36" s="80"/>
      <c r="BB36" s="80"/>
      <c r="BC36">
        <v>1</v>
      </c>
      <c r="BD36" s="79" t="str">
        <f>REPLACE(INDEX(GroupVertices[Group],MATCH(Edges[[#This Row],[Vertex 1]],GroupVertices[Vertex],0)),1,1,"")</f>
        <v>6</v>
      </c>
      <c r="BE36" s="79" t="str">
        <f>REPLACE(INDEX(GroupVertices[Group],MATCH(Edges[[#This Row],[Vertex 2]],GroupVertices[Vertex],0)),1,1,"")</f>
        <v>6</v>
      </c>
      <c r="BF36" s="49">
        <v>0</v>
      </c>
      <c r="BG36" s="50">
        <v>0</v>
      </c>
      <c r="BH36" s="49">
        <v>0</v>
      </c>
      <c r="BI36" s="50">
        <v>0</v>
      </c>
      <c r="BJ36" s="49">
        <v>0</v>
      </c>
      <c r="BK36" s="50">
        <v>0</v>
      </c>
      <c r="BL36" s="49">
        <v>24</v>
      </c>
      <c r="BM36" s="50">
        <v>100</v>
      </c>
      <c r="BN36" s="49">
        <v>24</v>
      </c>
    </row>
    <row r="37" spans="1:66" ht="15">
      <c r="A37" s="65" t="s">
        <v>224</v>
      </c>
      <c r="B37" s="65" t="s">
        <v>224</v>
      </c>
      <c r="C37" s="66" t="s">
        <v>2698</v>
      </c>
      <c r="D37" s="67">
        <v>4</v>
      </c>
      <c r="E37" s="68" t="s">
        <v>132</v>
      </c>
      <c r="F37" s="69">
        <v>30</v>
      </c>
      <c r="G37" s="66"/>
      <c r="H37" s="70"/>
      <c r="I37" s="71"/>
      <c r="J37" s="71"/>
      <c r="K37" s="35" t="s">
        <v>65</v>
      </c>
      <c r="L37" s="78">
        <v>37</v>
      </c>
      <c r="M37" s="78"/>
      <c r="N37" s="73"/>
      <c r="O37" s="80" t="s">
        <v>178</v>
      </c>
      <c r="P37" s="82">
        <v>44456.542650462965</v>
      </c>
      <c r="Q37" s="80" t="s">
        <v>388</v>
      </c>
      <c r="R37" s="83" t="str">
        <f>HYPERLINK("https://talcualdigital.com/el-bloqueo-migratorio-en-mexico-fortalece-al-crimen-organizado-por-carlos-barrachina-l/")</f>
        <v>https://talcualdigital.com/el-bloqueo-migratorio-en-mexico-fortalece-al-crimen-organizado-por-carlos-barrachina-l/</v>
      </c>
      <c r="S37" s="80" t="s">
        <v>450</v>
      </c>
      <c r="T37" s="85" t="s">
        <v>469</v>
      </c>
      <c r="U37" s="80"/>
      <c r="V37" s="83" t="str">
        <f>HYPERLINK("https://pbs.twimg.com/profile_images/1280959478968602634/RoWxx_BL_normal.jpg")</f>
        <v>https://pbs.twimg.com/profile_images/1280959478968602634/RoWxx_BL_normal.jpg</v>
      </c>
      <c r="W37" s="82">
        <v>44456.542650462965</v>
      </c>
      <c r="X37" s="88">
        <v>44456</v>
      </c>
      <c r="Y37" s="85" t="s">
        <v>526</v>
      </c>
      <c r="Z37" s="83" t="str">
        <f>HYPERLINK("https://twitter.com/cbarrachina1/status/1438850579279843333")</f>
        <v>https://twitter.com/cbarrachina1/status/1438850579279843333</v>
      </c>
      <c r="AA37" s="80"/>
      <c r="AB37" s="80"/>
      <c r="AC37" s="85" t="s">
        <v>699</v>
      </c>
      <c r="AD37" s="80"/>
      <c r="AE37" s="80" t="b">
        <v>0</v>
      </c>
      <c r="AF37" s="80">
        <v>0</v>
      </c>
      <c r="AG37" s="85" t="s">
        <v>871</v>
      </c>
      <c r="AH37" s="80" t="b">
        <v>0</v>
      </c>
      <c r="AI37" s="80" t="s">
        <v>882</v>
      </c>
      <c r="AJ37" s="80"/>
      <c r="AK37" s="85" t="s">
        <v>871</v>
      </c>
      <c r="AL37" s="80" t="b">
        <v>0</v>
      </c>
      <c r="AM37" s="80">
        <v>0</v>
      </c>
      <c r="AN37" s="85" t="s">
        <v>871</v>
      </c>
      <c r="AO37" s="85" t="s">
        <v>889</v>
      </c>
      <c r="AP37" s="80" t="b">
        <v>0</v>
      </c>
      <c r="AQ37" s="85" t="s">
        <v>699</v>
      </c>
      <c r="AR37" s="80" t="s">
        <v>178</v>
      </c>
      <c r="AS37" s="80">
        <v>0</v>
      </c>
      <c r="AT37" s="80">
        <v>0</v>
      </c>
      <c r="AU37" s="80"/>
      <c r="AV37" s="80"/>
      <c r="AW37" s="80"/>
      <c r="AX37" s="80"/>
      <c r="AY37" s="80"/>
      <c r="AZ37" s="80"/>
      <c r="BA37" s="80"/>
      <c r="BB37" s="80"/>
      <c r="BC37">
        <v>1</v>
      </c>
      <c r="BD37" s="79" t="str">
        <f>REPLACE(INDEX(GroupVertices[Group],MATCH(Edges[[#This Row],[Vertex 1]],GroupVertices[Vertex],0)),1,1,"")</f>
        <v>4</v>
      </c>
      <c r="BE37" s="79" t="str">
        <f>REPLACE(INDEX(GroupVertices[Group],MATCH(Edges[[#This Row],[Vertex 2]],GroupVertices[Vertex],0)),1,1,"")</f>
        <v>4</v>
      </c>
      <c r="BF37" s="49">
        <v>0</v>
      </c>
      <c r="BG37" s="50">
        <v>0</v>
      </c>
      <c r="BH37" s="49">
        <v>0</v>
      </c>
      <c r="BI37" s="50">
        <v>0</v>
      </c>
      <c r="BJ37" s="49">
        <v>0</v>
      </c>
      <c r="BK37" s="50">
        <v>0</v>
      </c>
      <c r="BL37" s="49">
        <v>17</v>
      </c>
      <c r="BM37" s="50">
        <v>100</v>
      </c>
      <c r="BN37" s="49">
        <v>17</v>
      </c>
    </row>
    <row r="38" spans="1:66" ht="15">
      <c r="A38" s="65" t="s">
        <v>225</v>
      </c>
      <c r="B38" s="65" t="s">
        <v>269</v>
      </c>
      <c r="C38" s="66" t="s">
        <v>2698</v>
      </c>
      <c r="D38" s="67">
        <v>4</v>
      </c>
      <c r="E38" s="68" t="s">
        <v>132</v>
      </c>
      <c r="F38" s="69">
        <v>30</v>
      </c>
      <c r="G38" s="66"/>
      <c r="H38" s="70"/>
      <c r="I38" s="71"/>
      <c r="J38" s="71"/>
      <c r="K38" s="35" t="s">
        <v>65</v>
      </c>
      <c r="L38" s="78">
        <v>38</v>
      </c>
      <c r="M38" s="78"/>
      <c r="N38" s="73"/>
      <c r="O38" s="80" t="s">
        <v>383</v>
      </c>
      <c r="P38" s="82">
        <v>44456.56329861111</v>
      </c>
      <c r="Q38" s="80" t="s">
        <v>389</v>
      </c>
      <c r="R38" s="83" t="str">
        <f>HYPERLINK("https://www.diariodelsur.com.mx/local/activa-guardia-nacional-busqueda-de-migrantes-en-taxis-7222717.html")</f>
        <v>https://www.diariodelsur.com.mx/local/activa-guardia-nacional-busqueda-de-migrantes-en-taxis-7222717.html</v>
      </c>
      <c r="S38" s="80" t="s">
        <v>451</v>
      </c>
      <c r="T38" s="85" t="s">
        <v>470</v>
      </c>
      <c r="U38" s="80"/>
      <c r="V38" s="83" t="str">
        <f>HYPERLINK("https://pbs.twimg.com/profile_images/1403720673319604229/iqWgXDdc_normal.jpg")</f>
        <v>https://pbs.twimg.com/profile_images/1403720673319604229/iqWgXDdc_normal.jpg</v>
      </c>
      <c r="W38" s="82">
        <v>44456.56329861111</v>
      </c>
      <c r="X38" s="88">
        <v>44456</v>
      </c>
      <c r="Y38" s="85" t="s">
        <v>527</v>
      </c>
      <c r="Z38" s="83" t="str">
        <f>HYPERLINK("https://twitter.com/annamaribel4/status/1438858063910408194")</f>
        <v>https://twitter.com/annamaribel4/status/1438858063910408194</v>
      </c>
      <c r="AA38" s="80"/>
      <c r="AB38" s="80"/>
      <c r="AC38" s="85" t="s">
        <v>700</v>
      </c>
      <c r="AD38" s="80"/>
      <c r="AE38" s="80" t="b">
        <v>0</v>
      </c>
      <c r="AF38" s="80">
        <v>0</v>
      </c>
      <c r="AG38" s="85" t="s">
        <v>871</v>
      </c>
      <c r="AH38" s="80" t="b">
        <v>0</v>
      </c>
      <c r="AI38" s="80" t="s">
        <v>883</v>
      </c>
      <c r="AJ38" s="80"/>
      <c r="AK38" s="85" t="s">
        <v>871</v>
      </c>
      <c r="AL38" s="80" t="b">
        <v>0</v>
      </c>
      <c r="AM38" s="80">
        <v>4</v>
      </c>
      <c r="AN38" s="85" t="s">
        <v>793</v>
      </c>
      <c r="AO38" s="85" t="s">
        <v>889</v>
      </c>
      <c r="AP38" s="80" t="b">
        <v>0</v>
      </c>
      <c r="AQ38" s="85" t="s">
        <v>793</v>
      </c>
      <c r="AR38" s="80" t="s">
        <v>178</v>
      </c>
      <c r="AS38" s="80">
        <v>0</v>
      </c>
      <c r="AT38" s="80">
        <v>0</v>
      </c>
      <c r="AU38" s="80"/>
      <c r="AV38" s="80"/>
      <c r="AW38" s="80"/>
      <c r="AX38" s="80"/>
      <c r="AY38" s="80"/>
      <c r="AZ38" s="80"/>
      <c r="BA38" s="80"/>
      <c r="BB38" s="80"/>
      <c r="BC38">
        <v>1</v>
      </c>
      <c r="BD38" s="79" t="str">
        <f>REPLACE(INDEX(GroupVertices[Group],MATCH(Edges[[#This Row],[Vertex 1]],GroupVertices[Vertex],0)),1,1,"")</f>
        <v>3</v>
      </c>
      <c r="BE38" s="79" t="str">
        <f>REPLACE(INDEX(GroupVertices[Group],MATCH(Edges[[#This Row],[Vertex 2]],GroupVertices[Vertex],0)),1,1,"")</f>
        <v>3</v>
      </c>
      <c r="BF38" s="49">
        <v>1</v>
      </c>
      <c r="BG38" s="50">
        <v>2.5</v>
      </c>
      <c r="BH38" s="49">
        <v>0</v>
      </c>
      <c r="BI38" s="50">
        <v>0</v>
      </c>
      <c r="BJ38" s="49">
        <v>0</v>
      </c>
      <c r="BK38" s="50">
        <v>0</v>
      </c>
      <c r="BL38" s="49">
        <v>39</v>
      </c>
      <c r="BM38" s="50">
        <v>97.5</v>
      </c>
      <c r="BN38" s="49">
        <v>40</v>
      </c>
    </row>
    <row r="39" spans="1:66" ht="15">
      <c r="A39" s="65" t="s">
        <v>226</v>
      </c>
      <c r="B39" s="65" t="s">
        <v>269</v>
      </c>
      <c r="C39" s="66" t="s">
        <v>2698</v>
      </c>
      <c r="D39" s="67">
        <v>4</v>
      </c>
      <c r="E39" s="68" t="s">
        <v>132</v>
      </c>
      <c r="F39" s="69">
        <v>30</v>
      </c>
      <c r="G39" s="66"/>
      <c r="H39" s="70"/>
      <c r="I39" s="71"/>
      <c r="J39" s="71"/>
      <c r="K39" s="35" t="s">
        <v>65</v>
      </c>
      <c r="L39" s="78">
        <v>39</v>
      </c>
      <c r="M39" s="78"/>
      <c r="N39" s="73"/>
      <c r="O39" s="80" t="s">
        <v>383</v>
      </c>
      <c r="P39" s="82">
        <v>44456.569027777776</v>
      </c>
      <c r="Q39" s="80" t="s">
        <v>389</v>
      </c>
      <c r="R39" s="83" t="str">
        <f>HYPERLINK("https://www.diariodelsur.com.mx/local/activa-guardia-nacional-busqueda-de-migrantes-en-taxis-7222717.html")</f>
        <v>https://www.diariodelsur.com.mx/local/activa-guardia-nacional-busqueda-de-migrantes-en-taxis-7222717.html</v>
      </c>
      <c r="S39" s="80" t="s">
        <v>451</v>
      </c>
      <c r="T39" s="85" t="s">
        <v>470</v>
      </c>
      <c r="U39" s="80"/>
      <c r="V39" s="83" t="str">
        <f>HYPERLINK("https://pbs.twimg.com/profile_images/1249795862336802816/F6P8jK6s_normal.jpg")</f>
        <v>https://pbs.twimg.com/profile_images/1249795862336802816/F6P8jK6s_normal.jpg</v>
      </c>
      <c r="W39" s="82">
        <v>44456.569027777776</v>
      </c>
      <c r="X39" s="88">
        <v>44456</v>
      </c>
      <c r="Y39" s="85" t="s">
        <v>528</v>
      </c>
      <c r="Z39" s="83" t="str">
        <f>HYPERLINK("https://twitter.com/svirgola2/status/1438860137213616128")</f>
        <v>https://twitter.com/svirgola2/status/1438860137213616128</v>
      </c>
      <c r="AA39" s="80"/>
      <c r="AB39" s="80"/>
      <c r="AC39" s="85" t="s">
        <v>701</v>
      </c>
      <c r="AD39" s="80"/>
      <c r="AE39" s="80" t="b">
        <v>0</v>
      </c>
      <c r="AF39" s="80">
        <v>0</v>
      </c>
      <c r="AG39" s="85" t="s">
        <v>871</v>
      </c>
      <c r="AH39" s="80" t="b">
        <v>0</v>
      </c>
      <c r="AI39" s="80" t="s">
        <v>883</v>
      </c>
      <c r="AJ39" s="80"/>
      <c r="AK39" s="85" t="s">
        <v>871</v>
      </c>
      <c r="AL39" s="80" t="b">
        <v>0</v>
      </c>
      <c r="AM39" s="80">
        <v>4</v>
      </c>
      <c r="AN39" s="85" t="s">
        <v>793</v>
      </c>
      <c r="AO39" s="85" t="s">
        <v>891</v>
      </c>
      <c r="AP39" s="80" t="b">
        <v>0</v>
      </c>
      <c r="AQ39" s="85" t="s">
        <v>793</v>
      </c>
      <c r="AR39" s="80" t="s">
        <v>178</v>
      </c>
      <c r="AS39" s="80">
        <v>0</v>
      </c>
      <c r="AT39" s="80">
        <v>0</v>
      </c>
      <c r="AU39" s="80"/>
      <c r="AV39" s="80"/>
      <c r="AW39" s="80"/>
      <c r="AX39" s="80"/>
      <c r="AY39" s="80"/>
      <c r="AZ39" s="80"/>
      <c r="BA39" s="80"/>
      <c r="BB39" s="80"/>
      <c r="BC39">
        <v>1</v>
      </c>
      <c r="BD39" s="79" t="str">
        <f>REPLACE(INDEX(GroupVertices[Group],MATCH(Edges[[#This Row],[Vertex 1]],GroupVertices[Vertex],0)),1,1,"")</f>
        <v>3</v>
      </c>
      <c r="BE39" s="79" t="str">
        <f>REPLACE(INDEX(GroupVertices[Group],MATCH(Edges[[#This Row],[Vertex 2]],GroupVertices[Vertex],0)),1,1,"")</f>
        <v>3</v>
      </c>
      <c r="BF39" s="49">
        <v>1</v>
      </c>
      <c r="BG39" s="50">
        <v>2.5</v>
      </c>
      <c r="BH39" s="49">
        <v>0</v>
      </c>
      <c r="BI39" s="50">
        <v>0</v>
      </c>
      <c r="BJ39" s="49">
        <v>0</v>
      </c>
      <c r="BK39" s="50">
        <v>0</v>
      </c>
      <c r="BL39" s="49">
        <v>39</v>
      </c>
      <c r="BM39" s="50">
        <v>97.5</v>
      </c>
      <c r="BN39" s="49">
        <v>40</v>
      </c>
    </row>
    <row r="40" spans="1:66" ht="15">
      <c r="A40" s="65" t="s">
        <v>227</v>
      </c>
      <c r="B40" s="65" t="s">
        <v>227</v>
      </c>
      <c r="C40" s="66" t="s">
        <v>2698</v>
      </c>
      <c r="D40" s="67">
        <v>4</v>
      </c>
      <c r="E40" s="68" t="s">
        <v>132</v>
      </c>
      <c r="F40" s="69">
        <v>30</v>
      </c>
      <c r="G40" s="66"/>
      <c r="H40" s="70"/>
      <c r="I40" s="71"/>
      <c r="J40" s="71"/>
      <c r="K40" s="35" t="s">
        <v>65</v>
      </c>
      <c r="L40" s="78">
        <v>40</v>
      </c>
      <c r="M40" s="78"/>
      <c r="N40" s="73"/>
      <c r="O40" s="80" t="s">
        <v>178</v>
      </c>
      <c r="P40" s="82">
        <v>44456.58189814815</v>
      </c>
      <c r="Q40" s="80" t="s">
        <v>390</v>
      </c>
      <c r="R40" s="80"/>
      <c r="S40" s="80"/>
      <c r="T40" s="85" t="s">
        <v>471</v>
      </c>
      <c r="U40" s="83" t="str">
        <f>HYPERLINK("https://pbs.twimg.com/media/E_ff6a6XIAI9oBe.jpg")</f>
        <v>https://pbs.twimg.com/media/E_ff6a6XIAI9oBe.jpg</v>
      </c>
      <c r="V40" s="83" t="str">
        <f>HYPERLINK("https://pbs.twimg.com/media/E_ff6a6XIAI9oBe.jpg")</f>
        <v>https://pbs.twimg.com/media/E_ff6a6XIAI9oBe.jpg</v>
      </c>
      <c r="W40" s="82">
        <v>44456.58189814815</v>
      </c>
      <c r="X40" s="88">
        <v>44456</v>
      </c>
      <c r="Y40" s="85" t="s">
        <v>529</v>
      </c>
      <c r="Z40" s="83" t="str">
        <f>HYPERLINK("https://twitter.com/cokteleria/status/1438864803720830986")</f>
        <v>https://twitter.com/cokteleria/status/1438864803720830986</v>
      </c>
      <c r="AA40" s="80"/>
      <c r="AB40" s="80"/>
      <c r="AC40" s="85" t="s">
        <v>702</v>
      </c>
      <c r="AD40" s="80"/>
      <c r="AE40" s="80" t="b">
        <v>0</v>
      </c>
      <c r="AF40" s="80">
        <v>0</v>
      </c>
      <c r="AG40" s="85" t="s">
        <v>871</v>
      </c>
      <c r="AH40" s="80" t="b">
        <v>0</v>
      </c>
      <c r="AI40" s="80" t="s">
        <v>882</v>
      </c>
      <c r="AJ40" s="80"/>
      <c r="AK40" s="85" t="s">
        <v>871</v>
      </c>
      <c r="AL40" s="80" t="b">
        <v>0</v>
      </c>
      <c r="AM40" s="80">
        <v>1</v>
      </c>
      <c r="AN40" s="85" t="s">
        <v>871</v>
      </c>
      <c r="AO40" s="85" t="s">
        <v>889</v>
      </c>
      <c r="AP40" s="80" t="b">
        <v>0</v>
      </c>
      <c r="AQ40" s="85" t="s">
        <v>702</v>
      </c>
      <c r="AR40" s="80" t="s">
        <v>178</v>
      </c>
      <c r="AS40" s="80">
        <v>0</v>
      </c>
      <c r="AT40" s="80">
        <v>0</v>
      </c>
      <c r="AU40" s="80"/>
      <c r="AV40" s="80"/>
      <c r="AW40" s="80"/>
      <c r="AX40" s="80"/>
      <c r="AY40" s="80"/>
      <c r="AZ40" s="80"/>
      <c r="BA40" s="80"/>
      <c r="BB40" s="80"/>
      <c r="BC40">
        <v>1</v>
      </c>
      <c r="BD40" s="79" t="str">
        <f>REPLACE(INDEX(GroupVertices[Group],MATCH(Edges[[#This Row],[Vertex 1]],GroupVertices[Vertex],0)),1,1,"")</f>
        <v>27</v>
      </c>
      <c r="BE40" s="79" t="str">
        <f>REPLACE(INDEX(GroupVertices[Group],MATCH(Edges[[#This Row],[Vertex 2]],GroupVertices[Vertex],0)),1,1,"")</f>
        <v>27</v>
      </c>
      <c r="BF40" s="49">
        <v>0</v>
      </c>
      <c r="BG40" s="50">
        <v>0</v>
      </c>
      <c r="BH40" s="49">
        <v>0</v>
      </c>
      <c r="BI40" s="50">
        <v>0</v>
      </c>
      <c r="BJ40" s="49">
        <v>0</v>
      </c>
      <c r="BK40" s="50">
        <v>0</v>
      </c>
      <c r="BL40" s="49">
        <v>28</v>
      </c>
      <c r="BM40" s="50">
        <v>100</v>
      </c>
      <c r="BN40" s="49">
        <v>28</v>
      </c>
    </row>
    <row r="41" spans="1:66" ht="15">
      <c r="A41" s="65" t="s">
        <v>228</v>
      </c>
      <c r="B41" s="65" t="s">
        <v>227</v>
      </c>
      <c r="C41" s="66" t="s">
        <v>2698</v>
      </c>
      <c r="D41" s="67">
        <v>4</v>
      </c>
      <c r="E41" s="68" t="s">
        <v>132</v>
      </c>
      <c r="F41" s="69">
        <v>30</v>
      </c>
      <c r="G41" s="66"/>
      <c r="H41" s="70"/>
      <c r="I41" s="71"/>
      <c r="J41" s="71"/>
      <c r="K41" s="35" t="s">
        <v>65</v>
      </c>
      <c r="L41" s="78">
        <v>41</v>
      </c>
      <c r="M41" s="78"/>
      <c r="N41" s="73"/>
      <c r="O41" s="80" t="s">
        <v>383</v>
      </c>
      <c r="P41" s="82">
        <v>44456.59553240741</v>
      </c>
      <c r="Q41" s="80" t="s">
        <v>390</v>
      </c>
      <c r="R41" s="80"/>
      <c r="S41" s="80"/>
      <c r="T41" s="85" t="s">
        <v>471</v>
      </c>
      <c r="U41" s="83" t="str">
        <f>HYPERLINK("https://pbs.twimg.com/media/E_ff6a6XIAI9oBe.jpg")</f>
        <v>https://pbs.twimg.com/media/E_ff6a6XIAI9oBe.jpg</v>
      </c>
      <c r="V41" s="83" t="str">
        <f>HYPERLINK("https://pbs.twimg.com/media/E_ff6a6XIAI9oBe.jpg")</f>
        <v>https://pbs.twimg.com/media/E_ff6a6XIAI9oBe.jpg</v>
      </c>
      <c r="W41" s="82">
        <v>44456.59553240741</v>
      </c>
      <c r="X41" s="88">
        <v>44456</v>
      </c>
      <c r="Y41" s="85" t="s">
        <v>530</v>
      </c>
      <c r="Z41" s="83" t="str">
        <f>HYPERLINK("https://twitter.com/bauzaoficial/status/1438869745651048459")</f>
        <v>https://twitter.com/bauzaoficial/status/1438869745651048459</v>
      </c>
      <c r="AA41" s="80"/>
      <c r="AB41" s="80"/>
      <c r="AC41" s="85" t="s">
        <v>703</v>
      </c>
      <c r="AD41" s="80"/>
      <c r="AE41" s="80" t="b">
        <v>0</v>
      </c>
      <c r="AF41" s="80">
        <v>0</v>
      </c>
      <c r="AG41" s="85" t="s">
        <v>871</v>
      </c>
      <c r="AH41" s="80" t="b">
        <v>0</v>
      </c>
      <c r="AI41" s="80" t="s">
        <v>882</v>
      </c>
      <c r="AJ41" s="80"/>
      <c r="AK41" s="85" t="s">
        <v>871</v>
      </c>
      <c r="AL41" s="80" t="b">
        <v>0</v>
      </c>
      <c r="AM41" s="80">
        <v>1</v>
      </c>
      <c r="AN41" s="85" t="s">
        <v>702</v>
      </c>
      <c r="AO41" s="85" t="s">
        <v>889</v>
      </c>
      <c r="AP41" s="80" t="b">
        <v>0</v>
      </c>
      <c r="AQ41" s="85" t="s">
        <v>702</v>
      </c>
      <c r="AR41" s="80" t="s">
        <v>178</v>
      </c>
      <c r="AS41" s="80">
        <v>0</v>
      </c>
      <c r="AT41" s="80">
        <v>0</v>
      </c>
      <c r="AU41" s="80"/>
      <c r="AV41" s="80"/>
      <c r="AW41" s="80"/>
      <c r="AX41" s="80"/>
      <c r="AY41" s="80"/>
      <c r="AZ41" s="80"/>
      <c r="BA41" s="80"/>
      <c r="BB41" s="80"/>
      <c r="BC41">
        <v>1</v>
      </c>
      <c r="BD41" s="79" t="str">
        <f>REPLACE(INDEX(GroupVertices[Group],MATCH(Edges[[#This Row],[Vertex 1]],GroupVertices[Vertex],0)),1,1,"")</f>
        <v>27</v>
      </c>
      <c r="BE41" s="79" t="str">
        <f>REPLACE(INDEX(GroupVertices[Group],MATCH(Edges[[#This Row],[Vertex 2]],GroupVertices[Vertex],0)),1,1,"")</f>
        <v>27</v>
      </c>
      <c r="BF41" s="49">
        <v>0</v>
      </c>
      <c r="BG41" s="50">
        <v>0</v>
      </c>
      <c r="BH41" s="49">
        <v>0</v>
      </c>
      <c r="BI41" s="50">
        <v>0</v>
      </c>
      <c r="BJ41" s="49">
        <v>0</v>
      </c>
      <c r="BK41" s="50">
        <v>0</v>
      </c>
      <c r="BL41" s="49">
        <v>28</v>
      </c>
      <c r="BM41" s="50">
        <v>100</v>
      </c>
      <c r="BN41" s="49">
        <v>28</v>
      </c>
    </row>
    <row r="42" spans="1:66" ht="15">
      <c r="A42" s="65" t="s">
        <v>229</v>
      </c>
      <c r="B42" s="65" t="s">
        <v>229</v>
      </c>
      <c r="C42" s="66" t="s">
        <v>2698</v>
      </c>
      <c r="D42" s="67">
        <v>4</v>
      </c>
      <c r="E42" s="68" t="s">
        <v>132</v>
      </c>
      <c r="F42" s="69">
        <v>30</v>
      </c>
      <c r="G42" s="66"/>
      <c r="H42" s="70"/>
      <c r="I42" s="71"/>
      <c r="J42" s="71"/>
      <c r="K42" s="35" t="s">
        <v>65</v>
      </c>
      <c r="L42" s="78">
        <v>42</v>
      </c>
      <c r="M42" s="78"/>
      <c r="N42" s="73"/>
      <c r="O42" s="80" t="s">
        <v>178</v>
      </c>
      <c r="P42" s="82">
        <v>44456.63119212963</v>
      </c>
      <c r="Q42" s="80" t="s">
        <v>391</v>
      </c>
      <c r="R42" s="80"/>
      <c r="S42" s="80"/>
      <c r="T42" s="85" t="s">
        <v>472</v>
      </c>
      <c r="U42" s="83" t="str">
        <f>HYPERLINK("https://pbs.twimg.com/ext_tw_video_thumb/1438882543554777089/pu/img/ZHV8mtiM5xf5qrBa.jpg")</f>
        <v>https://pbs.twimg.com/ext_tw_video_thumb/1438882543554777089/pu/img/ZHV8mtiM5xf5qrBa.jpg</v>
      </c>
      <c r="V42" s="83" t="str">
        <f>HYPERLINK("https://pbs.twimg.com/ext_tw_video_thumb/1438882543554777089/pu/img/ZHV8mtiM5xf5qrBa.jpg")</f>
        <v>https://pbs.twimg.com/ext_tw_video_thumb/1438882543554777089/pu/img/ZHV8mtiM5xf5qrBa.jpg</v>
      </c>
      <c r="W42" s="82">
        <v>44456.63119212963</v>
      </c>
      <c r="X42" s="88">
        <v>44456</v>
      </c>
      <c r="Y42" s="85" t="s">
        <v>531</v>
      </c>
      <c r="Z42" s="83" t="str">
        <f>HYPERLINK("https://twitter.com/obritob/status/1438882664564633602")</f>
        <v>https://twitter.com/obritob/status/1438882664564633602</v>
      </c>
      <c r="AA42" s="80"/>
      <c r="AB42" s="80"/>
      <c r="AC42" s="85" t="s">
        <v>704</v>
      </c>
      <c r="AD42" s="80"/>
      <c r="AE42" s="80" t="b">
        <v>0</v>
      </c>
      <c r="AF42" s="80">
        <v>0</v>
      </c>
      <c r="AG42" s="85" t="s">
        <v>871</v>
      </c>
      <c r="AH42" s="80" t="b">
        <v>0</v>
      </c>
      <c r="AI42" s="80" t="s">
        <v>882</v>
      </c>
      <c r="AJ42" s="80"/>
      <c r="AK42" s="85" t="s">
        <v>871</v>
      </c>
      <c r="AL42" s="80" t="b">
        <v>0</v>
      </c>
      <c r="AM42" s="80">
        <v>0</v>
      </c>
      <c r="AN42" s="85" t="s">
        <v>871</v>
      </c>
      <c r="AO42" s="85" t="s">
        <v>889</v>
      </c>
      <c r="AP42" s="80" t="b">
        <v>0</v>
      </c>
      <c r="AQ42" s="85" t="s">
        <v>704</v>
      </c>
      <c r="AR42" s="80" t="s">
        <v>178</v>
      </c>
      <c r="AS42" s="80">
        <v>0</v>
      </c>
      <c r="AT42" s="80">
        <v>0</v>
      </c>
      <c r="AU42" s="80"/>
      <c r="AV42" s="80"/>
      <c r="AW42" s="80"/>
      <c r="AX42" s="80"/>
      <c r="AY42" s="80"/>
      <c r="AZ42" s="80"/>
      <c r="BA42" s="80"/>
      <c r="BB42" s="80"/>
      <c r="BC42">
        <v>1</v>
      </c>
      <c r="BD42" s="79" t="str">
        <f>REPLACE(INDEX(GroupVertices[Group],MATCH(Edges[[#This Row],[Vertex 1]],GroupVertices[Vertex],0)),1,1,"")</f>
        <v>4</v>
      </c>
      <c r="BE42" s="79" t="str">
        <f>REPLACE(INDEX(GroupVertices[Group],MATCH(Edges[[#This Row],[Vertex 2]],GroupVertices[Vertex],0)),1,1,"")</f>
        <v>4</v>
      </c>
      <c r="BF42" s="49">
        <v>0</v>
      </c>
      <c r="BG42" s="50">
        <v>0</v>
      </c>
      <c r="BH42" s="49">
        <v>0</v>
      </c>
      <c r="BI42" s="50">
        <v>0</v>
      </c>
      <c r="BJ42" s="49">
        <v>0</v>
      </c>
      <c r="BK42" s="50">
        <v>0</v>
      </c>
      <c r="BL42" s="49">
        <v>36</v>
      </c>
      <c r="BM42" s="50">
        <v>100</v>
      </c>
      <c r="BN42" s="49">
        <v>36</v>
      </c>
    </row>
    <row r="43" spans="1:66" ht="15">
      <c r="A43" s="65" t="s">
        <v>230</v>
      </c>
      <c r="B43" s="65" t="s">
        <v>254</v>
      </c>
      <c r="C43" s="66" t="s">
        <v>2698</v>
      </c>
      <c r="D43" s="67">
        <v>4</v>
      </c>
      <c r="E43" s="68" t="s">
        <v>132</v>
      </c>
      <c r="F43" s="69">
        <v>30</v>
      </c>
      <c r="G43" s="66"/>
      <c r="H43" s="70"/>
      <c r="I43" s="71"/>
      <c r="J43" s="71"/>
      <c r="K43" s="35" t="s">
        <v>65</v>
      </c>
      <c r="L43" s="78">
        <v>43</v>
      </c>
      <c r="M43" s="78"/>
      <c r="N43" s="73"/>
      <c r="O43" s="80" t="s">
        <v>383</v>
      </c>
      <c r="P43" s="82">
        <v>44456.64003472222</v>
      </c>
      <c r="Q43" s="80" t="s">
        <v>392</v>
      </c>
      <c r="R43" s="83" t="str">
        <f>HYPERLINK("https://www.mexnewz.mx/detectan-covid-en-20-de-pruebas-realizadas-a-migrantes/")</f>
        <v>https://www.mexnewz.mx/detectan-covid-en-20-de-pruebas-realizadas-a-migrantes/</v>
      </c>
      <c r="S43" s="80" t="s">
        <v>452</v>
      </c>
      <c r="T43" s="85" t="s">
        <v>473</v>
      </c>
      <c r="U43" s="83" t="str">
        <f>HYPERLINK("https://pbs.twimg.com/media/E_fumieXsAIlIMT.jpg")</f>
        <v>https://pbs.twimg.com/media/E_fumieXsAIlIMT.jpg</v>
      </c>
      <c r="V43" s="83" t="str">
        <f>HYPERLINK("https://pbs.twimg.com/media/E_fumieXsAIlIMT.jpg")</f>
        <v>https://pbs.twimg.com/media/E_fumieXsAIlIMT.jpg</v>
      </c>
      <c r="W43" s="82">
        <v>44456.64003472222</v>
      </c>
      <c r="X43" s="88">
        <v>44456</v>
      </c>
      <c r="Y43" s="85" t="s">
        <v>532</v>
      </c>
      <c r="Z43" s="83" t="str">
        <f>HYPERLINK("https://twitter.com/mexnewztam/status/1438885869801418753")</f>
        <v>https://twitter.com/mexnewztam/status/1438885869801418753</v>
      </c>
      <c r="AA43" s="80"/>
      <c r="AB43" s="80"/>
      <c r="AC43" s="85" t="s">
        <v>705</v>
      </c>
      <c r="AD43" s="80"/>
      <c r="AE43" s="80" t="b">
        <v>0</v>
      </c>
      <c r="AF43" s="80">
        <v>0</v>
      </c>
      <c r="AG43" s="85" t="s">
        <v>871</v>
      </c>
      <c r="AH43" s="80" t="b">
        <v>0</v>
      </c>
      <c r="AI43" s="80" t="s">
        <v>882</v>
      </c>
      <c r="AJ43" s="80"/>
      <c r="AK43" s="85" t="s">
        <v>871</v>
      </c>
      <c r="AL43" s="80" t="b">
        <v>0</v>
      </c>
      <c r="AM43" s="80">
        <v>1</v>
      </c>
      <c r="AN43" s="85" t="s">
        <v>736</v>
      </c>
      <c r="AO43" s="85" t="s">
        <v>889</v>
      </c>
      <c r="AP43" s="80" t="b">
        <v>0</v>
      </c>
      <c r="AQ43" s="85" t="s">
        <v>736</v>
      </c>
      <c r="AR43" s="80" t="s">
        <v>178</v>
      </c>
      <c r="AS43" s="80">
        <v>0</v>
      </c>
      <c r="AT43" s="80">
        <v>0</v>
      </c>
      <c r="AU43" s="80"/>
      <c r="AV43" s="80"/>
      <c r="AW43" s="80"/>
      <c r="AX43" s="80"/>
      <c r="AY43" s="80"/>
      <c r="AZ43" s="80"/>
      <c r="BA43" s="80"/>
      <c r="BB43" s="80"/>
      <c r="BC43">
        <v>1</v>
      </c>
      <c r="BD43" s="79" t="str">
        <f>REPLACE(INDEX(GroupVertices[Group],MATCH(Edges[[#This Row],[Vertex 1]],GroupVertices[Vertex],0)),1,1,"")</f>
        <v>26</v>
      </c>
      <c r="BE43" s="79" t="str">
        <f>REPLACE(INDEX(GroupVertices[Group],MATCH(Edges[[#This Row],[Vertex 2]],GroupVertices[Vertex],0)),1,1,"")</f>
        <v>26</v>
      </c>
      <c r="BF43" s="49">
        <v>0</v>
      </c>
      <c r="BG43" s="50">
        <v>0</v>
      </c>
      <c r="BH43" s="49">
        <v>0</v>
      </c>
      <c r="BI43" s="50">
        <v>0</v>
      </c>
      <c r="BJ43" s="49">
        <v>0</v>
      </c>
      <c r="BK43" s="50">
        <v>0</v>
      </c>
      <c r="BL43" s="49">
        <v>15</v>
      </c>
      <c r="BM43" s="50">
        <v>100</v>
      </c>
      <c r="BN43" s="49">
        <v>15</v>
      </c>
    </row>
    <row r="44" spans="1:66" ht="15">
      <c r="A44" s="65" t="s">
        <v>231</v>
      </c>
      <c r="B44" s="65" t="s">
        <v>269</v>
      </c>
      <c r="C44" s="66" t="s">
        <v>2698</v>
      </c>
      <c r="D44" s="67">
        <v>4</v>
      </c>
      <c r="E44" s="68" t="s">
        <v>132</v>
      </c>
      <c r="F44" s="69">
        <v>30</v>
      </c>
      <c r="G44" s="66"/>
      <c r="H44" s="70"/>
      <c r="I44" s="71"/>
      <c r="J44" s="71"/>
      <c r="K44" s="35" t="s">
        <v>65</v>
      </c>
      <c r="L44" s="78">
        <v>44</v>
      </c>
      <c r="M44" s="78"/>
      <c r="N44" s="73"/>
      <c r="O44" s="80" t="s">
        <v>383</v>
      </c>
      <c r="P44" s="82">
        <v>44456.90634259259</v>
      </c>
      <c r="Q44" s="80" t="s">
        <v>393</v>
      </c>
      <c r="R44" s="83" t="str">
        <f>HYPERLINK("https://movimientomigrantemesoamericano.org/2021/09/16/se-desborda-flujo-migratorio/")</f>
        <v>https://movimientomigrantemesoamericano.org/2021/09/16/se-desborda-flujo-migratorio/</v>
      </c>
      <c r="S44" s="80" t="s">
        <v>453</v>
      </c>
      <c r="T44" s="85" t="s">
        <v>474</v>
      </c>
      <c r="U44" s="80"/>
      <c r="V44" s="83" t="str">
        <f>HYPERLINK("https://pbs.twimg.com/profile_images/1136895681518546945/8aJcYgog_normal.jpg")</f>
        <v>https://pbs.twimg.com/profile_images/1136895681518546945/8aJcYgog_normal.jpg</v>
      </c>
      <c r="W44" s="82">
        <v>44456.90634259259</v>
      </c>
      <c r="X44" s="88">
        <v>44456</v>
      </c>
      <c r="Y44" s="85" t="s">
        <v>533</v>
      </c>
      <c r="Z44" s="83" t="str">
        <f>HYPERLINK("https://twitter.com/albypiero/status/1438982377213153283")</f>
        <v>https://twitter.com/albypiero/status/1438982377213153283</v>
      </c>
      <c r="AA44" s="80"/>
      <c r="AB44" s="80"/>
      <c r="AC44" s="85" t="s">
        <v>706</v>
      </c>
      <c r="AD44" s="80"/>
      <c r="AE44" s="80" t="b">
        <v>0</v>
      </c>
      <c r="AF44" s="80">
        <v>0</v>
      </c>
      <c r="AG44" s="85" t="s">
        <v>871</v>
      </c>
      <c r="AH44" s="80" t="b">
        <v>0</v>
      </c>
      <c r="AI44" s="80" t="s">
        <v>883</v>
      </c>
      <c r="AJ44" s="80"/>
      <c r="AK44" s="85" t="s">
        <v>871</v>
      </c>
      <c r="AL44" s="80" t="b">
        <v>0</v>
      </c>
      <c r="AM44" s="80">
        <v>2</v>
      </c>
      <c r="AN44" s="85" t="s">
        <v>794</v>
      </c>
      <c r="AO44" s="85" t="s">
        <v>889</v>
      </c>
      <c r="AP44" s="80" t="b">
        <v>0</v>
      </c>
      <c r="AQ44" s="85" t="s">
        <v>794</v>
      </c>
      <c r="AR44" s="80" t="s">
        <v>178</v>
      </c>
      <c r="AS44" s="80">
        <v>0</v>
      </c>
      <c r="AT44" s="80">
        <v>0</v>
      </c>
      <c r="AU44" s="80"/>
      <c r="AV44" s="80"/>
      <c r="AW44" s="80"/>
      <c r="AX44" s="80"/>
      <c r="AY44" s="80"/>
      <c r="AZ44" s="80"/>
      <c r="BA44" s="80"/>
      <c r="BB44" s="80"/>
      <c r="BC44">
        <v>1</v>
      </c>
      <c r="BD44" s="79" t="str">
        <f>REPLACE(INDEX(GroupVertices[Group],MATCH(Edges[[#This Row],[Vertex 1]],GroupVertices[Vertex],0)),1,1,"")</f>
        <v>3</v>
      </c>
      <c r="BE44" s="79" t="str">
        <f>REPLACE(INDEX(GroupVertices[Group],MATCH(Edges[[#This Row],[Vertex 2]],GroupVertices[Vertex],0)),1,1,"")</f>
        <v>3</v>
      </c>
      <c r="BF44" s="49">
        <v>0</v>
      </c>
      <c r="BG44" s="50">
        <v>0</v>
      </c>
      <c r="BH44" s="49">
        <v>0</v>
      </c>
      <c r="BI44" s="50">
        <v>0</v>
      </c>
      <c r="BJ44" s="49">
        <v>0</v>
      </c>
      <c r="BK44" s="50">
        <v>0</v>
      </c>
      <c r="BL44" s="49">
        <v>29</v>
      </c>
      <c r="BM44" s="50">
        <v>100</v>
      </c>
      <c r="BN44" s="49">
        <v>29</v>
      </c>
    </row>
    <row r="45" spans="1:66" ht="15">
      <c r="A45" s="65" t="s">
        <v>232</v>
      </c>
      <c r="B45" s="65" t="s">
        <v>232</v>
      </c>
      <c r="C45" s="66" t="s">
        <v>2698</v>
      </c>
      <c r="D45" s="67">
        <v>4</v>
      </c>
      <c r="E45" s="68" t="s">
        <v>132</v>
      </c>
      <c r="F45" s="69">
        <v>30</v>
      </c>
      <c r="G45" s="66"/>
      <c r="H45" s="70"/>
      <c r="I45" s="71"/>
      <c r="J45" s="71"/>
      <c r="K45" s="35" t="s">
        <v>65</v>
      </c>
      <c r="L45" s="78">
        <v>45</v>
      </c>
      <c r="M45" s="78"/>
      <c r="N45" s="73"/>
      <c r="O45" s="80" t="s">
        <v>178</v>
      </c>
      <c r="P45" s="82">
        <v>44456.91049768519</v>
      </c>
      <c r="Q45" s="80" t="s">
        <v>394</v>
      </c>
      <c r="R45" s="83" t="str">
        <f>HYPERLINK("https://www.mexnewz.mx/detectan-covid-en-20-de-pruebas-realizadas-a-migrantes/")</f>
        <v>https://www.mexnewz.mx/detectan-covid-en-20-de-pruebas-realizadas-a-migrantes/</v>
      </c>
      <c r="S45" s="80" t="s">
        <v>452</v>
      </c>
      <c r="T45" s="85" t="s">
        <v>473</v>
      </c>
      <c r="U45" s="83" t="str">
        <f>HYPERLINK("https://pbs.twimg.com/media/E_fumieXsAIlIMT.jpg")</f>
        <v>https://pbs.twimg.com/media/E_fumieXsAIlIMT.jpg</v>
      </c>
      <c r="V45" s="83" t="str">
        <f>HYPERLINK("https://pbs.twimg.com/media/E_fumieXsAIlIMT.jpg")</f>
        <v>https://pbs.twimg.com/media/E_fumieXsAIlIMT.jpg</v>
      </c>
      <c r="W45" s="82">
        <v>44456.91049768519</v>
      </c>
      <c r="X45" s="88">
        <v>44456</v>
      </c>
      <c r="Y45" s="85" t="s">
        <v>534</v>
      </c>
      <c r="Z45" s="83" t="str">
        <f>HYPERLINK("https://twitter.com/actingcbp/status/1438983884474142723")</f>
        <v>https://twitter.com/actingcbp/status/1438983884474142723</v>
      </c>
      <c r="AA45" s="80"/>
      <c r="AB45" s="80"/>
      <c r="AC45" s="85" t="s">
        <v>707</v>
      </c>
      <c r="AD45" s="80"/>
      <c r="AE45" s="80" t="b">
        <v>0</v>
      </c>
      <c r="AF45" s="80">
        <v>0</v>
      </c>
      <c r="AG45" s="85" t="s">
        <v>871</v>
      </c>
      <c r="AH45" s="80" t="b">
        <v>0</v>
      </c>
      <c r="AI45" s="80" t="s">
        <v>882</v>
      </c>
      <c r="AJ45" s="80"/>
      <c r="AK45" s="85" t="s">
        <v>871</v>
      </c>
      <c r="AL45" s="80" t="b">
        <v>0</v>
      </c>
      <c r="AM45" s="80">
        <v>0</v>
      </c>
      <c r="AN45" s="85" t="s">
        <v>871</v>
      </c>
      <c r="AO45" s="85" t="s">
        <v>889</v>
      </c>
      <c r="AP45" s="80" t="b">
        <v>0</v>
      </c>
      <c r="AQ45" s="85" t="s">
        <v>707</v>
      </c>
      <c r="AR45" s="80" t="s">
        <v>178</v>
      </c>
      <c r="AS45" s="80">
        <v>0</v>
      </c>
      <c r="AT45" s="80">
        <v>0</v>
      </c>
      <c r="AU45" s="80"/>
      <c r="AV45" s="80"/>
      <c r="AW45" s="80"/>
      <c r="AX45" s="80"/>
      <c r="AY45" s="80"/>
      <c r="AZ45" s="80"/>
      <c r="BA45" s="80"/>
      <c r="BB45" s="80"/>
      <c r="BC45">
        <v>1</v>
      </c>
      <c r="BD45" s="79" t="str">
        <f>REPLACE(INDEX(GroupVertices[Group],MATCH(Edges[[#This Row],[Vertex 1]],GroupVertices[Vertex],0)),1,1,"")</f>
        <v>4</v>
      </c>
      <c r="BE45" s="79" t="str">
        <f>REPLACE(INDEX(GroupVertices[Group],MATCH(Edges[[#This Row],[Vertex 2]],GroupVertices[Vertex],0)),1,1,"")</f>
        <v>4</v>
      </c>
      <c r="BF45" s="49">
        <v>0</v>
      </c>
      <c r="BG45" s="50">
        <v>0</v>
      </c>
      <c r="BH45" s="49">
        <v>0</v>
      </c>
      <c r="BI45" s="50">
        <v>0</v>
      </c>
      <c r="BJ45" s="49">
        <v>0</v>
      </c>
      <c r="BK45" s="50">
        <v>0</v>
      </c>
      <c r="BL45" s="49">
        <v>15</v>
      </c>
      <c r="BM45" s="50">
        <v>100</v>
      </c>
      <c r="BN45" s="49">
        <v>15</v>
      </c>
    </row>
    <row r="46" spans="1:66" ht="15">
      <c r="A46" s="65" t="s">
        <v>233</v>
      </c>
      <c r="B46" s="65" t="s">
        <v>233</v>
      </c>
      <c r="C46" s="66" t="s">
        <v>2698</v>
      </c>
      <c r="D46" s="67">
        <v>4</v>
      </c>
      <c r="E46" s="68" t="s">
        <v>132</v>
      </c>
      <c r="F46" s="69">
        <v>30</v>
      </c>
      <c r="G46" s="66"/>
      <c r="H46" s="70"/>
      <c r="I46" s="71"/>
      <c r="J46" s="71"/>
      <c r="K46" s="35" t="s">
        <v>65</v>
      </c>
      <c r="L46" s="78">
        <v>46</v>
      </c>
      <c r="M46" s="78"/>
      <c r="N46" s="73"/>
      <c r="O46" s="80" t="s">
        <v>178</v>
      </c>
      <c r="P46" s="82">
        <v>44456.91737268519</v>
      </c>
      <c r="Q46" s="80" t="s">
        <v>395</v>
      </c>
      <c r="R46" s="83" t="str">
        <f>HYPERLINK("http://www.infomediamx.com/65774/")</f>
        <v>http://www.infomediamx.com/65774/</v>
      </c>
      <c r="S46" s="80" t="s">
        <v>454</v>
      </c>
      <c r="T46" s="85" t="s">
        <v>475</v>
      </c>
      <c r="U46" s="83" t="str">
        <f>HYPERLINK("https://pbs.twimg.com/media/E_hOe6QXsAgEBPR.jpg")</f>
        <v>https://pbs.twimg.com/media/E_hOe6QXsAgEBPR.jpg</v>
      </c>
      <c r="V46" s="83" t="str">
        <f>HYPERLINK("https://pbs.twimg.com/media/E_hOe6QXsAgEBPR.jpg")</f>
        <v>https://pbs.twimg.com/media/E_hOe6QXsAgEBPR.jpg</v>
      </c>
      <c r="W46" s="82">
        <v>44456.91737268519</v>
      </c>
      <c r="X46" s="88">
        <v>44456</v>
      </c>
      <c r="Y46" s="85" t="s">
        <v>535</v>
      </c>
      <c r="Z46" s="83" t="str">
        <f>HYPERLINK("https://twitter.com/infomediamx4/status/1438986376070975489")</f>
        <v>https://twitter.com/infomediamx4/status/1438986376070975489</v>
      </c>
      <c r="AA46" s="80"/>
      <c r="AB46" s="80"/>
      <c r="AC46" s="85" t="s">
        <v>708</v>
      </c>
      <c r="AD46" s="80"/>
      <c r="AE46" s="80" t="b">
        <v>0</v>
      </c>
      <c r="AF46" s="80">
        <v>0</v>
      </c>
      <c r="AG46" s="85" t="s">
        <v>871</v>
      </c>
      <c r="AH46" s="80" t="b">
        <v>0</v>
      </c>
      <c r="AI46" s="80" t="s">
        <v>882</v>
      </c>
      <c r="AJ46" s="80"/>
      <c r="AK46" s="85" t="s">
        <v>871</v>
      </c>
      <c r="AL46" s="80" t="b">
        <v>0</v>
      </c>
      <c r="AM46" s="80">
        <v>0</v>
      </c>
      <c r="AN46" s="85" t="s">
        <v>871</v>
      </c>
      <c r="AO46" s="85" t="s">
        <v>892</v>
      </c>
      <c r="AP46" s="80" t="b">
        <v>0</v>
      </c>
      <c r="AQ46" s="85" t="s">
        <v>708</v>
      </c>
      <c r="AR46" s="80" t="s">
        <v>178</v>
      </c>
      <c r="AS46" s="80">
        <v>0</v>
      </c>
      <c r="AT46" s="80">
        <v>0</v>
      </c>
      <c r="AU46" s="80"/>
      <c r="AV46" s="80"/>
      <c r="AW46" s="80"/>
      <c r="AX46" s="80"/>
      <c r="AY46" s="80"/>
      <c r="AZ46" s="80"/>
      <c r="BA46" s="80"/>
      <c r="BB46" s="80"/>
      <c r="BC46">
        <v>1</v>
      </c>
      <c r="BD46" s="79" t="str">
        <f>REPLACE(INDEX(GroupVertices[Group],MATCH(Edges[[#This Row],[Vertex 1]],GroupVertices[Vertex],0)),1,1,"")</f>
        <v>4</v>
      </c>
      <c r="BE46" s="79" t="str">
        <f>REPLACE(INDEX(GroupVertices[Group],MATCH(Edges[[#This Row],[Vertex 2]],GroupVertices[Vertex],0)),1,1,"")</f>
        <v>4</v>
      </c>
      <c r="BF46" s="49">
        <v>0</v>
      </c>
      <c r="BG46" s="50">
        <v>0</v>
      </c>
      <c r="BH46" s="49">
        <v>0</v>
      </c>
      <c r="BI46" s="50">
        <v>0</v>
      </c>
      <c r="BJ46" s="49">
        <v>0</v>
      </c>
      <c r="BK46" s="50">
        <v>0</v>
      </c>
      <c r="BL46" s="49">
        <v>13</v>
      </c>
      <c r="BM46" s="50">
        <v>100</v>
      </c>
      <c r="BN46" s="49">
        <v>13</v>
      </c>
    </row>
    <row r="47" spans="1:66" ht="15">
      <c r="A47" s="65" t="s">
        <v>234</v>
      </c>
      <c r="B47" s="65" t="s">
        <v>238</v>
      </c>
      <c r="C47" s="66" t="s">
        <v>2698</v>
      </c>
      <c r="D47" s="67">
        <v>4</v>
      </c>
      <c r="E47" s="68" t="s">
        <v>132</v>
      </c>
      <c r="F47" s="69">
        <v>30</v>
      </c>
      <c r="G47" s="66"/>
      <c r="H47" s="70"/>
      <c r="I47" s="71"/>
      <c r="J47" s="71"/>
      <c r="K47" s="35" t="s">
        <v>65</v>
      </c>
      <c r="L47" s="78">
        <v>47</v>
      </c>
      <c r="M47" s="78"/>
      <c r="N47" s="73"/>
      <c r="O47" s="80" t="s">
        <v>383</v>
      </c>
      <c r="P47" s="82">
        <v>44456.98096064815</v>
      </c>
      <c r="Q47" s="80" t="s">
        <v>396</v>
      </c>
      <c r="R47" s="80"/>
      <c r="S47" s="80"/>
      <c r="T47" s="85" t="s">
        <v>476</v>
      </c>
      <c r="U47" s="83" t="str">
        <f>HYPERLINK("https://pbs.twimg.com/media/E_hf8JkUcAEu7lU.jpg")</f>
        <v>https://pbs.twimg.com/media/E_hf8JkUcAEu7lU.jpg</v>
      </c>
      <c r="V47" s="83" t="str">
        <f>HYPERLINK("https://pbs.twimg.com/media/E_hf8JkUcAEu7lU.jpg")</f>
        <v>https://pbs.twimg.com/media/E_hf8JkUcAEu7lU.jpg</v>
      </c>
      <c r="W47" s="82">
        <v>44456.98096064815</v>
      </c>
      <c r="X47" s="88">
        <v>44456</v>
      </c>
      <c r="Y47" s="85" t="s">
        <v>536</v>
      </c>
      <c r="Z47" s="83" t="str">
        <f>HYPERLINK("https://twitter.com/cesar_alonso__/status/1439009417240920066")</f>
        <v>https://twitter.com/cesar_alonso__/status/1439009417240920066</v>
      </c>
      <c r="AA47" s="80"/>
      <c r="AB47" s="80"/>
      <c r="AC47" s="85" t="s">
        <v>709</v>
      </c>
      <c r="AD47" s="80"/>
      <c r="AE47" s="80" t="b">
        <v>0</v>
      </c>
      <c r="AF47" s="80">
        <v>0</v>
      </c>
      <c r="AG47" s="85" t="s">
        <v>871</v>
      </c>
      <c r="AH47" s="80" t="b">
        <v>0</v>
      </c>
      <c r="AI47" s="80" t="s">
        <v>882</v>
      </c>
      <c r="AJ47" s="80"/>
      <c r="AK47" s="85" t="s">
        <v>871</v>
      </c>
      <c r="AL47" s="80" t="b">
        <v>0</v>
      </c>
      <c r="AM47" s="80">
        <v>5</v>
      </c>
      <c r="AN47" s="85" t="s">
        <v>713</v>
      </c>
      <c r="AO47" s="85" t="s">
        <v>889</v>
      </c>
      <c r="AP47" s="80" t="b">
        <v>0</v>
      </c>
      <c r="AQ47" s="85" t="s">
        <v>713</v>
      </c>
      <c r="AR47" s="80" t="s">
        <v>178</v>
      </c>
      <c r="AS47" s="80">
        <v>0</v>
      </c>
      <c r="AT47" s="80">
        <v>0</v>
      </c>
      <c r="AU47" s="80"/>
      <c r="AV47" s="80"/>
      <c r="AW47" s="80"/>
      <c r="AX47" s="80"/>
      <c r="AY47" s="80"/>
      <c r="AZ47" s="80"/>
      <c r="BA47" s="80"/>
      <c r="BB47" s="80"/>
      <c r="BC47">
        <v>1</v>
      </c>
      <c r="BD47" s="79" t="str">
        <f>REPLACE(INDEX(GroupVertices[Group],MATCH(Edges[[#This Row],[Vertex 1]],GroupVertices[Vertex],0)),1,1,"")</f>
        <v>10</v>
      </c>
      <c r="BE47" s="79" t="str">
        <f>REPLACE(INDEX(GroupVertices[Group],MATCH(Edges[[#This Row],[Vertex 2]],GroupVertices[Vertex],0)),1,1,"")</f>
        <v>10</v>
      </c>
      <c r="BF47" s="49">
        <v>0</v>
      </c>
      <c r="BG47" s="50">
        <v>0</v>
      </c>
      <c r="BH47" s="49">
        <v>0</v>
      </c>
      <c r="BI47" s="50">
        <v>0</v>
      </c>
      <c r="BJ47" s="49">
        <v>0</v>
      </c>
      <c r="BK47" s="50">
        <v>0</v>
      </c>
      <c r="BL47" s="49">
        <v>44</v>
      </c>
      <c r="BM47" s="50">
        <v>100</v>
      </c>
      <c r="BN47" s="49">
        <v>44</v>
      </c>
    </row>
    <row r="48" spans="1:66" ht="15">
      <c r="A48" s="65" t="s">
        <v>235</v>
      </c>
      <c r="B48" s="65" t="s">
        <v>238</v>
      </c>
      <c r="C48" s="66" t="s">
        <v>2698</v>
      </c>
      <c r="D48" s="67">
        <v>4</v>
      </c>
      <c r="E48" s="68" t="s">
        <v>132</v>
      </c>
      <c r="F48" s="69">
        <v>30</v>
      </c>
      <c r="G48" s="66"/>
      <c r="H48" s="70"/>
      <c r="I48" s="71"/>
      <c r="J48" s="71"/>
      <c r="K48" s="35" t="s">
        <v>65</v>
      </c>
      <c r="L48" s="78">
        <v>48</v>
      </c>
      <c r="M48" s="78"/>
      <c r="N48" s="73"/>
      <c r="O48" s="80" t="s">
        <v>383</v>
      </c>
      <c r="P48" s="82">
        <v>44456.98265046296</v>
      </c>
      <c r="Q48" s="80" t="s">
        <v>396</v>
      </c>
      <c r="R48" s="80"/>
      <c r="S48" s="80"/>
      <c r="T48" s="85" t="s">
        <v>476</v>
      </c>
      <c r="U48" s="83" t="str">
        <f>HYPERLINK("https://pbs.twimg.com/media/E_hf8JkUcAEu7lU.jpg")</f>
        <v>https://pbs.twimg.com/media/E_hf8JkUcAEu7lU.jpg</v>
      </c>
      <c r="V48" s="83" t="str">
        <f>HYPERLINK("https://pbs.twimg.com/media/E_hf8JkUcAEu7lU.jpg")</f>
        <v>https://pbs.twimg.com/media/E_hf8JkUcAEu7lU.jpg</v>
      </c>
      <c r="W48" s="82">
        <v>44456.98265046296</v>
      </c>
      <c r="X48" s="88">
        <v>44456</v>
      </c>
      <c r="Y48" s="85" t="s">
        <v>537</v>
      </c>
      <c r="Z48" s="83" t="str">
        <f>HYPERLINK("https://twitter.com/agendamigrante/status/1439010030880059392")</f>
        <v>https://twitter.com/agendamigrante/status/1439010030880059392</v>
      </c>
      <c r="AA48" s="80"/>
      <c r="AB48" s="80"/>
      <c r="AC48" s="85" t="s">
        <v>710</v>
      </c>
      <c r="AD48" s="80"/>
      <c r="AE48" s="80" t="b">
        <v>0</v>
      </c>
      <c r="AF48" s="80">
        <v>0</v>
      </c>
      <c r="AG48" s="85" t="s">
        <v>871</v>
      </c>
      <c r="AH48" s="80" t="b">
        <v>0</v>
      </c>
      <c r="AI48" s="80" t="s">
        <v>882</v>
      </c>
      <c r="AJ48" s="80"/>
      <c r="AK48" s="85" t="s">
        <v>871</v>
      </c>
      <c r="AL48" s="80" t="b">
        <v>0</v>
      </c>
      <c r="AM48" s="80">
        <v>5</v>
      </c>
      <c r="AN48" s="85" t="s">
        <v>713</v>
      </c>
      <c r="AO48" s="85" t="s">
        <v>889</v>
      </c>
      <c r="AP48" s="80" t="b">
        <v>0</v>
      </c>
      <c r="AQ48" s="85" t="s">
        <v>713</v>
      </c>
      <c r="AR48" s="80" t="s">
        <v>178</v>
      </c>
      <c r="AS48" s="80">
        <v>0</v>
      </c>
      <c r="AT48" s="80">
        <v>0</v>
      </c>
      <c r="AU48" s="80"/>
      <c r="AV48" s="80"/>
      <c r="AW48" s="80"/>
      <c r="AX48" s="80"/>
      <c r="AY48" s="80"/>
      <c r="AZ48" s="80"/>
      <c r="BA48" s="80"/>
      <c r="BB48" s="80"/>
      <c r="BC48">
        <v>1</v>
      </c>
      <c r="BD48" s="79" t="str">
        <f>REPLACE(INDEX(GroupVertices[Group],MATCH(Edges[[#This Row],[Vertex 1]],GroupVertices[Vertex],0)),1,1,"")</f>
        <v>10</v>
      </c>
      <c r="BE48" s="79" t="str">
        <f>REPLACE(INDEX(GroupVertices[Group],MATCH(Edges[[#This Row],[Vertex 2]],GroupVertices[Vertex],0)),1,1,"")</f>
        <v>10</v>
      </c>
      <c r="BF48" s="49">
        <v>0</v>
      </c>
      <c r="BG48" s="50">
        <v>0</v>
      </c>
      <c r="BH48" s="49">
        <v>0</v>
      </c>
      <c r="BI48" s="50">
        <v>0</v>
      </c>
      <c r="BJ48" s="49">
        <v>0</v>
      </c>
      <c r="BK48" s="50">
        <v>0</v>
      </c>
      <c r="BL48" s="49">
        <v>44</v>
      </c>
      <c r="BM48" s="50">
        <v>100</v>
      </c>
      <c r="BN48" s="49">
        <v>44</v>
      </c>
    </row>
    <row r="49" spans="1:66" ht="15">
      <c r="A49" s="65" t="s">
        <v>236</v>
      </c>
      <c r="B49" s="65" t="s">
        <v>238</v>
      </c>
      <c r="C49" s="66" t="s">
        <v>2698</v>
      </c>
      <c r="D49" s="67">
        <v>4</v>
      </c>
      <c r="E49" s="68" t="s">
        <v>132</v>
      </c>
      <c r="F49" s="69">
        <v>30</v>
      </c>
      <c r="G49" s="66"/>
      <c r="H49" s="70"/>
      <c r="I49" s="71"/>
      <c r="J49" s="71"/>
      <c r="K49" s="35" t="s">
        <v>65</v>
      </c>
      <c r="L49" s="78">
        <v>49</v>
      </c>
      <c r="M49" s="78"/>
      <c r="N49" s="73"/>
      <c r="O49" s="80" t="s">
        <v>383</v>
      </c>
      <c r="P49" s="82">
        <v>44457.0156712963</v>
      </c>
      <c r="Q49" s="80" t="s">
        <v>396</v>
      </c>
      <c r="R49" s="80"/>
      <c r="S49" s="80"/>
      <c r="T49" s="85" t="s">
        <v>476</v>
      </c>
      <c r="U49" s="83" t="str">
        <f>HYPERLINK("https://pbs.twimg.com/media/E_hf8JkUcAEu7lU.jpg")</f>
        <v>https://pbs.twimg.com/media/E_hf8JkUcAEu7lU.jpg</v>
      </c>
      <c r="V49" s="83" t="str">
        <f>HYPERLINK("https://pbs.twimg.com/media/E_hf8JkUcAEu7lU.jpg")</f>
        <v>https://pbs.twimg.com/media/E_hf8JkUcAEu7lU.jpg</v>
      </c>
      <c r="W49" s="82">
        <v>44457.0156712963</v>
      </c>
      <c r="X49" s="88">
        <v>44457</v>
      </c>
      <c r="Y49" s="85" t="s">
        <v>538</v>
      </c>
      <c r="Z49" s="83" t="str">
        <f>HYPERLINK("https://twitter.com/viral_mx/status/1439021998135398401")</f>
        <v>https://twitter.com/viral_mx/status/1439021998135398401</v>
      </c>
      <c r="AA49" s="80"/>
      <c r="AB49" s="80"/>
      <c r="AC49" s="85" t="s">
        <v>711</v>
      </c>
      <c r="AD49" s="80"/>
      <c r="AE49" s="80" t="b">
        <v>0</v>
      </c>
      <c r="AF49" s="80">
        <v>0</v>
      </c>
      <c r="AG49" s="85" t="s">
        <v>871</v>
      </c>
      <c r="AH49" s="80" t="b">
        <v>0</v>
      </c>
      <c r="AI49" s="80" t="s">
        <v>882</v>
      </c>
      <c r="AJ49" s="80"/>
      <c r="AK49" s="85" t="s">
        <v>871</v>
      </c>
      <c r="AL49" s="80" t="b">
        <v>0</v>
      </c>
      <c r="AM49" s="80">
        <v>5</v>
      </c>
      <c r="AN49" s="85" t="s">
        <v>713</v>
      </c>
      <c r="AO49" s="85" t="s">
        <v>889</v>
      </c>
      <c r="AP49" s="80" t="b">
        <v>0</v>
      </c>
      <c r="AQ49" s="85" t="s">
        <v>713</v>
      </c>
      <c r="AR49" s="80" t="s">
        <v>178</v>
      </c>
      <c r="AS49" s="80">
        <v>0</v>
      </c>
      <c r="AT49" s="80">
        <v>0</v>
      </c>
      <c r="AU49" s="80"/>
      <c r="AV49" s="80"/>
      <c r="AW49" s="80"/>
      <c r="AX49" s="80"/>
      <c r="AY49" s="80"/>
      <c r="AZ49" s="80"/>
      <c r="BA49" s="80"/>
      <c r="BB49" s="80"/>
      <c r="BC49">
        <v>1</v>
      </c>
      <c r="BD49" s="79" t="str">
        <f>REPLACE(INDEX(GroupVertices[Group],MATCH(Edges[[#This Row],[Vertex 1]],GroupVertices[Vertex],0)),1,1,"")</f>
        <v>10</v>
      </c>
      <c r="BE49" s="79" t="str">
        <f>REPLACE(INDEX(GroupVertices[Group],MATCH(Edges[[#This Row],[Vertex 2]],GroupVertices[Vertex],0)),1,1,"")</f>
        <v>10</v>
      </c>
      <c r="BF49" s="49">
        <v>0</v>
      </c>
      <c r="BG49" s="50">
        <v>0</v>
      </c>
      <c r="BH49" s="49">
        <v>0</v>
      </c>
      <c r="BI49" s="50">
        <v>0</v>
      </c>
      <c r="BJ49" s="49">
        <v>0</v>
      </c>
      <c r="BK49" s="50">
        <v>0</v>
      </c>
      <c r="BL49" s="49">
        <v>44</v>
      </c>
      <c r="BM49" s="50">
        <v>100</v>
      </c>
      <c r="BN49" s="49">
        <v>44</v>
      </c>
    </row>
    <row r="50" spans="1:66" ht="15">
      <c r="A50" s="65" t="s">
        <v>237</v>
      </c>
      <c r="B50" s="65" t="s">
        <v>360</v>
      </c>
      <c r="C50" s="66" t="s">
        <v>2698</v>
      </c>
      <c r="D50" s="67">
        <v>4</v>
      </c>
      <c r="E50" s="68" t="s">
        <v>132</v>
      </c>
      <c r="F50" s="69">
        <v>30</v>
      </c>
      <c r="G50" s="66"/>
      <c r="H50" s="70"/>
      <c r="I50" s="71"/>
      <c r="J50" s="71"/>
      <c r="K50" s="35" t="s">
        <v>65</v>
      </c>
      <c r="L50" s="78">
        <v>50</v>
      </c>
      <c r="M50" s="78"/>
      <c r="N50" s="73"/>
      <c r="O50" s="80" t="s">
        <v>384</v>
      </c>
      <c r="P50" s="82">
        <v>44457.43425925926</v>
      </c>
      <c r="Q50" s="80" t="s">
        <v>397</v>
      </c>
      <c r="R50" s="80"/>
      <c r="S50" s="80"/>
      <c r="T50" s="85" t="s">
        <v>477</v>
      </c>
      <c r="U50" s="83" t="str">
        <f>HYPERLINK("https://pbs.twimg.com/media/E_j4M2KXEAAItzb.jpg")</f>
        <v>https://pbs.twimg.com/media/E_j4M2KXEAAItzb.jpg</v>
      </c>
      <c r="V50" s="83" t="str">
        <f>HYPERLINK("https://pbs.twimg.com/media/E_j4M2KXEAAItzb.jpg")</f>
        <v>https://pbs.twimg.com/media/E_j4M2KXEAAItzb.jpg</v>
      </c>
      <c r="W50" s="82">
        <v>44457.43425925926</v>
      </c>
      <c r="X50" s="88">
        <v>44457</v>
      </c>
      <c r="Y50" s="85" t="s">
        <v>539</v>
      </c>
      <c r="Z50" s="83" t="str">
        <f>HYPERLINK("https://twitter.com/real_marquis/status/1439173686284668929")</f>
        <v>https://twitter.com/real_marquis/status/1439173686284668929</v>
      </c>
      <c r="AA50" s="80"/>
      <c r="AB50" s="80"/>
      <c r="AC50" s="85" t="s">
        <v>712</v>
      </c>
      <c r="AD50" s="80"/>
      <c r="AE50" s="80" t="b">
        <v>0</v>
      </c>
      <c r="AF50" s="80">
        <v>0</v>
      </c>
      <c r="AG50" s="85" t="s">
        <v>871</v>
      </c>
      <c r="AH50" s="80" t="b">
        <v>0</v>
      </c>
      <c r="AI50" s="80" t="s">
        <v>884</v>
      </c>
      <c r="AJ50" s="80"/>
      <c r="AK50" s="85" t="s">
        <v>871</v>
      </c>
      <c r="AL50" s="80" t="b">
        <v>0</v>
      </c>
      <c r="AM50" s="80">
        <v>0</v>
      </c>
      <c r="AN50" s="85" t="s">
        <v>871</v>
      </c>
      <c r="AO50" s="85" t="s">
        <v>891</v>
      </c>
      <c r="AP50" s="80" t="b">
        <v>0</v>
      </c>
      <c r="AQ50" s="85" t="s">
        <v>712</v>
      </c>
      <c r="AR50" s="80" t="s">
        <v>178</v>
      </c>
      <c r="AS50" s="80">
        <v>0</v>
      </c>
      <c r="AT50" s="80">
        <v>0</v>
      </c>
      <c r="AU50" s="80"/>
      <c r="AV50" s="80"/>
      <c r="AW50" s="80"/>
      <c r="AX50" s="80"/>
      <c r="AY50" s="80"/>
      <c r="AZ50" s="80"/>
      <c r="BA50" s="80"/>
      <c r="BB50" s="80"/>
      <c r="BC50">
        <v>1</v>
      </c>
      <c r="BD50" s="79" t="str">
        <f>REPLACE(INDEX(GroupVertices[Group],MATCH(Edges[[#This Row],[Vertex 1]],GroupVertices[Vertex],0)),1,1,"")</f>
        <v>13</v>
      </c>
      <c r="BE50" s="79" t="str">
        <f>REPLACE(INDEX(GroupVertices[Group],MATCH(Edges[[#This Row],[Vertex 2]],GroupVertices[Vertex],0)),1,1,"")</f>
        <v>13</v>
      </c>
      <c r="BF50" s="49">
        <v>0</v>
      </c>
      <c r="BG50" s="50">
        <v>0</v>
      </c>
      <c r="BH50" s="49">
        <v>0</v>
      </c>
      <c r="BI50" s="50">
        <v>0</v>
      </c>
      <c r="BJ50" s="49">
        <v>0</v>
      </c>
      <c r="BK50" s="50">
        <v>0</v>
      </c>
      <c r="BL50" s="49">
        <v>10</v>
      </c>
      <c r="BM50" s="50">
        <v>100</v>
      </c>
      <c r="BN50" s="49">
        <v>10</v>
      </c>
    </row>
    <row r="51" spans="1:66" ht="15">
      <c r="A51" s="65" t="s">
        <v>238</v>
      </c>
      <c r="B51" s="65" t="s">
        <v>238</v>
      </c>
      <c r="C51" s="66" t="s">
        <v>2699</v>
      </c>
      <c r="D51" s="67">
        <v>10</v>
      </c>
      <c r="E51" s="68" t="s">
        <v>132</v>
      </c>
      <c r="F51" s="69">
        <v>10</v>
      </c>
      <c r="G51" s="66"/>
      <c r="H51" s="70"/>
      <c r="I51" s="71"/>
      <c r="J51" s="71"/>
      <c r="K51" s="35" t="s">
        <v>65</v>
      </c>
      <c r="L51" s="78">
        <v>51</v>
      </c>
      <c r="M51" s="78"/>
      <c r="N51" s="73"/>
      <c r="O51" s="80" t="s">
        <v>178</v>
      </c>
      <c r="P51" s="82">
        <v>44456.97033564815</v>
      </c>
      <c r="Q51" s="80" t="s">
        <v>396</v>
      </c>
      <c r="R51" s="80"/>
      <c r="S51" s="80"/>
      <c r="T51" s="85" t="s">
        <v>476</v>
      </c>
      <c r="U51" s="83" t="str">
        <f>HYPERLINK("https://pbs.twimg.com/media/E_hf8JkUcAEu7lU.jpg")</f>
        <v>https://pbs.twimg.com/media/E_hf8JkUcAEu7lU.jpg</v>
      </c>
      <c r="V51" s="83" t="str">
        <f>HYPERLINK("https://pbs.twimg.com/media/E_hf8JkUcAEu7lU.jpg")</f>
        <v>https://pbs.twimg.com/media/E_hf8JkUcAEu7lU.jpg</v>
      </c>
      <c r="W51" s="82">
        <v>44456.97033564815</v>
      </c>
      <c r="X51" s="88">
        <v>44456</v>
      </c>
      <c r="Y51" s="85" t="s">
        <v>540</v>
      </c>
      <c r="Z51" s="83" t="str">
        <f>HYPERLINK("https://twitter.com/eunicerendon/status/1439005569382162434")</f>
        <v>https://twitter.com/eunicerendon/status/1439005569382162434</v>
      </c>
      <c r="AA51" s="80"/>
      <c r="AB51" s="80"/>
      <c r="AC51" s="85" t="s">
        <v>713</v>
      </c>
      <c r="AD51" s="80"/>
      <c r="AE51" s="80" t="b">
        <v>0</v>
      </c>
      <c r="AF51" s="80">
        <v>14</v>
      </c>
      <c r="AG51" s="85" t="s">
        <v>871</v>
      </c>
      <c r="AH51" s="80" t="b">
        <v>0</v>
      </c>
      <c r="AI51" s="80" t="s">
        <v>882</v>
      </c>
      <c r="AJ51" s="80"/>
      <c r="AK51" s="85" t="s">
        <v>871</v>
      </c>
      <c r="AL51" s="80" t="b">
        <v>0</v>
      </c>
      <c r="AM51" s="80">
        <v>5</v>
      </c>
      <c r="AN51" s="85" t="s">
        <v>871</v>
      </c>
      <c r="AO51" s="85" t="s">
        <v>889</v>
      </c>
      <c r="AP51" s="80" t="b">
        <v>0</v>
      </c>
      <c r="AQ51" s="85" t="s">
        <v>713</v>
      </c>
      <c r="AR51" s="80" t="s">
        <v>178</v>
      </c>
      <c r="AS51" s="80">
        <v>0</v>
      </c>
      <c r="AT51" s="80">
        <v>0</v>
      </c>
      <c r="AU51" s="80"/>
      <c r="AV51" s="80"/>
      <c r="AW51" s="80"/>
      <c r="AX51" s="80"/>
      <c r="AY51" s="80"/>
      <c r="AZ51" s="80"/>
      <c r="BA51" s="80"/>
      <c r="BB51" s="80"/>
      <c r="BC51">
        <v>4</v>
      </c>
      <c r="BD51" s="79" t="str">
        <f>REPLACE(INDEX(GroupVertices[Group],MATCH(Edges[[#This Row],[Vertex 1]],GroupVertices[Vertex],0)),1,1,"")</f>
        <v>10</v>
      </c>
      <c r="BE51" s="79" t="str">
        <f>REPLACE(INDEX(GroupVertices[Group],MATCH(Edges[[#This Row],[Vertex 2]],GroupVertices[Vertex],0)),1,1,"")</f>
        <v>10</v>
      </c>
      <c r="BF51" s="49">
        <v>0</v>
      </c>
      <c r="BG51" s="50">
        <v>0</v>
      </c>
      <c r="BH51" s="49">
        <v>0</v>
      </c>
      <c r="BI51" s="50">
        <v>0</v>
      </c>
      <c r="BJ51" s="49">
        <v>0</v>
      </c>
      <c r="BK51" s="50">
        <v>0</v>
      </c>
      <c r="BL51" s="49">
        <v>44</v>
      </c>
      <c r="BM51" s="50">
        <v>100</v>
      </c>
      <c r="BN51" s="49">
        <v>44</v>
      </c>
    </row>
    <row r="52" spans="1:66" ht="15">
      <c r="A52" s="65" t="s">
        <v>238</v>
      </c>
      <c r="B52" s="65" t="s">
        <v>238</v>
      </c>
      <c r="C52" s="66" t="s">
        <v>2699</v>
      </c>
      <c r="D52" s="67">
        <v>10</v>
      </c>
      <c r="E52" s="68" t="s">
        <v>132</v>
      </c>
      <c r="F52" s="69">
        <v>10</v>
      </c>
      <c r="G52" s="66"/>
      <c r="H52" s="70"/>
      <c r="I52" s="71"/>
      <c r="J52" s="71"/>
      <c r="K52" s="35" t="s">
        <v>65</v>
      </c>
      <c r="L52" s="78">
        <v>52</v>
      </c>
      <c r="M52" s="78"/>
      <c r="N52" s="73"/>
      <c r="O52" s="80" t="s">
        <v>178</v>
      </c>
      <c r="P52" s="82">
        <v>44456.97164351852</v>
      </c>
      <c r="Q52" s="80" t="s">
        <v>398</v>
      </c>
      <c r="R52" s="80"/>
      <c r="S52" s="80"/>
      <c r="T52" s="85" t="s">
        <v>478</v>
      </c>
      <c r="U52" s="80"/>
      <c r="V52" s="83" t="str">
        <f>HYPERLINK("https://pbs.twimg.com/profile_images/1428883324966109189/hCXYHKH6_normal.jpg")</f>
        <v>https://pbs.twimg.com/profile_images/1428883324966109189/hCXYHKH6_normal.jpg</v>
      </c>
      <c r="W52" s="82">
        <v>44456.97164351852</v>
      </c>
      <c r="X52" s="88">
        <v>44456</v>
      </c>
      <c r="Y52" s="85" t="s">
        <v>541</v>
      </c>
      <c r="Z52" s="83" t="str">
        <f>HYPERLINK("https://twitter.com/eunicerendon/status/1439006042470289408")</f>
        <v>https://twitter.com/eunicerendon/status/1439006042470289408</v>
      </c>
      <c r="AA52" s="80"/>
      <c r="AB52" s="80"/>
      <c r="AC52" s="85" t="s">
        <v>714</v>
      </c>
      <c r="AD52" s="85" t="s">
        <v>864</v>
      </c>
      <c r="AE52" s="80" t="b">
        <v>0</v>
      </c>
      <c r="AF52" s="80">
        <v>3</v>
      </c>
      <c r="AG52" s="85" t="s">
        <v>872</v>
      </c>
      <c r="AH52" s="80" t="b">
        <v>0</v>
      </c>
      <c r="AI52" s="80" t="s">
        <v>882</v>
      </c>
      <c r="AJ52" s="80"/>
      <c r="AK52" s="85" t="s">
        <v>871</v>
      </c>
      <c r="AL52" s="80" t="b">
        <v>0</v>
      </c>
      <c r="AM52" s="80">
        <v>0</v>
      </c>
      <c r="AN52" s="85" t="s">
        <v>871</v>
      </c>
      <c r="AO52" s="85" t="s">
        <v>889</v>
      </c>
      <c r="AP52" s="80" t="b">
        <v>0</v>
      </c>
      <c r="AQ52" s="85" t="s">
        <v>864</v>
      </c>
      <c r="AR52" s="80" t="s">
        <v>178</v>
      </c>
      <c r="AS52" s="80">
        <v>0</v>
      </c>
      <c r="AT52" s="80">
        <v>0</v>
      </c>
      <c r="AU52" s="80"/>
      <c r="AV52" s="80"/>
      <c r="AW52" s="80"/>
      <c r="AX52" s="80"/>
      <c r="AY52" s="80"/>
      <c r="AZ52" s="80"/>
      <c r="BA52" s="80"/>
      <c r="BB52" s="80"/>
      <c r="BC52">
        <v>4</v>
      </c>
      <c r="BD52" s="79" t="str">
        <f>REPLACE(INDEX(GroupVertices[Group],MATCH(Edges[[#This Row],[Vertex 1]],GroupVertices[Vertex],0)),1,1,"")</f>
        <v>10</v>
      </c>
      <c r="BE52" s="79" t="str">
        <f>REPLACE(INDEX(GroupVertices[Group],MATCH(Edges[[#This Row],[Vertex 2]],GroupVertices[Vertex],0)),1,1,"")</f>
        <v>10</v>
      </c>
      <c r="BF52" s="49">
        <v>0</v>
      </c>
      <c r="BG52" s="50">
        <v>0</v>
      </c>
      <c r="BH52" s="49">
        <v>0</v>
      </c>
      <c r="BI52" s="50">
        <v>0</v>
      </c>
      <c r="BJ52" s="49">
        <v>0</v>
      </c>
      <c r="BK52" s="50">
        <v>0</v>
      </c>
      <c r="BL52" s="49">
        <v>26</v>
      </c>
      <c r="BM52" s="50">
        <v>100</v>
      </c>
      <c r="BN52" s="49">
        <v>26</v>
      </c>
    </row>
    <row r="53" spans="1:66" ht="15">
      <c r="A53" s="65" t="s">
        <v>239</v>
      </c>
      <c r="B53" s="65" t="s">
        <v>238</v>
      </c>
      <c r="C53" s="66" t="s">
        <v>2698</v>
      </c>
      <c r="D53" s="67">
        <v>4</v>
      </c>
      <c r="E53" s="68" t="s">
        <v>132</v>
      </c>
      <c r="F53" s="69">
        <v>30</v>
      </c>
      <c r="G53" s="66"/>
      <c r="H53" s="70"/>
      <c r="I53" s="71"/>
      <c r="J53" s="71"/>
      <c r="K53" s="35" t="s">
        <v>65</v>
      </c>
      <c r="L53" s="78">
        <v>53</v>
      </c>
      <c r="M53" s="78"/>
      <c r="N53" s="73"/>
      <c r="O53" s="80" t="s">
        <v>383</v>
      </c>
      <c r="P53" s="82">
        <v>44457.51385416667</v>
      </c>
      <c r="Q53" s="80" t="s">
        <v>396</v>
      </c>
      <c r="R53" s="80"/>
      <c r="S53" s="80"/>
      <c r="T53" s="85" t="s">
        <v>476</v>
      </c>
      <c r="U53" s="83" t="str">
        <f>HYPERLINK("https://pbs.twimg.com/media/E_hf8JkUcAEu7lU.jpg")</f>
        <v>https://pbs.twimg.com/media/E_hf8JkUcAEu7lU.jpg</v>
      </c>
      <c r="V53" s="83" t="str">
        <f>HYPERLINK("https://pbs.twimg.com/media/E_hf8JkUcAEu7lU.jpg")</f>
        <v>https://pbs.twimg.com/media/E_hf8JkUcAEu7lU.jpg</v>
      </c>
      <c r="W53" s="82">
        <v>44457.51385416667</v>
      </c>
      <c r="X53" s="88">
        <v>44457</v>
      </c>
      <c r="Y53" s="85" t="s">
        <v>542</v>
      </c>
      <c r="Z53" s="83" t="str">
        <f>HYPERLINK("https://twitter.com/luisglez33/status/1439202532954312705")</f>
        <v>https://twitter.com/luisglez33/status/1439202532954312705</v>
      </c>
      <c r="AA53" s="80"/>
      <c r="AB53" s="80"/>
      <c r="AC53" s="85" t="s">
        <v>715</v>
      </c>
      <c r="AD53" s="80"/>
      <c r="AE53" s="80" t="b">
        <v>0</v>
      </c>
      <c r="AF53" s="80">
        <v>0</v>
      </c>
      <c r="AG53" s="85" t="s">
        <v>871</v>
      </c>
      <c r="AH53" s="80" t="b">
        <v>0</v>
      </c>
      <c r="AI53" s="80" t="s">
        <v>882</v>
      </c>
      <c r="AJ53" s="80"/>
      <c r="AK53" s="85" t="s">
        <v>871</v>
      </c>
      <c r="AL53" s="80" t="b">
        <v>0</v>
      </c>
      <c r="AM53" s="80">
        <v>5</v>
      </c>
      <c r="AN53" s="85" t="s">
        <v>713</v>
      </c>
      <c r="AO53" s="85" t="s">
        <v>890</v>
      </c>
      <c r="AP53" s="80" t="b">
        <v>0</v>
      </c>
      <c r="AQ53" s="85" t="s">
        <v>713</v>
      </c>
      <c r="AR53" s="80" t="s">
        <v>178</v>
      </c>
      <c r="AS53" s="80">
        <v>0</v>
      </c>
      <c r="AT53" s="80">
        <v>0</v>
      </c>
      <c r="AU53" s="80"/>
      <c r="AV53" s="80"/>
      <c r="AW53" s="80"/>
      <c r="AX53" s="80"/>
      <c r="AY53" s="80"/>
      <c r="AZ53" s="80"/>
      <c r="BA53" s="80"/>
      <c r="BB53" s="80"/>
      <c r="BC53">
        <v>1</v>
      </c>
      <c r="BD53" s="79" t="str">
        <f>REPLACE(INDEX(GroupVertices[Group],MATCH(Edges[[#This Row],[Vertex 1]],GroupVertices[Vertex],0)),1,1,"")</f>
        <v>10</v>
      </c>
      <c r="BE53" s="79" t="str">
        <f>REPLACE(INDEX(GroupVertices[Group],MATCH(Edges[[#This Row],[Vertex 2]],GroupVertices[Vertex],0)),1,1,"")</f>
        <v>10</v>
      </c>
      <c r="BF53" s="49">
        <v>0</v>
      </c>
      <c r="BG53" s="50">
        <v>0</v>
      </c>
      <c r="BH53" s="49">
        <v>0</v>
      </c>
      <c r="BI53" s="50">
        <v>0</v>
      </c>
      <c r="BJ53" s="49">
        <v>0</v>
      </c>
      <c r="BK53" s="50">
        <v>0</v>
      </c>
      <c r="BL53" s="49">
        <v>44</v>
      </c>
      <c r="BM53" s="50">
        <v>100</v>
      </c>
      <c r="BN53" s="49">
        <v>44</v>
      </c>
    </row>
    <row r="54" spans="1:66" ht="15">
      <c r="A54" s="65" t="s">
        <v>240</v>
      </c>
      <c r="B54" s="65" t="s">
        <v>268</v>
      </c>
      <c r="C54" s="66" t="s">
        <v>2698</v>
      </c>
      <c r="D54" s="67">
        <v>4</v>
      </c>
      <c r="E54" s="68" t="s">
        <v>132</v>
      </c>
      <c r="F54" s="69">
        <v>30</v>
      </c>
      <c r="G54" s="66"/>
      <c r="H54" s="70"/>
      <c r="I54" s="71"/>
      <c r="J54" s="71"/>
      <c r="K54" s="35" t="s">
        <v>65</v>
      </c>
      <c r="L54" s="78">
        <v>54</v>
      </c>
      <c r="M54" s="78"/>
      <c r="N54" s="73"/>
      <c r="O54" s="80" t="s">
        <v>382</v>
      </c>
      <c r="P54" s="82">
        <v>44457.514085648145</v>
      </c>
      <c r="Q54" s="80" t="s">
        <v>399</v>
      </c>
      <c r="R54" s="83" t="str">
        <f>HYPERLINK("https://www.meltingpot.org/Tapachula-frontiera-sud-del-Messico-migliaia-di-persone.html")</f>
        <v>https://www.meltingpot.org/Tapachula-frontiera-sud-del-Messico-migliaia-di-persone.html</v>
      </c>
      <c r="S54" s="80" t="s">
        <v>455</v>
      </c>
      <c r="T54" s="85" t="s">
        <v>479</v>
      </c>
      <c r="U54" s="80"/>
      <c r="V54" s="83" t="str">
        <f>HYPERLINK("https://pbs.twimg.com/profile_images/1421725294520672257/yghrXN73_normal.jpg")</f>
        <v>https://pbs.twimg.com/profile_images/1421725294520672257/yghrXN73_normal.jpg</v>
      </c>
      <c r="W54" s="82">
        <v>44457.514085648145</v>
      </c>
      <c r="X54" s="88">
        <v>44457</v>
      </c>
      <c r="Y54" s="85" t="s">
        <v>543</v>
      </c>
      <c r="Z54" s="83" t="str">
        <f>HYPERLINK("https://twitter.com/rmilell66/status/1439202617477971978")</f>
        <v>https://twitter.com/rmilell66/status/1439202617477971978</v>
      </c>
      <c r="AA54" s="80"/>
      <c r="AB54" s="80"/>
      <c r="AC54" s="85" t="s">
        <v>716</v>
      </c>
      <c r="AD54" s="80"/>
      <c r="AE54" s="80" t="b">
        <v>0</v>
      </c>
      <c r="AF54" s="80">
        <v>0</v>
      </c>
      <c r="AG54" s="85" t="s">
        <v>871</v>
      </c>
      <c r="AH54" s="80" t="b">
        <v>0</v>
      </c>
      <c r="AI54" s="80" t="s">
        <v>883</v>
      </c>
      <c r="AJ54" s="80"/>
      <c r="AK54" s="85" t="s">
        <v>871</v>
      </c>
      <c r="AL54" s="80" t="b">
        <v>0</v>
      </c>
      <c r="AM54" s="80">
        <v>3</v>
      </c>
      <c r="AN54" s="85" t="s">
        <v>761</v>
      </c>
      <c r="AO54" s="85" t="s">
        <v>889</v>
      </c>
      <c r="AP54" s="80" t="b">
        <v>0</v>
      </c>
      <c r="AQ54" s="85" t="s">
        <v>761</v>
      </c>
      <c r="AR54" s="80" t="s">
        <v>178</v>
      </c>
      <c r="AS54" s="80">
        <v>0</v>
      </c>
      <c r="AT54" s="80">
        <v>0</v>
      </c>
      <c r="AU54" s="80"/>
      <c r="AV54" s="80"/>
      <c r="AW54" s="80"/>
      <c r="AX54" s="80"/>
      <c r="AY54" s="80"/>
      <c r="AZ54" s="80"/>
      <c r="BA54" s="80"/>
      <c r="BB54" s="80"/>
      <c r="BC54">
        <v>1</v>
      </c>
      <c r="BD54" s="79" t="str">
        <f>REPLACE(INDEX(GroupVertices[Group],MATCH(Edges[[#This Row],[Vertex 1]],GroupVertices[Vertex],0)),1,1,"")</f>
        <v>3</v>
      </c>
      <c r="BE54" s="79" t="str">
        <f>REPLACE(INDEX(GroupVertices[Group],MATCH(Edges[[#This Row],[Vertex 2]],GroupVertices[Vertex],0)),1,1,"")</f>
        <v>3</v>
      </c>
      <c r="BF54" s="49">
        <v>0</v>
      </c>
      <c r="BG54" s="50">
        <v>0</v>
      </c>
      <c r="BH54" s="49">
        <v>0</v>
      </c>
      <c r="BI54" s="50">
        <v>0</v>
      </c>
      <c r="BJ54" s="49">
        <v>0</v>
      </c>
      <c r="BK54" s="50">
        <v>0</v>
      </c>
      <c r="BL54" s="49">
        <v>31</v>
      </c>
      <c r="BM54" s="50">
        <v>100</v>
      </c>
      <c r="BN54" s="49">
        <v>31</v>
      </c>
    </row>
    <row r="55" spans="1:66" ht="15">
      <c r="A55" s="65" t="s">
        <v>240</v>
      </c>
      <c r="B55" s="65" t="s">
        <v>269</v>
      </c>
      <c r="C55" s="66" t="s">
        <v>2698</v>
      </c>
      <c r="D55" s="67">
        <v>4</v>
      </c>
      <c r="E55" s="68" t="s">
        <v>132</v>
      </c>
      <c r="F55" s="69">
        <v>30</v>
      </c>
      <c r="G55" s="66"/>
      <c r="H55" s="70"/>
      <c r="I55" s="71"/>
      <c r="J55" s="71"/>
      <c r="K55" s="35" t="s">
        <v>65</v>
      </c>
      <c r="L55" s="78">
        <v>55</v>
      </c>
      <c r="M55" s="78"/>
      <c r="N55" s="73"/>
      <c r="O55" s="80" t="s">
        <v>383</v>
      </c>
      <c r="P55" s="82">
        <v>44457.514085648145</v>
      </c>
      <c r="Q55" s="80" t="s">
        <v>399</v>
      </c>
      <c r="R55" s="83" t="str">
        <f>HYPERLINK("https://www.meltingpot.org/Tapachula-frontiera-sud-del-Messico-migliaia-di-persone.html")</f>
        <v>https://www.meltingpot.org/Tapachula-frontiera-sud-del-Messico-migliaia-di-persone.html</v>
      </c>
      <c r="S55" s="80" t="s">
        <v>455</v>
      </c>
      <c r="T55" s="85" t="s">
        <v>479</v>
      </c>
      <c r="U55" s="80"/>
      <c r="V55" s="83" t="str">
        <f>HYPERLINK("https://pbs.twimg.com/profile_images/1421725294520672257/yghrXN73_normal.jpg")</f>
        <v>https://pbs.twimg.com/profile_images/1421725294520672257/yghrXN73_normal.jpg</v>
      </c>
      <c r="W55" s="82">
        <v>44457.514085648145</v>
      </c>
      <c r="X55" s="88">
        <v>44457</v>
      </c>
      <c r="Y55" s="85" t="s">
        <v>543</v>
      </c>
      <c r="Z55" s="83" t="str">
        <f>HYPERLINK("https://twitter.com/rmilell66/status/1439202617477971978")</f>
        <v>https://twitter.com/rmilell66/status/1439202617477971978</v>
      </c>
      <c r="AA55" s="80"/>
      <c r="AB55" s="80"/>
      <c r="AC55" s="85" t="s">
        <v>716</v>
      </c>
      <c r="AD55" s="80"/>
      <c r="AE55" s="80" t="b">
        <v>0</v>
      </c>
      <c r="AF55" s="80">
        <v>0</v>
      </c>
      <c r="AG55" s="85" t="s">
        <v>871</v>
      </c>
      <c r="AH55" s="80" t="b">
        <v>0</v>
      </c>
      <c r="AI55" s="80" t="s">
        <v>883</v>
      </c>
      <c r="AJ55" s="80"/>
      <c r="AK55" s="85" t="s">
        <v>871</v>
      </c>
      <c r="AL55" s="80" t="b">
        <v>0</v>
      </c>
      <c r="AM55" s="80">
        <v>3</v>
      </c>
      <c r="AN55" s="85" t="s">
        <v>761</v>
      </c>
      <c r="AO55" s="85" t="s">
        <v>889</v>
      </c>
      <c r="AP55" s="80" t="b">
        <v>0</v>
      </c>
      <c r="AQ55" s="85" t="s">
        <v>761</v>
      </c>
      <c r="AR55" s="80" t="s">
        <v>178</v>
      </c>
      <c r="AS55" s="80">
        <v>0</v>
      </c>
      <c r="AT55" s="80">
        <v>0</v>
      </c>
      <c r="AU55" s="80"/>
      <c r="AV55" s="80"/>
      <c r="AW55" s="80"/>
      <c r="AX55" s="80"/>
      <c r="AY55" s="80"/>
      <c r="AZ55" s="80"/>
      <c r="BA55" s="80"/>
      <c r="BB55" s="80"/>
      <c r="BC55">
        <v>1</v>
      </c>
      <c r="BD55" s="79" t="str">
        <f>REPLACE(INDEX(GroupVertices[Group],MATCH(Edges[[#This Row],[Vertex 1]],GroupVertices[Vertex],0)),1,1,"")</f>
        <v>3</v>
      </c>
      <c r="BE55" s="79" t="str">
        <f>REPLACE(INDEX(GroupVertices[Group],MATCH(Edges[[#This Row],[Vertex 2]],GroupVertices[Vertex],0)),1,1,"")</f>
        <v>3</v>
      </c>
      <c r="BF55" s="49"/>
      <c r="BG55" s="50"/>
      <c r="BH55" s="49"/>
      <c r="BI55" s="50"/>
      <c r="BJ55" s="49"/>
      <c r="BK55" s="50"/>
      <c r="BL55" s="49"/>
      <c r="BM55" s="50"/>
      <c r="BN55" s="49"/>
    </row>
    <row r="56" spans="1:66" ht="15">
      <c r="A56" s="65" t="s">
        <v>241</v>
      </c>
      <c r="B56" s="65" t="s">
        <v>241</v>
      </c>
      <c r="C56" s="66" t="s">
        <v>2698</v>
      </c>
      <c r="D56" s="67">
        <v>4</v>
      </c>
      <c r="E56" s="68" t="s">
        <v>132</v>
      </c>
      <c r="F56" s="69">
        <v>30</v>
      </c>
      <c r="G56" s="66"/>
      <c r="H56" s="70"/>
      <c r="I56" s="71"/>
      <c r="J56" s="71"/>
      <c r="K56" s="35" t="s">
        <v>65</v>
      </c>
      <c r="L56" s="78">
        <v>56</v>
      </c>
      <c r="M56" s="78"/>
      <c r="N56" s="73"/>
      <c r="O56" s="80" t="s">
        <v>178</v>
      </c>
      <c r="P56" s="82">
        <v>44457.63170138889</v>
      </c>
      <c r="Q56" s="80" t="s">
        <v>400</v>
      </c>
      <c r="R56" s="83" t="str">
        <f>HYPERLINK("https://jucomex.com/2021/09/13/ser-migrante-no-es-ser-delincuente/")</f>
        <v>https://jucomex.com/2021/09/13/ser-migrante-no-es-ser-delincuente/</v>
      </c>
      <c r="S56" s="80" t="s">
        <v>456</v>
      </c>
      <c r="T56" s="85" t="s">
        <v>472</v>
      </c>
      <c r="U56" s="80"/>
      <c r="V56" s="83" t="str">
        <f>HYPERLINK("https://pbs.twimg.com/profile_images/1400631307386896387/6KkKcfhq_normal.jpg")</f>
        <v>https://pbs.twimg.com/profile_images/1400631307386896387/6KkKcfhq_normal.jpg</v>
      </c>
      <c r="W56" s="82">
        <v>44457.63170138889</v>
      </c>
      <c r="X56" s="88">
        <v>44457</v>
      </c>
      <c r="Y56" s="85" t="s">
        <v>544</v>
      </c>
      <c r="Z56" s="83" t="str">
        <f>HYPERLINK("https://twitter.com/jcmnuevoleon/status/1439245237071777799")</f>
        <v>https://twitter.com/jcmnuevoleon/status/1439245237071777799</v>
      </c>
      <c r="AA56" s="80"/>
      <c r="AB56" s="80"/>
      <c r="AC56" s="85" t="s">
        <v>717</v>
      </c>
      <c r="AD56" s="80"/>
      <c r="AE56" s="80" t="b">
        <v>0</v>
      </c>
      <c r="AF56" s="80">
        <v>5</v>
      </c>
      <c r="AG56" s="85" t="s">
        <v>871</v>
      </c>
      <c r="AH56" s="80" t="b">
        <v>0</v>
      </c>
      <c r="AI56" s="80" t="s">
        <v>882</v>
      </c>
      <c r="AJ56" s="80"/>
      <c r="AK56" s="85" t="s">
        <v>871</v>
      </c>
      <c r="AL56" s="80" t="b">
        <v>0</v>
      </c>
      <c r="AM56" s="80">
        <v>1</v>
      </c>
      <c r="AN56" s="85" t="s">
        <v>871</v>
      </c>
      <c r="AO56" s="85" t="s">
        <v>889</v>
      </c>
      <c r="AP56" s="80" t="b">
        <v>0</v>
      </c>
      <c r="AQ56" s="85" t="s">
        <v>717</v>
      </c>
      <c r="AR56" s="80" t="s">
        <v>178</v>
      </c>
      <c r="AS56" s="80">
        <v>0</v>
      </c>
      <c r="AT56" s="80">
        <v>0</v>
      </c>
      <c r="AU56" s="80" t="s">
        <v>897</v>
      </c>
      <c r="AV56" s="80" t="s">
        <v>899</v>
      </c>
      <c r="AW56" s="80" t="s">
        <v>900</v>
      </c>
      <c r="AX56" s="80" t="s">
        <v>901</v>
      </c>
      <c r="AY56" s="80" t="s">
        <v>903</v>
      </c>
      <c r="AZ56" s="80" t="s">
        <v>905</v>
      </c>
      <c r="BA56" s="80" t="s">
        <v>907</v>
      </c>
      <c r="BB56" s="83" t="str">
        <f>HYPERLINK("https://api.twitter.com/1.1/geo/id/b19e24ce42ccd6aa.json")</f>
        <v>https://api.twitter.com/1.1/geo/id/b19e24ce42ccd6aa.json</v>
      </c>
      <c r="BC56">
        <v>1</v>
      </c>
      <c r="BD56" s="79" t="str">
        <f>REPLACE(INDEX(GroupVertices[Group],MATCH(Edges[[#This Row],[Vertex 1]],GroupVertices[Vertex],0)),1,1,"")</f>
        <v>25</v>
      </c>
      <c r="BE56" s="79" t="str">
        <f>REPLACE(INDEX(GroupVertices[Group],MATCH(Edges[[#This Row],[Vertex 2]],GroupVertices[Vertex],0)),1,1,"")</f>
        <v>25</v>
      </c>
      <c r="BF56" s="49">
        <v>0</v>
      </c>
      <c r="BG56" s="50">
        <v>0</v>
      </c>
      <c r="BH56" s="49">
        <v>0</v>
      </c>
      <c r="BI56" s="50">
        <v>0</v>
      </c>
      <c r="BJ56" s="49">
        <v>0</v>
      </c>
      <c r="BK56" s="50">
        <v>0</v>
      </c>
      <c r="BL56" s="49">
        <v>22</v>
      </c>
      <c r="BM56" s="50">
        <v>100</v>
      </c>
      <c r="BN56" s="49">
        <v>22</v>
      </c>
    </row>
    <row r="57" spans="1:66" ht="15">
      <c r="A57" s="65" t="s">
        <v>242</v>
      </c>
      <c r="B57" s="65" t="s">
        <v>241</v>
      </c>
      <c r="C57" s="66" t="s">
        <v>2698</v>
      </c>
      <c r="D57" s="67">
        <v>4</v>
      </c>
      <c r="E57" s="68" t="s">
        <v>132</v>
      </c>
      <c r="F57" s="69">
        <v>30</v>
      </c>
      <c r="G57" s="66"/>
      <c r="H57" s="70"/>
      <c r="I57" s="71"/>
      <c r="J57" s="71"/>
      <c r="K57" s="35" t="s">
        <v>65</v>
      </c>
      <c r="L57" s="78">
        <v>57</v>
      </c>
      <c r="M57" s="78"/>
      <c r="N57" s="73"/>
      <c r="O57" s="80" t="s">
        <v>383</v>
      </c>
      <c r="P57" s="82">
        <v>44457.69763888889</v>
      </c>
      <c r="Q57" s="80" t="s">
        <v>400</v>
      </c>
      <c r="R57" s="83" t="str">
        <f>HYPERLINK("https://jucomex.com/2021/09/13/ser-migrante-no-es-ser-delincuente/")</f>
        <v>https://jucomex.com/2021/09/13/ser-migrante-no-es-ser-delincuente/</v>
      </c>
      <c r="S57" s="80" t="s">
        <v>456</v>
      </c>
      <c r="T57" s="85" t="s">
        <v>472</v>
      </c>
      <c r="U57" s="80"/>
      <c r="V57" s="83" t="str">
        <f>HYPERLINK("https://pbs.twimg.com/profile_images/1391953789796638720/RminQRQh_normal.jpg")</f>
        <v>https://pbs.twimg.com/profile_images/1391953789796638720/RminQRQh_normal.jpg</v>
      </c>
      <c r="W57" s="82">
        <v>44457.69763888889</v>
      </c>
      <c r="X57" s="88">
        <v>44457</v>
      </c>
      <c r="Y57" s="85" t="s">
        <v>545</v>
      </c>
      <c r="Z57" s="83" t="str">
        <f>HYPERLINK("https://twitter.com/eliphaleth/status/1439269135138050053")</f>
        <v>https://twitter.com/eliphaleth/status/1439269135138050053</v>
      </c>
      <c r="AA57" s="80"/>
      <c r="AB57" s="80"/>
      <c r="AC57" s="85" t="s">
        <v>718</v>
      </c>
      <c r="AD57" s="80"/>
      <c r="AE57" s="80" t="b">
        <v>0</v>
      </c>
      <c r="AF57" s="80">
        <v>0</v>
      </c>
      <c r="AG57" s="85" t="s">
        <v>871</v>
      </c>
      <c r="AH57" s="80" t="b">
        <v>0</v>
      </c>
      <c r="AI57" s="80" t="s">
        <v>882</v>
      </c>
      <c r="AJ57" s="80"/>
      <c r="AK57" s="85" t="s">
        <v>871</v>
      </c>
      <c r="AL57" s="80" t="b">
        <v>0</v>
      </c>
      <c r="AM57" s="80">
        <v>1</v>
      </c>
      <c r="AN57" s="85" t="s">
        <v>717</v>
      </c>
      <c r="AO57" s="85" t="s">
        <v>889</v>
      </c>
      <c r="AP57" s="80" t="b">
        <v>0</v>
      </c>
      <c r="AQ57" s="85" t="s">
        <v>717</v>
      </c>
      <c r="AR57" s="80" t="s">
        <v>178</v>
      </c>
      <c r="AS57" s="80">
        <v>0</v>
      </c>
      <c r="AT57" s="80">
        <v>0</v>
      </c>
      <c r="AU57" s="80"/>
      <c r="AV57" s="80"/>
      <c r="AW57" s="80"/>
      <c r="AX57" s="80"/>
      <c r="AY57" s="80"/>
      <c r="AZ57" s="80"/>
      <c r="BA57" s="80"/>
      <c r="BB57" s="80"/>
      <c r="BC57">
        <v>1</v>
      </c>
      <c r="BD57" s="79" t="str">
        <f>REPLACE(INDEX(GroupVertices[Group],MATCH(Edges[[#This Row],[Vertex 1]],GroupVertices[Vertex],0)),1,1,"")</f>
        <v>25</v>
      </c>
      <c r="BE57" s="79" t="str">
        <f>REPLACE(INDEX(GroupVertices[Group],MATCH(Edges[[#This Row],[Vertex 2]],GroupVertices[Vertex],0)),1,1,"")</f>
        <v>25</v>
      </c>
      <c r="BF57" s="49">
        <v>0</v>
      </c>
      <c r="BG57" s="50">
        <v>0</v>
      </c>
      <c r="BH57" s="49">
        <v>0</v>
      </c>
      <c r="BI57" s="50">
        <v>0</v>
      </c>
      <c r="BJ57" s="49">
        <v>0</v>
      </c>
      <c r="BK57" s="50">
        <v>0</v>
      </c>
      <c r="BL57" s="49">
        <v>22</v>
      </c>
      <c r="BM57" s="50">
        <v>100</v>
      </c>
      <c r="BN57" s="49">
        <v>22</v>
      </c>
    </row>
    <row r="58" spans="1:66" ht="15">
      <c r="A58" s="65" t="s">
        <v>237</v>
      </c>
      <c r="B58" s="65" t="s">
        <v>361</v>
      </c>
      <c r="C58" s="66" t="s">
        <v>2698</v>
      </c>
      <c r="D58" s="67">
        <v>4</v>
      </c>
      <c r="E58" s="68" t="s">
        <v>132</v>
      </c>
      <c r="F58" s="69">
        <v>30</v>
      </c>
      <c r="G58" s="66"/>
      <c r="H58" s="70"/>
      <c r="I58" s="71"/>
      <c r="J58" s="71"/>
      <c r="K58" s="35" t="s">
        <v>65</v>
      </c>
      <c r="L58" s="78">
        <v>58</v>
      </c>
      <c r="M58" s="78"/>
      <c r="N58" s="73"/>
      <c r="O58" s="80" t="s">
        <v>384</v>
      </c>
      <c r="P58" s="82">
        <v>44457.4471412037</v>
      </c>
      <c r="Q58" s="80" t="s">
        <v>401</v>
      </c>
      <c r="R58" s="80"/>
      <c r="S58" s="80"/>
      <c r="T58" s="85" t="s">
        <v>480</v>
      </c>
      <c r="U58" s="83" t="str">
        <f>HYPERLINK("https://pbs.twimg.com/media/E_j8gzSWQAA1Gcx.jpg")</f>
        <v>https://pbs.twimg.com/media/E_j8gzSWQAA1Gcx.jpg</v>
      </c>
      <c r="V58" s="83" t="str">
        <f>HYPERLINK("https://pbs.twimg.com/media/E_j8gzSWQAA1Gcx.jpg")</f>
        <v>https://pbs.twimg.com/media/E_j8gzSWQAA1Gcx.jpg</v>
      </c>
      <c r="W58" s="82">
        <v>44457.4471412037</v>
      </c>
      <c r="X58" s="88">
        <v>44457</v>
      </c>
      <c r="Y58" s="85" t="s">
        <v>546</v>
      </c>
      <c r="Z58" s="83" t="str">
        <f>HYPERLINK("https://twitter.com/real_marquis/status/1439178357644611584")</f>
        <v>https://twitter.com/real_marquis/status/1439178357644611584</v>
      </c>
      <c r="AA58" s="80"/>
      <c r="AB58" s="80"/>
      <c r="AC58" s="85" t="s">
        <v>719</v>
      </c>
      <c r="AD58" s="80"/>
      <c r="AE58" s="80" t="b">
        <v>0</v>
      </c>
      <c r="AF58" s="80">
        <v>1</v>
      </c>
      <c r="AG58" s="85" t="s">
        <v>871</v>
      </c>
      <c r="AH58" s="80" t="b">
        <v>0</v>
      </c>
      <c r="AI58" s="80" t="s">
        <v>881</v>
      </c>
      <c r="AJ58" s="80"/>
      <c r="AK58" s="85" t="s">
        <v>871</v>
      </c>
      <c r="AL58" s="80" t="b">
        <v>0</v>
      </c>
      <c r="AM58" s="80">
        <v>1</v>
      </c>
      <c r="AN58" s="85" t="s">
        <v>871</v>
      </c>
      <c r="AO58" s="85" t="s">
        <v>891</v>
      </c>
      <c r="AP58" s="80" t="b">
        <v>0</v>
      </c>
      <c r="AQ58" s="85" t="s">
        <v>719</v>
      </c>
      <c r="AR58" s="80" t="s">
        <v>178</v>
      </c>
      <c r="AS58" s="80">
        <v>0</v>
      </c>
      <c r="AT58" s="80">
        <v>0</v>
      </c>
      <c r="AU58" s="80"/>
      <c r="AV58" s="80"/>
      <c r="AW58" s="80"/>
      <c r="AX58" s="80"/>
      <c r="AY58" s="80"/>
      <c r="AZ58" s="80"/>
      <c r="BA58" s="80"/>
      <c r="BB58" s="80"/>
      <c r="BC58">
        <v>1</v>
      </c>
      <c r="BD58" s="79" t="str">
        <f>REPLACE(INDEX(GroupVertices[Group],MATCH(Edges[[#This Row],[Vertex 1]],GroupVertices[Vertex],0)),1,1,"")</f>
        <v>13</v>
      </c>
      <c r="BE58" s="79" t="str">
        <f>REPLACE(INDEX(GroupVertices[Group],MATCH(Edges[[#This Row],[Vertex 2]],GroupVertices[Vertex],0)),1,1,"")</f>
        <v>13</v>
      </c>
      <c r="BF58" s="49">
        <v>0</v>
      </c>
      <c r="BG58" s="50">
        <v>0</v>
      </c>
      <c r="BH58" s="49">
        <v>1</v>
      </c>
      <c r="BI58" s="50">
        <v>4.166666666666667</v>
      </c>
      <c r="BJ58" s="49">
        <v>0</v>
      </c>
      <c r="BK58" s="50">
        <v>0</v>
      </c>
      <c r="BL58" s="49">
        <v>23</v>
      </c>
      <c r="BM58" s="50">
        <v>95.83333333333333</v>
      </c>
      <c r="BN58" s="49">
        <v>24</v>
      </c>
    </row>
    <row r="59" spans="1:66" ht="15">
      <c r="A59" s="65" t="s">
        <v>243</v>
      </c>
      <c r="B59" s="65" t="s">
        <v>361</v>
      </c>
      <c r="C59" s="66" t="s">
        <v>2698</v>
      </c>
      <c r="D59" s="67">
        <v>4</v>
      </c>
      <c r="E59" s="68" t="s">
        <v>132</v>
      </c>
      <c r="F59" s="69">
        <v>30</v>
      </c>
      <c r="G59" s="66"/>
      <c r="H59" s="70"/>
      <c r="I59" s="71"/>
      <c r="J59" s="71"/>
      <c r="K59" s="35" t="s">
        <v>65</v>
      </c>
      <c r="L59" s="78">
        <v>59</v>
      </c>
      <c r="M59" s="78"/>
      <c r="N59" s="73"/>
      <c r="O59" s="80" t="s">
        <v>382</v>
      </c>
      <c r="P59" s="82">
        <v>44457.75372685185</v>
      </c>
      <c r="Q59" s="80" t="s">
        <v>401</v>
      </c>
      <c r="R59" s="80"/>
      <c r="S59" s="80"/>
      <c r="T59" s="85" t="s">
        <v>480</v>
      </c>
      <c r="U59" s="83" t="str">
        <f>HYPERLINK("https://pbs.twimg.com/media/E_j8gzSWQAA1Gcx.jpg")</f>
        <v>https://pbs.twimg.com/media/E_j8gzSWQAA1Gcx.jpg</v>
      </c>
      <c r="V59" s="83" t="str">
        <f>HYPERLINK("https://pbs.twimg.com/media/E_j8gzSWQAA1Gcx.jpg")</f>
        <v>https://pbs.twimg.com/media/E_j8gzSWQAA1Gcx.jpg</v>
      </c>
      <c r="W59" s="82">
        <v>44457.75372685185</v>
      </c>
      <c r="X59" s="88">
        <v>44457</v>
      </c>
      <c r="Y59" s="85" t="s">
        <v>547</v>
      </c>
      <c r="Z59" s="83" t="str">
        <f>HYPERLINK("https://twitter.com/gardenpeace9/status/1439289459481141250")</f>
        <v>https://twitter.com/gardenpeace9/status/1439289459481141250</v>
      </c>
      <c r="AA59" s="80"/>
      <c r="AB59" s="80"/>
      <c r="AC59" s="85" t="s">
        <v>720</v>
      </c>
      <c r="AD59" s="80"/>
      <c r="AE59" s="80" t="b">
        <v>0</v>
      </c>
      <c r="AF59" s="80">
        <v>0</v>
      </c>
      <c r="AG59" s="85" t="s">
        <v>871</v>
      </c>
      <c r="AH59" s="80" t="b">
        <v>0</v>
      </c>
      <c r="AI59" s="80" t="s">
        <v>881</v>
      </c>
      <c r="AJ59" s="80"/>
      <c r="AK59" s="85" t="s">
        <v>871</v>
      </c>
      <c r="AL59" s="80" t="b">
        <v>0</v>
      </c>
      <c r="AM59" s="80">
        <v>1</v>
      </c>
      <c r="AN59" s="85" t="s">
        <v>719</v>
      </c>
      <c r="AO59" s="85" t="s">
        <v>889</v>
      </c>
      <c r="AP59" s="80" t="b">
        <v>0</v>
      </c>
      <c r="AQ59" s="85" t="s">
        <v>719</v>
      </c>
      <c r="AR59" s="80" t="s">
        <v>178</v>
      </c>
      <c r="AS59" s="80">
        <v>0</v>
      </c>
      <c r="AT59" s="80">
        <v>0</v>
      </c>
      <c r="AU59" s="80"/>
      <c r="AV59" s="80"/>
      <c r="AW59" s="80"/>
      <c r="AX59" s="80"/>
      <c r="AY59" s="80"/>
      <c r="AZ59" s="80"/>
      <c r="BA59" s="80"/>
      <c r="BB59" s="80"/>
      <c r="BC59">
        <v>1</v>
      </c>
      <c r="BD59" s="79" t="str">
        <f>REPLACE(INDEX(GroupVertices[Group],MATCH(Edges[[#This Row],[Vertex 1]],GroupVertices[Vertex],0)),1,1,"")</f>
        <v>13</v>
      </c>
      <c r="BE59" s="79" t="str">
        <f>REPLACE(INDEX(GroupVertices[Group],MATCH(Edges[[#This Row],[Vertex 2]],GroupVertices[Vertex],0)),1,1,"")</f>
        <v>13</v>
      </c>
      <c r="BF59" s="49"/>
      <c r="BG59" s="50"/>
      <c r="BH59" s="49"/>
      <c r="BI59" s="50"/>
      <c r="BJ59" s="49"/>
      <c r="BK59" s="50"/>
      <c r="BL59" s="49"/>
      <c r="BM59" s="50"/>
      <c r="BN59" s="49"/>
    </row>
    <row r="60" spans="1:66" ht="15">
      <c r="A60" s="65" t="s">
        <v>243</v>
      </c>
      <c r="B60" s="65" t="s">
        <v>237</v>
      </c>
      <c r="C60" s="66" t="s">
        <v>2698</v>
      </c>
      <c r="D60" s="67">
        <v>4</v>
      </c>
      <c r="E60" s="68" t="s">
        <v>132</v>
      </c>
      <c r="F60" s="69">
        <v>30</v>
      </c>
      <c r="G60" s="66"/>
      <c r="H60" s="70"/>
      <c r="I60" s="71"/>
      <c r="J60" s="71"/>
      <c r="K60" s="35" t="s">
        <v>65</v>
      </c>
      <c r="L60" s="78">
        <v>60</v>
      </c>
      <c r="M60" s="78"/>
      <c r="N60" s="73"/>
      <c r="O60" s="80" t="s">
        <v>383</v>
      </c>
      <c r="P60" s="82">
        <v>44457.75372685185</v>
      </c>
      <c r="Q60" s="80" t="s">
        <v>401</v>
      </c>
      <c r="R60" s="80"/>
      <c r="S60" s="80"/>
      <c r="T60" s="85" t="s">
        <v>480</v>
      </c>
      <c r="U60" s="83" t="str">
        <f>HYPERLINK("https://pbs.twimg.com/media/E_j8gzSWQAA1Gcx.jpg")</f>
        <v>https://pbs.twimg.com/media/E_j8gzSWQAA1Gcx.jpg</v>
      </c>
      <c r="V60" s="83" t="str">
        <f>HYPERLINK("https://pbs.twimg.com/media/E_j8gzSWQAA1Gcx.jpg")</f>
        <v>https://pbs.twimg.com/media/E_j8gzSWQAA1Gcx.jpg</v>
      </c>
      <c r="W60" s="82">
        <v>44457.75372685185</v>
      </c>
      <c r="X60" s="88">
        <v>44457</v>
      </c>
      <c r="Y60" s="85" t="s">
        <v>547</v>
      </c>
      <c r="Z60" s="83" t="str">
        <f>HYPERLINK("https://twitter.com/gardenpeace9/status/1439289459481141250")</f>
        <v>https://twitter.com/gardenpeace9/status/1439289459481141250</v>
      </c>
      <c r="AA60" s="80"/>
      <c r="AB60" s="80"/>
      <c r="AC60" s="85" t="s">
        <v>720</v>
      </c>
      <c r="AD60" s="80"/>
      <c r="AE60" s="80" t="b">
        <v>0</v>
      </c>
      <c r="AF60" s="80">
        <v>0</v>
      </c>
      <c r="AG60" s="85" t="s">
        <v>871</v>
      </c>
      <c r="AH60" s="80" t="b">
        <v>0</v>
      </c>
      <c r="AI60" s="80" t="s">
        <v>881</v>
      </c>
      <c r="AJ60" s="80"/>
      <c r="AK60" s="85" t="s">
        <v>871</v>
      </c>
      <c r="AL60" s="80" t="b">
        <v>0</v>
      </c>
      <c r="AM60" s="80">
        <v>1</v>
      </c>
      <c r="AN60" s="85" t="s">
        <v>719</v>
      </c>
      <c r="AO60" s="85" t="s">
        <v>889</v>
      </c>
      <c r="AP60" s="80" t="b">
        <v>0</v>
      </c>
      <c r="AQ60" s="85" t="s">
        <v>719</v>
      </c>
      <c r="AR60" s="80" t="s">
        <v>178</v>
      </c>
      <c r="AS60" s="80">
        <v>0</v>
      </c>
      <c r="AT60" s="80">
        <v>0</v>
      </c>
      <c r="AU60" s="80"/>
      <c r="AV60" s="80"/>
      <c r="AW60" s="80"/>
      <c r="AX60" s="80"/>
      <c r="AY60" s="80"/>
      <c r="AZ60" s="80"/>
      <c r="BA60" s="80"/>
      <c r="BB60" s="80"/>
      <c r="BC60">
        <v>1</v>
      </c>
      <c r="BD60" s="79" t="str">
        <f>REPLACE(INDEX(GroupVertices[Group],MATCH(Edges[[#This Row],[Vertex 1]],GroupVertices[Vertex],0)),1,1,"")</f>
        <v>13</v>
      </c>
      <c r="BE60" s="79" t="str">
        <f>REPLACE(INDEX(GroupVertices[Group],MATCH(Edges[[#This Row],[Vertex 2]],GroupVertices[Vertex],0)),1,1,"")</f>
        <v>13</v>
      </c>
      <c r="BF60" s="49">
        <v>0</v>
      </c>
      <c r="BG60" s="50">
        <v>0</v>
      </c>
      <c r="BH60" s="49">
        <v>1</v>
      </c>
      <c r="BI60" s="50">
        <v>4.166666666666667</v>
      </c>
      <c r="BJ60" s="49">
        <v>0</v>
      </c>
      <c r="BK60" s="50">
        <v>0</v>
      </c>
      <c r="BL60" s="49">
        <v>23</v>
      </c>
      <c r="BM60" s="50">
        <v>95.83333333333333</v>
      </c>
      <c r="BN60" s="49">
        <v>24</v>
      </c>
    </row>
    <row r="61" spans="1:66" ht="15">
      <c r="A61" s="65" t="s">
        <v>244</v>
      </c>
      <c r="B61" s="65" t="s">
        <v>362</v>
      </c>
      <c r="C61" s="66" t="s">
        <v>2698</v>
      </c>
      <c r="D61" s="67">
        <v>4</v>
      </c>
      <c r="E61" s="68" t="s">
        <v>132</v>
      </c>
      <c r="F61" s="69">
        <v>30</v>
      </c>
      <c r="G61" s="66"/>
      <c r="H61" s="70"/>
      <c r="I61" s="71"/>
      <c r="J61" s="71"/>
      <c r="K61" s="35" t="s">
        <v>65</v>
      </c>
      <c r="L61" s="78">
        <v>61</v>
      </c>
      <c r="M61" s="78"/>
      <c r="N61" s="73"/>
      <c r="O61" s="80" t="s">
        <v>384</v>
      </c>
      <c r="P61" s="82">
        <v>44451.63564814815</v>
      </c>
      <c r="Q61" s="80" t="s">
        <v>402</v>
      </c>
      <c r="R61" s="83" t="str">
        <f>HYPERLINK("https://piedepagina.mx/tapachula-la-ciudad-prision/")</f>
        <v>https://piedepagina.mx/tapachula-la-ciudad-prision/</v>
      </c>
      <c r="S61" s="80" t="s">
        <v>457</v>
      </c>
      <c r="T61" s="85" t="s">
        <v>481</v>
      </c>
      <c r="U61" s="80"/>
      <c r="V61" s="83" t="str">
        <f>HYPERLINK("https://pbs.twimg.com/profile_images/1109290763538567169/aK6umQ7B_normal.png")</f>
        <v>https://pbs.twimg.com/profile_images/1109290763538567169/aK6umQ7B_normal.png</v>
      </c>
      <c r="W61" s="82">
        <v>44451.63564814815</v>
      </c>
      <c r="X61" s="88">
        <v>44451</v>
      </c>
      <c r="Y61" s="85" t="s">
        <v>548</v>
      </c>
      <c r="Z61" s="83" t="str">
        <f>HYPERLINK("https://twitter.com/pdpagina/status/1437072342056935430")</f>
        <v>https://twitter.com/pdpagina/status/1437072342056935430</v>
      </c>
      <c r="AA61" s="80"/>
      <c r="AB61" s="80"/>
      <c r="AC61" s="85" t="s">
        <v>721</v>
      </c>
      <c r="AD61" s="85" t="s">
        <v>865</v>
      </c>
      <c r="AE61" s="80" t="b">
        <v>0</v>
      </c>
      <c r="AF61" s="80">
        <v>9</v>
      </c>
      <c r="AG61" s="85" t="s">
        <v>873</v>
      </c>
      <c r="AH61" s="80" t="b">
        <v>0</v>
      </c>
      <c r="AI61" s="80" t="s">
        <v>882</v>
      </c>
      <c r="AJ61" s="80"/>
      <c r="AK61" s="85" t="s">
        <v>871</v>
      </c>
      <c r="AL61" s="80" t="b">
        <v>0</v>
      </c>
      <c r="AM61" s="80">
        <v>1</v>
      </c>
      <c r="AN61" s="85" t="s">
        <v>871</v>
      </c>
      <c r="AO61" s="85" t="s">
        <v>893</v>
      </c>
      <c r="AP61" s="80" t="b">
        <v>0</v>
      </c>
      <c r="AQ61" s="85" t="s">
        <v>865</v>
      </c>
      <c r="AR61" s="80" t="s">
        <v>383</v>
      </c>
      <c r="AS61" s="80">
        <v>0</v>
      </c>
      <c r="AT61" s="80">
        <v>0</v>
      </c>
      <c r="AU61" s="80"/>
      <c r="AV61" s="80"/>
      <c r="AW61" s="80"/>
      <c r="AX61" s="80"/>
      <c r="AY61" s="80"/>
      <c r="AZ61" s="80"/>
      <c r="BA61" s="80"/>
      <c r="BB61" s="80"/>
      <c r="BC61">
        <v>1</v>
      </c>
      <c r="BD61" s="79" t="str">
        <f>REPLACE(INDEX(GroupVertices[Group],MATCH(Edges[[#This Row],[Vertex 1]],GroupVertices[Vertex],0)),1,1,"")</f>
        <v>5</v>
      </c>
      <c r="BE61" s="79" t="str">
        <f>REPLACE(INDEX(GroupVertices[Group],MATCH(Edges[[#This Row],[Vertex 2]],GroupVertices[Vertex],0)),1,1,"")</f>
        <v>5</v>
      </c>
      <c r="BF61" s="49"/>
      <c r="BG61" s="50"/>
      <c r="BH61" s="49"/>
      <c r="BI61" s="50"/>
      <c r="BJ61" s="49"/>
      <c r="BK61" s="50"/>
      <c r="BL61" s="49"/>
      <c r="BM61" s="50"/>
      <c r="BN61" s="49"/>
    </row>
    <row r="62" spans="1:66" ht="15">
      <c r="A62" s="65" t="s">
        <v>245</v>
      </c>
      <c r="B62" s="65" t="s">
        <v>362</v>
      </c>
      <c r="C62" s="66" t="s">
        <v>2698</v>
      </c>
      <c r="D62" s="67">
        <v>4</v>
      </c>
      <c r="E62" s="68" t="s">
        <v>132</v>
      </c>
      <c r="F62" s="69">
        <v>30</v>
      </c>
      <c r="G62" s="66"/>
      <c r="H62" s="70"/>
      <c r="I62" s="71"/>
      <c r="J62" s="71"/>
      <c r="K62" s="35" t="s">
        <v>65</v>
      </c>
      <c r="L62" s="78">
        <v>62</v>
      </c>
      <c r="M62" s="78"/>
      <c r="N62" s="73"/>
      <c r="O62" s="80" t="s">
        <v>382</v>
      </c>
      <c r="P62" s="82">
        <v>44457.77077546297</v>
      </c>
      <c r="Q62" s="80" t="s">
        <v>402</v>
      </c>
      <c r="R62" s="83" t="str">
        <f>HYPERLINK("https://piedepagina.mx/tapachula-la-ciudad-prision/")</f>
        <v>https://piedepagina.mx/tapachula-la-ciudad-prision/</v>
      </c>
      <c r="S62" s="80" t="s">
        <v>457</v>
      </c>
      <c r="T62" s="85" t="s">
        <v>481</v>
      </c>
      <c r="U62" s="80"/>
      <c r="V62" s="83" t="str">
        <f>HYPERLINK("https://pbs.twimg.com/profile_images/1136554139/dissonanze_rimabud_normal.jpg")</f>
        <v>https://pbs.twimg.com/profile_images/1136554139/dissonanze_rimabud_normal.jpg</v>
      </c>
      <c r="W62" s="82">
        <v>44457.77077546297</v>
      </c>
      <c r="X62" s="88">
        <v>44457</v>
      </c>
      <c r="Y62" s="85" t="s">
        <v>549</v>
      </c>
      <c r="Z62" s="83" t="str">
        <f>HYPERLINK("https://twitter.com/pepepareja/status/1439295636759883777")</f>
        <v>https://twitter.com/pepepareja/status/1439295636759883777</v>
      </c>
      <c r="AA62" s="80"/>
      <c r="AB62" s="80"/>
      <c r="AC62" s="85" t="s">
        <v>722</v>
      </c>
      <c r="AD62" s="80"/>
      <c r="AE62" s="80" t="b">
        <v>0</v>
      </c>
      <c r="AF62" s="80">
        <v>0</v>
      </c>
      <c r="AG62" s="85" t="s">
        <v>871</v>
      </c>
      <c r="AH62" s="80" t="b">
        <v>0</v>
      </c>
      <c r="AI62" s="80" t="s">
        <v>882</v>
      </c>
      <c r="AJ62" s="80"/>
      <c r="AK62" s="85" t="s">
        <v>871</v>
      </c>
      <c r="AL62" s="80" t="b">
        <v>0</v>
      </c>
      <c r="AM62" s="80">
        <v>1</v>
      </c>
      <c r="AN62" s="85" t="s">
        <v>721</v>
      </c>
      <c r="AO62" s="85" t="s">
        <v>889</v>
      </c>
      <c r="AP62" s="80" t="b">
        <v>0</v>
      </c>
      <c r="AQ62" s="85" t="s">
        <v>721</v>
      </c>
      <c r="AR62" s="80" t="s">
        <v>178</v>
      </c>
      <c r="AS62" s="80">
        <v>0</v>
      </c>
      <c r="AT62" s="80">
        <v>0</v>
      </c>
      <c r="AU62" s="80"/>
      <c r="AV62" s="80"/>
      <c r="AW62" s="80"/>
      <c r="AX62" s="80"/>
      <c r="AY62" s="80"/>
      <c r="AZ62" s="80"/>
      <c r="BA62" s="80"/>
      <c r="BB62" s="80"/>
      <c r="BC62">
        <v>1</v>
      </c>
      <c r="BD62" s="79" t="str">
        <f>REPLACE(INDEX(GroupVertices[Group],MATCH(Edges[[#This Row],[Vertex 1]],GroupVertices[Vertex],0)),1,1,"")</f>
        <v>5</v>
      </c>
      <c r="BE62" s="79" t="str">
        <f>REPLACE(INDEX(GroupVertices[Group],MATCH(Edges[[#This Row],[Vertex 2]],GroupVertices[Vertex],0)),1,1,"")</f>
        <v>5</v>
      </c>
      <c r="BF62" s="49"/>
      <c r="BG62" s="50"/>
      <c r="BH62" s="49"/>
      <c r="BI62" s="50"/>
      <c r="BJ62" s="49"/>
      <c r="BK62" s="50"/>
      <c r="BL62" s="49"/>
      <c r="BM62" s="50"/>
      <c r="BN62" s="49"/>
    </row>
    <row r="63" spans="1:66" ht="15">
      <c r="A63" s="65" t="s">
        <v>244</v>
      </c>
      <c r="B63" s="65" t="s">
        <v>363</v>
      </c>
      <c r="C63" s="66" t="s">
        <v>2698</v>
      </c>
      <c r="D63" s="67">
        <v>4</v>
      </c>
      <c r="E63" s="68" t="s">
        <v>132</v>
      </c>
      <c r="F63" s="69">
        <v>30</v>
      </c>
      <c r="G63" s="66"/>
      <c r="H63" s="70"/>
      <c r="I63" s="71"/>
      <c r="J63" s="71"/>
      <c r="K63" s="35" t="s">
        <v>65</v>
      </c>
      <c r="L63" s="78">
        <v>63</v>
      </c>
      <c r="M63" s="78"/>
      <c r="N63" s="73"/>
      <c r="O63" s="80" t="s">
        <v>384</v>
      </c>
      <c r="P63" s="82">
        <v>44451.63564814815</v>
      </c>
      <c r="Q63" s="80" t="s">
        <v>402</v>
      </c>
      <c r="R63" s="83" t="str">
        <f>HYPERLINK("https://piedepagina.mx/tapachula-la-ciudad-prision/")</f>
        <v>https://piedepagina.mx/tapachula-la-ciudad-prision/</v>
      </c>
      <c r="S63" s="80" t="s">
        <v>457</v>
      </c>
      <c r="T63" s="85" t="s">
        <v>481</v>
      </c>
      <c r="U63" s="80"/>
      <c r="V63" s="83" t="str">
        <f>HYPERLINK("https://pbs.twimg.com/profile_images/1109290763538567169/aK6umQ7B_normal.png")</f>
        <v>https://pbs.twimg.com/profile_images/1109290763538567169/aK6umQ7B_normal.png</v>
      </c>
      <c r="W63" s="82">
        <v>44451.63564814815</v>
      </c>
      <c r="X63" s="88">
        <v>44451</v>
      </c>
      <c r="Y63" s="85" t="s">
        <v>548</v>
      </c>
      <c r="Z63" s="83" t="str">
        <f>HYPERLINK("https://twitter.com/pdpagina/status/1437072342056935430")</f>
        <v>https://twitter.com/pdpagina/status/1437072342056935430</v>
      </c>
      <c r="AA63" s="80"/>
      <c r="AB63" s="80"/>
      <c r="AC63" s="85" t="s">
        <v>721</v>
      </c>
      <c r="AD63" s="85" t="s">
        <v>865</v>
      </c>
      <c r="AE63" s="80" t="b">
        <v>0</v>
      </c>
      <c r="AF63" s="80">
        <v>9</v>
      </c>
      <c r="AG63" s="85" t="s">
        <v>873</v>
      </c>
      <c r="AH63" s="80" t="b">
        <v>0</v>
      </c>
      <c r="AI63" s="80" t="s">
        <v>882</v>
      </c>
      <c r="AJ63" s="80"/>
      <c r="AK63" s="85" t="s">
        <v>871</v>
      </c>
      <c r="AL63" s="80" t="b">
        <v>0</v>
      </c>
      <c r="AM63" s="80">
        <v>1</v>
      </c>
      <c r="AN63" s="85" t="s">
        <v>871</v>
      </c>
      <c r="AO63" s="85" t="s">
        <v>893</v>
      </c>
      <c r="AP63" s="80" t="b">
        <v>0</v>
      </c>
      <c r="AQ63" s="85" t="s">
        <v>865</v>
      </c>
      <c r="AR63" s="80" t="s">
        <v>383</v>
      </c>
      <c r="AS63" s="80">
        <v>0</v>
      </c>
      <c r="AT63" s="80">
        <v>0</v>
      </c>
      <c r="AU63" s="80"/>
      <c r="AV63" s="80"/>
      <c r="AW63" s="80"/>
      <c r="AX63" s="80"/>
      <c r="AY63" s="80"/>
      <c r="AZ63" s="80"/>
      <c r="BA63" s="80"/>
      <c r="BB63" s="80"/>
      <c r="BC63">
        <v>1</v>
      </c>
      <c r="BD63" s="79" t="str">
        <f>REPLACE(INDEX(GroupVertices[Group],MATCH(Edges[[#This Row],[Vertex 1]],GroupVertices[Vertex],0)),1,1,"")</f>
        <v>5</v>
      </c>
      <c r="BE63" s="79" t="str">
        <f>REPLACE(INDEX(GroupVertices[Group],MATCH(Edges[[#This Row],[Vertex 2]],GroupVertices[Vertex],0)),1,1,"")</f>
        <v>5</v>
      </c>
      <c r="BF63" s="49">
        <v>0</v>
      </c>
      <c r="BG63" s="50">
        <v>0</v>
      </c>
      <c r="BH63" s="49">
        <v>0</v>
      </c>
      <c r="BI63" s="50">
        <v>0</v>
      </c>
      <c r="BJ63" s="49">
        <v>0</v>
      </c>
      <c r="BK63" s="50">
        <v>0</v>
      </c>
      <c r="BL63" s="49">
        <v>31</v>
      </c>
      <c r="BM63" s="50">
        <v>100</v>
      </c>
      <c r="BN63" s="49">
        <v>31</v>
      </c>
    </row>
    <row r="64" spans="1:66" ht="15">
      <c r="A64" s="65" t="s">
        <v>245</v>
      </c>
      <c r="B64" s="65" t="s">
        <v>244</v>
      </c>
      <c r="C64" s="66" t="s">
        <v>2698</v>
      </c>
      <c r="D64" s="67">
        <v>4</v>
      </c>
      <c r="E64" s="68" t="s">
        <v>132</v>
      </c>
      <c r="F64" s="69">
        <v>30</v>
      </c>
      <c r="G64" s="66"/>
      <c r="H64" s="70"/>
      <c r="I64" s="71"/>
      <c r="J64" s="71"/>
      <c r="K64" s="35" t="s">
        <v>65</v>
      </c>
      <c r="L64" s="78">
        <v>64</v>
      </c>
      <c r="M64" s="78"/>
      <c r="N64" s="73"/>
      <c r="O64" s="80" t="s">
        <v>383</v>
      </c>
      <c r="P64" s="82">
        <v>44457.77077546297</v>
      </c>
      <c r="Q64" s="80" t="s">
        <v>402</v>
      </c>
      <c r="R64" s="83" t="str">
        <f>HYPERLINK("https://piedepagina.mx/tapachula-la-ciudad-prision/")</f>
        <v>https://piedepagina.mx/tapachula-la-ciudad-prision/</v>
      </c>
      <c r="S64" s="80" t="s">
        <v>457</v>
      </c>
      <c r="T64" s="85" t="s">
        <v>481</v>
      </c>
      <c r="U64" s="80"/>
      <c r="V64" s="83" t="str">
        <f>HYPERLINK("https://pbs.twimg.com/profile_images/1136554139/dissonanze_rimabud_normal.jpg")</f>
        <v>https://pbs.twimg.com/profile_images/1136554139/dissonanze_rimabud_normal.jpg</v>
      </c>
      <c r="W64" s="82">
        <v>44457.77077546297</v>
      </c>
      <c r="X64" s="88">
        <v>44457</v>
      </c>
      <c r="Y64" s="85" t="s">
        <v>549</v>
      </c>
      <c r="Z64" s="83" t="str">
        <f>HYPERLINK("https://twitter.com/pepepareja/status/1439295636759883777")</f>
        <v>https://twitter.com/pepepareja/status/1439295636759883777</v>
      </c>
      <c r="AA64" s="80"/>
      <c r="AB64" s="80"/>
      <c r="AC64" s="85" t="s">
        <v>722</v>
      </c>
      <c r="AD64" s="80"/>
      <c r="AE64" s="80" t="b">
        <v>0</v>
      </c>
      <c r="AF64" s="80">
        <v>0</v>
      </c>
      <c r="AG64" s="85" t="s">
        <v>871</v>
      </c>
      <c r="AH64" s="80" t="b">
        <v>0</v>
      </c>
      <c r="AI64" s="80" t="s">
        <v>882</v>
      </c>
      <c r="AJ64" s="80"/>
      <c r="AK64" s="85" t="s">
        <v>871</v>
      </c>
      <c r="AL64" s="80" t="b">
        <v>0</v>
      </c>
      <c r="AM64" s="80">
        <v>1</v>
      </c>
      <c r="AN64" s="85" t="s">
        <v>721</v>
      </c>
      <c r="AO64" s="85" t="s">
        <v>889</v>
      </c>
      <c r="AP64" s="80" t="b">
        <v>0</v>
      </c>
      <c r="AQ64" s="85" t="s">
        <v>721</v>
      </c>
      <c r="AR64" s="80" t="s">
        <v>178</v>
      </c>
      <c r="AS64" s="80">
        <v>0</v>
      </c>
      <c r="AT64" s="80">
        <v>0</v>
      </c>
      <c r="AU64" s="80"/>
      <c r="AV64" s="80"/>
      <c r="AW64" s="80"/>
      <c r="AX64" s="80"/>
      <c r="AY64" s="80"/>
      <c r="AZ64" s="80"/>
      <c r="BA64" s="80"/>
      <c r="BB64" s="80"/>
      <c r="BC64">
        <v>1</v>
      </c>
      <c r="BD64" s="79" t="str">
        <f>REPLACE(INDEX(GroupVertices[Group],MATCH(Edges[[#This Row],[Vertex 1]],GroupVertices[Vertex],0)),1,1,"")</f>
        <v>5</v>
      </c>
      <c r="BE64" s="79" t="str">
        <f>REPLACE(INDEX(GroupVertices[Group],MATCH(Edges[[#This Row],[Vertex 2]],GroupVertices[Vertex],0)),1,1,"")</f>
        <v>5</v>
      </c>
      <c r="BF64" s="49"/>
      <c r="BG64" s="50"/>
      <c r="BH64" s="49"/>
      <c r="BI64" s="50"/>
      <c r="BJ64" s="49"/>
      <c r="BK64" s="50"/>
      <c r="BL64" s="49"/>
      <c r="BM64" s="50"/>
      <c r="BN64" s="49"/>
    </row>
    <row r="65" spans="1:66" ht="15">
      <c r="A65" s="65" t="s">
        <v>246</v>
      </c>
      <c r="B65" s="65" t="s">
        <v>246</v>
      </c>
      <c r="C65" s="66" t="s">
        <v>2698</v>
      </c>
      <c r="D65" s="67">
        <v>4</v>
      </c>
      <c r="E65" s="68" t="s">
        <v>132</v>
      </c>
      <c r="F65" s="69">
        <v>30</v>
      </c>
      <c r="G65" s="66"/>
      <c r="H65" s="70"/>
      <c r="I65" s="71"/>
      <c r="J65" s="71"/>
      <c r="K65" s="35" t="s">
        <v>65</v>
      </c>
      <c r="L65" s="78">
        <v>65</v>
      </c>
      <c r="M65" s="78"/>
      <c r="N65" s="73"/>
      <c r="O65" s="80" t="s">
        <v>178</v>
      </c>
      <c r="P65" s="82">
        <v>44451.180972222224</v>
      </c>
      <c r="Q65" s="80" t="s">
        <v>403</v>
      </c>
      <c r="R65" s="80"/>
      <c r="S65" s="80"/>
      <c r="T65" s="85" t="s">
        <v>482</v>
      </c>
      <c r="U65" s="83" t="str">
        <f>HYPERLINK("https://pbs.twimg.com/ext_tw_video_thumb/1436907039775657985/pu/img/4JkMcfWlp9SQde_7.jpg")</f>
        <v>https://pbs.twimg.com/ext_tw_video_thumb/1436907039775657985/pu/img/4JkMcfWlp9SQde_7.jpg</v>
      </c>
      <c r="V65" s="83" t="str">
        <f>HYPERLINK("https://pbs.twimg.com/ext_tw_video_thumb/1436907039775657985/pu/img/4JkMcfWlp9SQde_7.jpg")</f>
        <v>https://pbs.twimg.com/ext_tw_video_thumb/1436907039775657985/pu/img/4JkMcfWlp9SQde_7.jpg</v>
      </c>
      <c r="W65" s="82">
        <v>44451.180972222224</v>
      </c>
      <c r="X65" s="88">
        <v>44451</v>
      </c>
      <c r="Y65" s="85" t="s">
        <v>550</v>
      </c>
      <c r="Z65" s="83" t="str">
        <f>HYPERLINK("https://twitter.com/isain/status/1436907573949706240")</f>
        <v>https://twitter.com/isain/status/1436907573949706240</v>
      </c>
      <c r="AA65" s="80"/>
      <c r="AB65" s="80"/>
      <c r="AC65" s="85" t="s">
        <v>723</v>
      </c>
      <c r="AD65" s="80"/>
      <c r="AE65" s="80" t="b">
        <v>0</v>
      </c>
      <c r="AF65" s="80">
        <v>5</v>
      </c>
      <c r="AG65" s="85" t="s">
        <v>871</v>
      </c>
      <c r="AH65" s="80" t="b">
        <v>0</v>
      </c>
      <c r="AI65" s="80" t="s">
        <v>884</v>
      </c>
      <c r="AJ65" s="80"/>
      <c r="AK65" s="85" t="s">
        <v>871</v>
      </c>
      <c r="AL65" s="80" t="b">
        <v>0</v>
      </c>
      <c r="AM65" s="80">
        <v>8</v>
      </c>
      <c r="AN65" s="85" t="s">
        <v>871</v>
      </c>
      <c r="AO65" s="85" t="s">
        <v>890</v>
      </c>
      <c r="AP65" s="80" t="b">
        <v>0</v>
      </c>
      <c r="AQ65" s="85" t="s">
        <v>723</v>
      </c>
      <c r="AR65" s="80" t="s">
        <v>383</v>
      </c>
      <c r="AS65" s="80">
        <v>0</v>
      </c>
      <c r="AT65" s="80">
        <v>0</v>
      </c>
      <c r="AU65" s="80" t="s">
        <v>898</v>
      </c>
      <c r="AV65" s="80" t="s">
        <v>899</v>
      </c>
      <c r="AW65" s="80" t="s">
        <v>900</v>
      </c>
      <c r="AX65" s="80" t="s">
        <v>902</v>
      </c>
      <c r="AY65" s="80" t="s">
        <v>904</v>
      </c>
      <c r="AZ65" s="80" t="s">
        <v>906</v>
      </c>
      <c r="BA65" s="80" t="s">
        <v>907</v>
      </c>
      <c r="BB65" s="83" t="str">
        <f>HYPERLINK("https://api.twitter.com/1.1/geo/id/b462c87ea2b4ff26.json")</f>
        <v>https://api.twitter.com/1.1/geo/id/b462c87ea2b4ff26.json</v>
      </c>
      <c r="BC65">
        <v>1</v>
      </c>
      <c r="BD65" s="79" t="str">
        <f>REPLACE(INDEX(GroupVertices[Group],MATCH(Edges[[#This Row],[Vertex 1]],GroupVertices[Vertex],0)),1,1,"")</f>
        <v>5</v>
      </c>
      <c r="BE65" s="79" t="str">
        <f>REPLACE(INDEX(GroupVertices[Group],MATCH(Edges[[#This Row],[Vertex 2]],GroupVertices[Vertex],0)),1,1,"")</f>
        <v>5</v>
      </c>
      <c r="BF65" s="49">
        <v>0</v>
      </c>
      <c r="BG65" s="50">
        <v>0</v>
      </c>
      <c r="BH65" s="49">
        <v>0</v>
      </c>
      <c r="BI65" s="50">
        <v>0</v>
      </c>
      <c r="BJ65" s="49">
        <v>0</v>
      </c>
      <c r="BK65" s="50">
        <v>0</v>
      </c>
      <c r="BL65" s="49">
        <v>7</v>
      </c>
      <c r="BM65" s="50">
        <v>100</v>
      </c>
      <c r="BN65" s="49">
        <v>7</v>
      </c>
    </row>
    <row r="66" spans="1:66" ht="15">
      <c r="A66" s="65" t="s">
        <v>245</v>
      </c>
      <c r="B66" s="65" t="s">
        <v>246</v>
      </c>
      <c r="C66" s="66" t="s">
        <v>2698</v>
      </c>
      <c r="D66" s="67">
        <v>4</v>
      </c>
      <c r="E66" s="68" t="s">
        <v>132</v>
      </c>
      <c r="F66" s="69">
        <v>30</v>
      </c>
      <c r="G66" s="66"/>
      <c r="H66" s="70"/>
      <c r="I66" s="71"/>
      <c r="J66" s="71"/>
      <c r="K66" s="35" t="s">
        <v>65</v>
      </c>
      <c r="L66" s="78">
        <v>66</v>
      </c>
      <c r="M66" s="78"/>
      <c r="N66" s="73"/>
      <c r="O66" s="80" t="s">
        <v>383</v>
      </c>
      <c r="P66" s="82">
        <v>44457.77085648148</v>
      </c>
      <c r="Q66" s="80" t="s">
        <v>403</v>
      </c>
      <c r="R66" s="80"/>
      <c r="S66" s="80"/>
      <c r="T66" s="85" t="s">
        <v>482</v>
      </c>
      <c r="U66" s="83" t="str">
        <f>HYPERLINK("https://pbs.twimg.com/ext_tw_video_thumb/1436907039775657985/pu/img/4JkMcfWlp9SQde_7.jpg")</f>
        <v>https://pbs.twimg.com/ext_tw_video_thumb/1436907039775657985/pu/img/4JkMcfWlp9SQde_7.jpg</v>
      </c>
      <c r="V66" s="83" t="str">
        <f>HYPERLINK("https://pbs.twimg.com/ext_tw_video_thumb/1436907039775657985/pu/img/4JkMcfWlp9SQde_7.jpg")</f>
        <v>https://pbs.twimg.com/ext_tw_video_thumb/1436907039775657985/pu/img/4JkMcfWlp9SQde_7.jpg</v>
      </c>
      <c r="W66" s="82">
        <v>44457.77085648148</v>
      </c>
      <c r="X66" s="88">
        <v>44457</v>
      </c>
      <c r="Y66" s="85" t="s">
        <v>551</v>
      </c>
      <c r="Z66" s="83" t="str">
        <f>HYPERLINK("https://twitter.com/pepepareja/status/1439295666082271238")</f>
        <v>https://twitter.com/pepepareja/status/1439295666082271238</v>
      </c>
      <c r="AA66" s="80"/>
      <c r="AB66" s="80"/>
      <c r="AC66" s="85" t="s">
        <v>724</v>
      </c>
      <c r="AD66" s="80"/>
      <c r="AE66" s="80" t="b">
        <v>0</v>
      </c>
      <c r="AF66" s="80">
        <v>0</v>
      </c>
      <c r="AG66" s="85" t="s">
        <v>871</v>
      </c>
      <c r="AH66" s="80" t="b">
        <v>0</v>
      </c>
      <c r="AI66" s="80" t="s">
        <v>884</v>
      </c>
      <c r="AJ66" s="80"/>
      <c r="AK66" s="85" t="s">
        <v>871</v>
      </c>
      <c r="AL66" s="80" t="b">
        <v>0</v>
      </c>
      <c r="AM66" s="80">
        <v>8</v>
      </c>
      <c r="AN66" s="85" t="s">
        <v>723</v>
      </c>
      <c r="AO66" s="85" t="s">
        <v>889</v>
      </c>
      <c r="AP66" s="80" t="b">
        <v>0</v>
      </c>
      <c r="AQ66" s="85" t="s">
        <v>723</v>
      </c>
      <c r="AR66" s="80" t="s">
        <v>178</v>
      </c>
      <c r="AS66" s="80">
        <v>0</v>
      </c>
      <c r="AT66" s="80">
        <v>0</v>
      </c>
      <c r="AU66" s="80"/>
      <c r="AV66" s="80"/>
      <c r="AW66" s="80"/>
      <c r="AX66" s="80"/>
      <c r="AY66" s="80"/>
      <c r="AZ66" s="80"/>
      <c r="BA66" s="80"/>
      <c r="BB66" s="80"/>
      <c r="BC66">
        <v>1</v>
      </c>
      <c r="BD66" s="79" t="str">
        <f>REPLACE(INDEX(GroupVertices[Group],MATCH(Edges[[#This Row],[Vertex 1]],GroupVertices[Vertex],0)),1,1,"")</f>
        <v>5</v>
      </c>
      <c r="BE66" s="79" t="str">
        <f>REPLACE(INDEX(GroupVertices[Group],MATCH(Edges[[#This Row],[Vertex 2]],GroupVertices[Vertex],0)),1,1,"")</f>
        <v>5</v>
      </c>
      <c r="BF66" s="49">
        <v>0</v>
      </c>
      <c r="BG66" s="50">
        <v>0</v>
      </c>
      <c r="BH66" s="49">
        <v>0</v>
      </c>
      <c r="BI66" s="50">
        <v>0</v>
      </c>
      <c r="BJ66" s="49">
        <v>0</v>
      </c>
      <c r="BK66" s="50">
        <v>0</v>
      </c>
      <c r="BL66" s="49">
        <v>7</v>
      </c>
      <c r="BM66" s="50">
        <v>100</v>
      </c>
      <c r="BN66" s="49">
        <v>7</v>
      </c>
    </row>
    <row r="67" spans="1:66" ht="15">
      <c r="A67" s="65" t="s">
        <v>245</v>
      </c>
      <c r="B67" s="65" t="s">
        <v>363</v>
      </c>
      <c r="C67" s="66" t="s">
        <v>2698</v>
      </c>
      <c r="D67" s="67">
        <v>4</v>
      </c>
      <c r="E67" s="68" t="s">
        <v>132</v>
      </c>
      <c r="F67" s="69">
        <v>30</v>
      </c>
      <c r="G67" s="66"/>
      <c r="H67" s="70"/>
      <c r="I67" s="71"/>
      <c r="J67" s="71"/>
      <c r="K67" s="35" t="s">
        <v>65</v>
      </c>
      <c r="L67" s="78">
        <v>67</v>
      </c>
      <c r="M67" s="78"/>
      <c r="N67" s="73"/>
      <c r="O67" s="80" t="s">
        <v>382</v>
      </c>
      <c r="P67" s="82">
        <v>44457.77077546297</v>
      </c>
      <c r="Q67" s="80" t="s">
        <v>402</v>
      </c>
      <c r="R67" s="83" t="str">
        <f>HYPERLINK("https://piedepagina.mx/tapachula-la-ciudad-prision/")</f>
        <v>https://piedepagina.mx/tapachula-la-ciudad-prision/</v>
      </c>
      <c r="S67" s="80" t="s">
        <v>457</v>
      </c>
      <c r="T67" s="85" t="s">
        <v>481</v>
      </c>
      <c r="U67" s="80"/>
      <c r="V67" s="83" t="str">
        <f>HYPERLINK("https://pbs.twimg.com/profile_images/1136554139/dissonanze_rimabud_normal.jpg")</f>
        <v>https://pbs.twimg.com/profile_images/1136554139/dissonanze_rimabud_normal.jpg</v>
      </c>
      <c r="W67" s="82">
        <v>44457.77077546297</v>
      </c>
      <c r="X67" s="88">
        <v>44457</v>
      </c>
      <c r="Y67" s="85" t="s">
        <v>549</v>
      </c>
      <c r="Z67" s="83" t="str">
        <f>HYPERLINK("https://twitter.com/pepepareja/status/1439295636759883777")</f>
        <v>https://twitter.com/pepepareja/status/1439295636759883777</v>
      </c>
      <c r="AA67" s="80"/>
      <c r="AB67" s="80"/>
      <c r="AC67" s="85" t="s">
        <v>722</v>
      </c>
      <c r="AD67" s="80"/>
      <c r="AE67" s="80" t="b">
        <v>0</v>
      </c>
      <c r="AF67" s="80">
        <v>0</v>
      </c>
      <c r="AG67" s="85" t="s">
        <v>871</v>
      </c>
      <c r="AH67" s="80" t="b">
        <v>0</v>
      </c>
      <c r="AI67" s="80" t="s">
        <v>882</v>
      </c>
      <c r="AJ67" s="80"/>
      <c r="AK67" s="85" t="s">
        <v>871</v>
      </c>
      <c r="AL67" s="80" t="b">
        <v>0</v>
      </c>
      <c r="AM67" s="80">
        <v>1</v>
      </c>
      <c r="AN67" s="85" t="s">
        <v>721</v>
      </c>
      <c r="AO67" s="85" t="s">
        <v>889</v>
      </c>
      <c r="AP67" s="80" t="b">
        <v>0</v>
      </c>
      <c r="AQ67" s="85" t="s">
        <v>721</v>
      </c>
      <c r="AR67" s="80" t="s">
        <v>178</v>
      </c>
      <c r="AS67" s="80">
        <v>0</v>
      </c>
      <c r="AT67" s="80">
        <v>0</v>
      </c>
      <c r="AU67" s="80"/>
      <c r="AV67" s="80"/>
      <c r="AW67" s="80"/>
      <c r="AX67" s="80"/>
      <c r="AY67" s="80"/>
      <c r="AZ67" s="80"/>
      <c r="BA67" s="80"/>
      <c r="BB67" s="80"/>
      <c r="BC67">
        <v>1</v>
      </c>
      <c r="BD67" s="79" t="str">
        <f>REPLACE(INDEX(GroupVertices[Group],MATCH(Edges[[#This Row],[Vertex 1]],GroupVertices[Vertex],0)),1,1,"")</f>
        <v>5</v>
      </c>
      <c r="BE67" s="79" t="str">
        <f>REPLACE(INDEX(GroupVertices[Group],MATCH(Edges[[#This Row],[Vertex 2]],GroupVertices[Vertex],0)),1,1,"")</f>
        <v>5</v>
      </c>
      <c r="BF67" s="49">
        <v>0</v>
      </c>
      <c r="BG67" s="50">
        <v>0</v>
      </c>
      <c r="BH67" s="49">
        <v>0</v>
      </c>
      <c r="BI67" s="50">
        <v>0</v>
      </c>
      <c r="BJ67" s="49">
        <v>0</v>
      </c>
      <c r="BK67" s="50">
        <v>0</v>
      </c>
      <c r="BL67" s="49">
        <v>31</v>
      </c>
      <c r="BM67" s="50">
        <v>100</v>
      </c>
      <c r="BN67" s="49">
        <v>31</v>
      </c>
    </row>
    <row r="68" spans="1:66" ht="15">
      <c r="A68" s="65" t="s">
        <v>247</v>
      </c>
      <c r="B68" s="65" t="s">
        <v>364</v>
      </c>
      <c r="C68" s="66" t="s">
        <v>2698</v>
      </c>
      <c r="D68" s="67">
        <v>4</v>
      </c>
      <c r="E68" s="68" t="s">
        <v>132</v>
      </c>
      <c r="F68" s="69">
        <v>30</v>
      </c>
      <c r="G68" s="66"/>
      <c r="H68" s="70"/>
      <c r="I68" s="71"/>
      <c r="J68" s="71"/>
      <c r="K68" s="35" t="s">
        <v>65</v>
      </c>
      <c r="L68" s="78">
        <v>68</v>
      </c>
      <c r="M68" s="78"/>
      <c r="N68" s="73"/>
      <c r="O68" s="80" t="s">
        <v>384</v>
      </c>
      <c r="P68" s="82">
        <v>44457.87642361111</v>
      </c>
      <c r="Q68" s="80" t="s">
        <v>404</v>
      </c>
      <c r="R68" s="83" t="str">
        <f>HYPERLINK("https://www.youtube.com/watch?v=abKSyMU9OvY&amp;feature=youtu.be")</f>
        <v>https://www.youtube.com/watch?v=abKSyMU9OvY&amp;feature=youtu.be</v>
      </c>
      <c r="S68" s="80" t="s">
        <v>458</v>
      </c>
      <c r="T68" s="85" t="s">
        <v>483</v>
      </c>
      <c r="U68" s="80"/>
      <c r="V68" s="83" t="str">
        <f>HYPERLINK("https://pbs.twimg.com/profile_images/827173674352418816/dx9M0uxU_normal.jpg")</f>
        <v>https://pbs.twimg.com/profile_images/827173674352418816/dx9M0uxU_normal.jpg</v>
      </c>
      <c r="W68" s="82">
        <v>44457.87642361111</v>
      </c>
      <c r="X68" s="88">
        <v>44457</v>
      </c>
      <c r="Y68" s="85" t="s">
        <v>552</v>
      </c>
      <c r="Z68" s="83" t="str">
        <f>HYPERLINK("https://twitter.com/dalealplaymx/status/1439333923004223491")</f>
        <v>https://twitter.com/dalealplaymx/status/1439333923004223491</v>
      </c>
      <c r="AA68" s="80"/>
      <c r="AB68" s="80"/>
      <c r="AC68" s="85" t="s">
        <v>725</v>
      </c>
      <c r="AD68" s="80"/>
      <c r="AE68" s="80" t="b">
        <v>0</v>
      </c>
      <c r="AF68" s="80">
        <v>0</v>
      </c>
      <c r="AG68" s="85" t="s">
        <v>871</v>
      </c>
      <c r="AH68" s="80" t="b">
        <v>0</v>
      </c>
      <c r="AI68" s="80" t="s">
        <v>882</v>
      </c>
      <c r="AJ68" s="80"/>
      <c r="AK68" s="85" t="s">
        <v>871</v>
      </c>
      <c r="AL68" s="80" t="b">
        <v>0</v>
      </c>
      <c r="AM68" s="80">
        <v>0</v>
      </c>
      <c r="AN68" s="85" t="s">
        <v>871</v>
      </c>
      <c r="AO68" s="85" t="s">
        <v>891</v>
      </c>
      <c r="AP68" s="80" t="b">
        <v>0</v>
      </c>
      <c r="AQ68" s="85" t="s">
        <v>725</v>
      </c>
      <c r="AR68" s="80" t="s">
        <v>178</v>
      </c>
      <c r="AS68" s="80">
        <v>0</v>
      </c>
      <c r="AT68" s="80">
        <v>0</v>
      </c>
      <c r="AU68" s="80"/>
      <c r="AV68" s="80"/>
      <c r="AW68" s="80"/>
      <c r="AX68" s="80"/>
      <c r="AY68" s="80"/>
      <c r="AZ68" s="80"/>
      <c r="BA68" s="80"/>
      <c r="BB68" s="80"/>
      <c r="BC68">
        <v>1</v>
      </c>
      <c r="BD68" s="79" t="str">
        <f>REPLACE(INDEX(GroupVertices[Group],MATCH(Edges[[#This Row],[Vertex 1]],GroupVertices[Vertex],0)),1,1,"")</f>
        <v>24</v>
      </c>
      <c r="BE68" s="79" t="str">
        <f>REPLACE(INDEX(GroupVertices[Group],MATCH(Edges[[#This Row],[Vertex 2]],GroupVertices[Vertex],0)),1,1,"")</f>
        <v>24</v>
      </c>
      <c r="BF68" s="49">
        <v>0</v>
      </c>
      <c r="BG68" s="50">
        <v>0</v>
      </c>
      <c r="BH68" s="49">
        <v>0</v>
      </c>
      <c r="BI68" s="50">
        <v>0</v>
      </c>
      <c r="BJ68" s="49">
        <v>0</v>
      </c>
      <c r="BK68" s="50">
        <v>0</v>
      </c>
      <c r="BL68" s="49">
        <v>20</v>
      </c>
      <c r="BM68" s="50">
        <v>100</v>
      </c>
      <c r="BN68" s="49">
        <v>20</v>
      </c>
    </row>
    <row r="69" spans="1:66" ht="15">
      <c r="A69" s="65" t="s">
        <v>248</v>
      </c>
      <c r="B69" s="65" t="s">
        <v>365</v>
      </c>
      <c r="C69" s="66" t="s">
        <v>2699</v>
      </c>
      <c r="D69" s="67">
        <v>10</v>
      </c>
      <c r="E69" s="68" t="s">
        <v>132</v>
      </c>
      <c r="F69" s="69">
        <v>10</v>
      </c>
      <c r="G69" s="66"/>
      <c r="H69" s="70"/>
      <c r="I69" s="71"/>
      <c r="J69" s="71"/>
      <c r="K69" s="35" t="s">
        <v>65</v>
      </c>
      <c r="L69" s="78">
        <v>69</v>
      </c>
      <c r="M69" s="78"/>
      <c r="N69" s="73"/>
      <c r="O69" s="80" t="s">
        <v>384</v>
      </c>
      <c r="P69" s="82">
        <v>44457.85769675926</v>
      </c>
      <c r="Q69" s="80" t="s">
        <v>405</v>
      </c>
      <c r="R69" s="83" t="str">
        <f>HYPERLINK("https://quintanaroo.quadratin.com.mx/agentes-del-inm-disparan-pistola-electrica-contra-haitiano-en-veracruz/")</f>
        <v>https://quintanaroo.quadratin.com.mx/agentes-del-inm-disparan-pistola-electrica-contra-haitiano-en-veracruz/</v>
      </c>
      <c r="S69" s="80" t="s">
        <v>451</v>
      </c>
      <c r="T69" s="85" t="s">
        <v>484</v>
      </c>
      <c r="U69" s="80"/>
      <c r="V69" s="83" t="str">
        <f>HYPERLINK("https://pbs.twimg.com/profile_images/825813643883401217/e4e_ZHoq_normal.jpg")</f>
        <v>https://pbs.twimg.com/profile_images/825813643883401217/e4e_ZHoq_normal.jpg</v>
      </c>
      <c r="W69" s="82">
        <v>44457.85769675926</v>
      </c>
      <c r="X69" s="88">
        <v>44457</v>
      </c>
      <c r="Y69" s="85" t="s">
        <v>553</v>
      </c>
      <c r="Z69" s="83" t="str">
        <f>HYPERLINK("https://twitter.com/foforo99/status/1439327136096169987")</f>
        <v>https://twitter.com/foforo99/status/1439327136096169987</v>
      </c>
      <c r="AA69" s="80"/>
      <c r="AB69" s="80"/>
      <c r="AC69" s="85" t="s">
        <v>726</v>
      </c>
      <c r="AD69" s="80"/>
      <c r="AE69" s="80" t="b">
        <v>0</v>
      </c>
      <c r="AF69" s="80">
        <v>0</v>
      </c>
      <c r="AG69" s="85" t="s">
        <v>871</v>
      </c>
      <c r="AH69" s="80" t="b">
        <v>0</v>
      </c>
      <c r="AI69" s="80" t="s">
        <v>882</v>
      </c>
      <c r="AJ69" s="80"/>
      <c r="AK69" s="85" t="s">
        <v>871</v>
      </c>
      <c r="AL69" s="80" t="b">
        <v>0</v>
      </c>
      <c r="AM69" s="80">
        <v>1</v>
      </c>
      <c r="AN69" s="85" t="s">
        <v>871</v>
      </c>
      <c r="AO69" s="85" t="s">
        <v>889</v>
      </c>
      <c r="AP69" s="80" t="b">
        <v>0</v>
      </c>
      <c r="AQ69" s="85" t="s">
        <v>726</v>
      </c>
      <c r="AR69" s="80" t="s">
        <v>178</v>
      </c>
      <c r="AS69" s="80">
        <v>0</v>
      </c>
      <c r="AT69" s="80">
        <v>0</v>
      </c>
      <c r="AU69" s="80"/>
      <c r="AV69" s="80"/>
      <c r="AW69" s="80"/>
      <c r="AX69" s="80"/>
      <c r="AY69" s="80"/>
      <c r="AZ69" s="80"/>
      <c r="BA69" s="80"/>
      <c r="BB69" s="80"/>
      <c r="BC69">
        <v>4</v>
      </c>
      <c r="BD69" s="79" t="str">
        <f>REPLACE(INDEX(GroupVertices[Group],MATCH(Edges[[#This Row],[Vertex 1]],GroupVertices[Vertex],0)),1,1,"")</f>
        <v>12</v>
      </c>
      <c r="BE69" s="79" t="str">
        <f>REPLACE(INDEX(GroupVertices[Group],MATCH(Edges[[#This Row],[Vertex 2]],GroupVertices[Vertex],0)),1,1,"")</f>
        <v>12</v>
      </c>
      <c r="BF69" s="49"/>
      <c r="BG69" s="50"/>
      <c r="BH69" s="49"/>
      <c r="BI69" s="50"/>
      <c r="BJ69" s="49"/>
      <c r="BK69" s="50"/>
      <c r="BL69" s="49"/>
      <c r="BM69" s="50"/>
      <c r="BN69" s="49"/>
    </row>
    <row r="70" spans="1:66" ht="15">
      <c r="A70" s="65" t="s">
        <v>248</v>
      </c>
      <c r="B70" s="65" t="s">
        <v>365</v>
      </c>
      <c r="C70" s="66" t="s">
        <v>2699</v>
      </c>
      <c r="D70" s="67">
        <v>10</v>
      </c>
      <c r="E70" s="68" t="s">
        <v>132</v>
      </c>
      <c r="F70" s="69">
        <v>10</v>
      </c>
      <c r="G70" s="66"/>
      <c r="H70" s="70"/>
      <c r="I70" s="71"/>
      <c r="J70" s="71"/>
      <c r="K70" s="35" t="s">
        <v>65</v>
      </c>
      <c r="L70" s="78">
        <v>70</v>
      </c>
      <c r="M70" s="78"/>
      <c r="N70" s="73"/>
      <c r="O70" s="80" t="s">
        <v>382</v>
      </c>
      <c r="P70" s="82">
        <v>44457.95695601852</v>
      </c>
      <c r="Q70" s="80" t="s">
        <v>405</v>
      </c>
      <c r="R70" s="83" t="str">
        <f>HYPERLINK("https://quintanaroo.quadratin.com.mx/agentes-del-inm-disparan-pistola-electrica-contra-haitiano-en-veracruz/")</f>
        <v>https://quintanaroo.quadratin.com.mx/agentes-del-inm-disparan-pistola-electrica-contra-haitiano-en-veracruz/</v>
      </c>
      <c r="S70" s="80" t="s">
        <v>451</v>
      </c>
      <c r="T70" s="85" t="s">
        <v>484</v>
      </c>
      <c r="U70" s="80"/>
      <c r="V70" s="83" t="str">
        <f>HYPERLINK("https://pbs.twimg.com/profile_images/825813643883401217/e4e_ZHoq_normal.jpg")</f>
        <v>https://pbs.twimg.com/profile_images/825813643883401217/e4e_ZHoq_normal.jpg</v>
      </c>
      <c r="W70" s="82">
        <v>44457.95695601852</v>
      </c>
      <c r="X70" s="88">
        <v>44457</v>
      </c>
      <c r="Y70" s="85" t="s">
        <v>554</v>
      </c>
      <c r="Z70" s="83" t="str">
        <f>HYPERLINK("https://twitter.com/foforo99/status/1439363109328769028")</f>
        <v>https://twitter.com/foforo99/status/1439363109328769028</v>
      </c>
      <c r="AA70" s="80"/>
      <c r="AB70" s="80"/>
      <c r="AC70" s="85" t="s">
        <v>727</v>
      </c>
      <c r="AD70" s="80"/>
      <c r="AE70" s="80" t="b">
        <v>0</v>
      </c>
      <c r="AF70" s="80">
        <v>0</v>
      </c>
      <c r="AG70" s="85" t="s">
        <v>871</v>
      </c>
      <c r="AH70" s="80" t="b">
        <v>0</v>
      </c>
      <c r="AI70" s="80" t="s">
        <v>882</v>
      </c>
      <c r="AJ70" s="80"/>
      <c r="AK70" s="85" t="s">
        <v>871</v>
      </c>
      <c r="AL70" s="80" t="b">
        <v>0</v>
      </c>
      <c r="AM70" s="80">
        <v>1</v>
      </c>
      <c r="AN70" s="85" t="s">
        <v>726</v>
      </c>
      <c r="AO70" s="85" t="s">
        <v>889</v>
      </c>
      <c r="AP70" s="80" t="b">
        <v>0</v>
      </c>
      <c r="AQ70" s="85" t="s">
        <v>726</v>
      </c>
      <c r="AR70" s="80" t="s">
        <v>178</v>
      </c>
      <c r="AS70" s="80">
        <v>0</v>
      </c>
      <c r="AT70" s="80">
        <v>0</v>
      </c>
      <c r="AU70" s="80"/>
      <c r="AV70" s="80"/>
      <c r="AW70" s="80"/>
      <c r="AX70" s="80"/>
      <c r="AY70" s="80"/>
      <c r="AZ70" s="80"/>
      <c r="BA70" s="80"/>
      <c r="BB70" s="80"/>
      <c r="BC70">
        <v>4</v>
      </c>
      <c r="BD70" s="79" t="str">
        <f>REPLACE(INDEX(GroupVertices[Group],MATCH(Edges[[#This Row],[Vertex 1]],GroupVertices[Vertex],0)),1,1,"")</f>
        <v>12</v>
      </c>
      <c r="BE70" s="79" t="str">
        <f>REPLACE(INDEX(GroupVertices[Group],MATCH(Edges[[#This Row],[Vertex 2]],GroupVertices[Vertex],0)),1,1,"")</f>
        <v>12</v>
      </c>
      <c r="BF70" s="49"/>
      <c r="BG70" s="50"/>
      <c r="BH70" s="49"/>
      <c r="BI70" s="50"/>
      <c r="BJ70" s="49"/>
      <c r="BK70" s="50"/>
      <c r="BL70" s="49"/>
      <c r="BM70" s="50"/>
      <c r="BN70" s="49"/>
    </row>
    <row r="71" spans="1:66" ht="15">
      <c r="A71" s="65" t="s">
        <v>248</v>
      </c>
      <c r="B71" s="65" t="s">
        <v>366</v>
      </c>
      <c r="C71" s="66" t="s">
        <v>2699</v>
      </c>
      <c r="D71" s="67">
        <v>10</v>
      </c>
      <c r="E71" s="68" t="s">
        <v>132</v>
      </c>
      <c r="F71" s="69">
        <v>10</v>
      </c>
      <c r="G71" s="66"/>
      <c r="H71" s="70"/>
      <c r="I71" s="71"/>
      <c r="J71" s="71"/>
      <c r="K71" s="35" t="s">
        <v>65</v>
      </c>
      <c r="L71" s="78">
        <v>71</v>
      </c>
      <c r="M71" s="78"/>
      <c r="N71" s="73"/>
      <c r="O71" s="80" t="s">
        <v>384</v>
      </c>
      <c r="P71" s="82">
        <v>44457.85769675926</v>
      </c>
      <c r="Q71" s="80" t="s">
        <v>405</v>
      </c>
      <c r="R71" s="83" t="str">
        <f>HYPERLINK("https://quintanaroo.quadratin.com.mx/agentes-del-inm-disparan-pistola-electrica-contra-haitiano-en-veracruz/")</f>
        <v>https://quintanaroo.quadratin.com.mx/agentes-del-inm-disparan-pistola-electrica-contra-haitiano-en-veracruz/</v>
      </c>
      <c r="S71" s="80" t="s">
        <v>451</v>
      </c>
      <c r="T71" s="85" t="s">
        <v>484</v>
      </c>
      <c r="U71" s="80"/>
      <c r="V71" s="83" t="str">
        <f>HYPERLINK("https://pbs.twimg.com/profile_images/825813643883401217/e4e_ZHoq_normal.jpg")</f>
        <v>https://pbs.twimg.com/profile_images/825813643883401217/e4e_ZHoq_normal.jpg</v>
      </c>
      <c r="W71" s="82">
        <v>44457.85769675926</v>
      </c>
      <c r="X71" s="88">
        <v>44457</v>
      </c>
      <c r="Y71" s="85" t="s">
        <v>553</v>
      </c>
      <c r="Z71" s="83" t="str">
        <f>HYPERLINK("https://twitter.com/foforo99/status/1439327136096169987")</f>
        <v>https://twitter.com/foforo99/status/1439327136096169987</v>
      </c>
      <c r="AA71" s="80"/>
      <c r="AB71" s="80"/>
      <c r="AC71" s="85" t="s">
        <v>726</v>
      </c>
      <c r="AD71" s="80"/>
      <c r="AE71" s="80" t="b">
        <v>0</v>
      </c>
      <c r="AF71" s="80">
        <v>0</v>
      </c>
      <c r="AG71" s="85" t="s">
        <v>871</v>
      </c>
      <c r="AH71" s="80" t="b">
        <v>0</v>
      </c>
      <c r="AI71" s="80" t="s">
        <v>882</v>
      </c>
      <c r="AJ71" s="80"/>
      <c r="AK71" s="85" t="s">
        <v>871</v>
      </c>
      <c r="AL71" s="80" t="b">
        <v>0</v>
      </c>
      <c r="AM71" s="80">
        <v>1</v>
      </c>
      <c r="AN71" s="85" t="s">
        <v>871</v>
      </c>
      <c r="AO71" s="85" t="s">
        <v>889</v>
      </c>
      <c r="AP71" s="80" t="b">
        <v>0</v>
      </c>
      <c r="AQ71" s="85" t="s">
        <v>726</v>
      </c>
      <c r="AR71" s="80" t="s">
        <v>178</v>
      </c>
      <c r="AS71" s="80">
        <v>0</v>
      </c>
      <c r="AT71" s="80">
        <v>0</v>
      </c>
      <c r="AU71" s="80"/>
      <c r="AV71" s="80"/>
      <c r="AW71" s="80"/>
      <c r="AX71" s="80"/>
      <c r="AY71" s="80"/>
      <c r="AZ71" s="80"/>
      <c r="BA71" s="80"/>
      <c r="BB71" s="80"/>
      <c r="BC71">
        <v>4</v>
      </c>
      <c r="BD71" s="79" t="str">
        <f>REPLACE(INDEX(GroupVertices[Group],MATCH(Edges[[#This Row],[Vertex 1]],GroupVertices[Vertex],0)),1,1,"")</f>
        <v>12</v>
      </c>
      <c r="BE71" s="79" t="str">
        <f>REPLACE(INDEX(GroupVertices[Group],MATCH(Edges[[#This Row],[Vertex 2]],GroupVertices[Vertex],0)),1,1,"")</f>
        <v>12</v>
      </c>
      <c r="BF71" s="49"/>
      <c r="BG71" s="50"/>
      <c r="BH71" s="49"/>
      <c r="BI71" s="50"/>
      <c r="BJ71" s="49"/>
      <c r="BK71" s="50"/>
      <c r="BL71" s="49"/>
      <c r="BM71" s="50"/>
      <c r="BN71" s="49"/>
    </row>
    <row r="72" spans="1:66" ht="15">
      <c r="A72" s="65" t="s">
        <v>248</v>
      </c>
      <c r="B72" s="65" t="s">
        <v>366</v>
      </c>
      <c r="C72" s="66" t="s">
        <v>2699</v>
      </c>
      <c r="D72" s="67">
        <v>10</v>
      </c>
      <c r="E72" s="68" t="s">
        <v>132</v>
      </c>
      <c r="F72" s="69">
        <v>10</v>
      </c>
      <c r="G72" s="66"/>
      <c r="H72" s="70"/>
      <c r="I72" s="71"/>
      <c r="J72" s="71"/>
      <c r="K72" s="35" t="s">
        <v>65</v>
      </c>
      <c r="L72" s="78">
        <v>72</v>
      </c>
      <c r="M72" s="78"/>
      <c r="N72" s="73"/>
      <c r="O72" s="80" t="s">
        <v>382</v>
      </c>
      <c r="P72" s="82">
        <v>44457.95695601852</v>
      </c>
      <c r="Q72" s="80" t="s">
        <v>405</v>
      </c>
      <c r="R72" s="83" t="str">
        <f>HYPERLINK("https://quintanaroo.quadratin.com.mx/agentes-del-inm-disparan-pistola-electrica-contra-haitiano-en-veracruz/")</f>
        <v>https://quintanaroo.quadratin.com.mx/agentes-del-inm-disparan-pistola-electrica-contra-haitiano-en-veracruz/</v>
      </c>
      <c r="S72" s="80" t="s">
        <v>451</v>
      </c>
      <c r="T72" s="85" t="s">
        <v>484</v>
      </c>
      <c r="U72" s="80"/>
      <c r="V72" s="83" t="str">
        <f>HYPERLINK("https://pbs.twimg.com/profile_images/825813643883401217/e4e_ZHoq_normal.jpg")</f>
        <v>https://pbs.twimg.com/profile_images/825813643883401217/e4e_ZHoq_normal.jpg</v>
      </c>
      <c r="W72" s="82">
        <v>44457.95695601852</v>
      </c>
      <c r="X72" s="88">
        <v>44457</v>
      </c>
      <c r="Y72" s="85" t="s">
        <v>554</v>
      </c>
      <c r="Z72" s="83" t="str">
        <f>HYPERLINK("https://twitter.com/foforo99/status/1439363109328769028")</f>
        <v>https://twitter.com/foforo99/status/1439363109328769028</v>
      </c>
      <c r="AA72" s="80"/>
      <c r="AB72" s="80"/>
      <c r="AC72" s="85" t="s">
        <v>727</v>
      </c>
      <c r="AD72" s="80"/>
      <c r="AE72" s="80" t="b">
        <v>0</v>
      </c>
      <c r="AF72" s="80">
        <v>0</v>
      </c>
      <c r="AG72" s="85" t="s">
        <v>871</v>
      </c>
      <c r="AH72" s="80" t="b">
        <v>0</v>
      </c>
      <c r="AI72" s="80" t="s">
        <v>882</v>
      </c>
      <c r="AJ72" s="80"/>
      <c r="AK72" s="85" t="s">
        <v>871</v>
      </c>
      <c r="AL72" s="80" t="b">
        <v>0</v>
      </c>
      <c r="AM72" s="80">
        <v>1</v>
      </c>
      <c r="AN72" s="85" t="s">
        <v>726</v>
      </c>
      <c r="AO72" s="85" t="s">
        <v>889</v>
      </c>
      <c r="AP72" s="80" t="b">
        <v>0</v>
      </c>
      <c r="AQ72" s="85" t="s">
        <v>726</v>
      </c>
      <c r="AR72" s="80" t="s">
        <v>178</v>
      </c>
      <c r="AS72" s="80">
        <v>0</v>
      </c>
      <c r="AT72" s="80">
        <v>0</v>
      </c>
      <c r="AU72" s="80"/>
      <c r="AV72" s="80"/>
      <c r="AW72" s="80"/>
      <c r="AX72" s="80"/>
      <c r="AY72" s="80"/>
      <c r="AZ72" s="80"/>
      <c r="BA72" s="80"/>
      <c r="BB72" s="80"/>
      <c r="BC72">
        <v>4</v>
      </c>
      <c r="BD72" s="79" t="str">
        <f>REPLACE(INDEX(GroupVertices[Group],MATCH(Edges[[#This Row],[Vertex 1]],GroupVertices[Vertex],0)),1,1,"")</f>
        <v>12</v>
      </c>
      <c r="BE72" s="79" t="str">
        <f>REPLACE(INDEX(GroupVertices[Group],MATCH(Edges[[#This Row],[Vertex 2]],GroupVertices[Vertex],0)),1,1,"")</f>
        <v>12</v>
      </c>
      <c r="BF72" s="49"/>
      <c r="BG72" s="50"/>
      <c r="BH72" s="49"/>
      <c r="BI72" s="50"/>
      <c r="BJ72" s="49"/>
      <c r="BK72" s="50"/>
      <c r="BL72" s="49"/>
      <c r="BM72" s="50"/>
      <c r="BN72" s="49"/>
    </row>
    <row r="73" spans="1:66" ht="15">
      <c r="A73" s="65" t="s">
        <v>248</v>
      </c>
      <c r="B73" s="65" t="s">
        <v>367</v>
      </c>
      <c r="C73" s="66" t="s">
        <v>2699</v>
      </c>
      <c r="D73" s="67">
        <v>10</v>
      </c>
      <c r="E73" s="68" t="s">
        <v>132</v>
      </c>
      <c r="F73" s="69">
        <v>10</v>
      </c>
      <c r="G73" s="66"/>
      <c r="H73" s="70"/>
      <c r="I73" s="71"/>
      <c r="J73" s="71"/>
      <c r="K73" s="35" t="s">
        <v>65</v>
      </c>
      <c r="L73" s="78">
        <v>73</v>
      </c>
      <c r="M73" s="78"/>
      <c r="N73" s="73"/>
      <c r="O73" s="80" t="s">
        <v>384</v>
      </c>
      <c r="P73" s="82">
        <v>44457.85769675926</v>
      </c>
      <c r="Q73" s="80" t="s">
        <v>405</v>
      </c>
      <c r="R73" s="83" t="str">
        <f>HYPERLINK("https://quintanaroo.quadratin.com.mx/agentes-del-inm-disparan-pistola-electrica-contra-haitiano-en-veracruz/")</f>
        <v>https://quintanaroo.quadratin.com.mx/agentes-del-inm-disparan-pistola-electrica-contra-haitiano-en-veracruz/</v>
      </c>
      <c r="S73" s="80" t="s">
        <v>451</v>
      </c>
      <c r="T73" s="85" t="s">
        <v>484</v>
      </c>
      <c r="U73" s="80"/>
      <c r="V73" s="83" t="str">
        <f>HYPERLINK("https://pbs.twimg.com/profile_images/825813643883401217/e4e_ZHoq_normal.jpg")</f>
        <v>https://pbs.twimg.com/profile_images/825813643883401217/e4e_ZHoq_normal.jpg</v>
      </c>
      <c r="W73" s="82">
        <v>44457.85769675926</v>
      </c>
      <c r="X73" s="88">
        <v>44457</v>
      </c>
      <c r="Y73" s="85" t="s">
        <v>553</v>
      </c>
      <c r="Z73" s="83" t="str">
        <f>HYPERLINK("https://twitter.com/foforo99/status/1439327136096169987")</f>
        <v>https://twitter.com/foforo99/status/1439327136096169987</v>
      </c>
      <c r="AA73" s="80"/>
      <c r="AB73" s="80"/>
      <c r="AC73" s="85" t="s">
        <v>726</v>
      </c>
      <c r="AD73" s="80"/>
      <c r="AE73" s="80" t="b">
        <v>0</v>
      </c>
      <c r="AF73" s="80">
        <v>0</v>
      </c>
      <c r="AG73" s="85" t="s">
        <v>871</v>
      </c>
      <c r="AH73" s="80" t="b">
        <v>0</v>
      </c>
      <c r="AI73" s="80" t="s">
        <v>882</v>
      </c>
      <c r="AJ73" s="80"/>
      <c r="AK73" s="85" t="s">
        <v>871</v>
      </c>
      <c r="AL73" s="80" t="b">
        <v>0</v>
      </c>
      <c r="AM73" s="80">
        <v>1</v>
      </c>
      <c r="AN73" s="85" t="s">
        <v>871</v>
      </c>
      <c r="AO73" s="85" t="s">
        <v>889</v>
      </c>
      <c r="AP73" s="80" t="b">
        <v>0</v>
      </c>
      <c r="AQ73" s="85" t="s">
        <v>726</v>
      </c>
      <c r="AR73" s="80" t="s">
        <v>178</v>
      </c>
      <c r="AS73" s="80">
        <v>0</v>
      </c>
      <c r="AT73" s="80">
        <v>0</v>
      </c>
      <c r="AU73" s="80"/>
      <c r="AV73" s="80"/>
      <c r="AW73" s="80"/>
      <c r="AX73" s="80"/>
      <c r="AY73" s="80"/>
      <c r="AZ73" s="80"/>
      <c r="BA73" s="80"/>
      <c r="BB73" s="80"/>
      <c r="BC73">
        <v>4</v>
      </c>
      <c r="BD73" s="79" t="str">
        <f>REPLACE(INDEX(GroupVertices[Group],MATCH(Edges[[#This Row],[Vertex 1]],GroupVertices[Vertex],0)),1,1,"")</f>
        <v>12</v>
      </c>
      <c r="BE73" s="79" t="str">
        <f>REPLACE(INDEX(GroupVertices[Group],MATCH(Edges[[#This Row],[Vertex 2]],GroupVertices[Vertex],0)),1,1,"")</f>
        <v>12</v>
      </c>
      <c r="BF73" s="49"/>
      <c r="BG73" s="50"/>
      <c r="BH73" s="49"/>
      <c r="BI73" s="50"/>
      <c r="BJ73" s="49"/>
      <c r="BK73" s="50"/>
      <c r="BL73" s="49"/>
      <c r="BM73" s="50"/>
      <c r="BN73" s="49"/>
    </row>
    <row r="74" spans="1:66" ht="15">
      <c r="A74" s="65" t="s">
        <v>248</v>
      </c>
      <c r="B74" s="65" t="s">
        <v>367</v>
      </c>
      <c r="C74" s="66" t="s">
        <v>2699</v>
      </c>
      <c r="D74" s="67">
        <v>10</v>
      </c>
      <c r="E74" s="68" t="s">
        <v>132</v>
      </c>
      <c r="F74" s="69">
        <v>10</v>
      </c>
      <c r="G74" s="66"/>
      <c r="H74" s="70"/>
      <c r="I74" s="71"/>
      <c r="J74" s="71"/>
      <c r="K74" s="35" t="s">
        <v>65</v>
      </c>
      <c r="L74" s="78">
        <v>74</v>
      </c>
      <c r="M74" s="78"/>
      <c r="N74" s="73"/>
      <c r="O74" s="80" t="s">
        <v>382</v>
      </c>
      <c r="P74" s="82">
        <v>44457.95695601852</v>
      </c>
      <c r="Q74" s="80" t="s">
        <v>405</v>
      </c>
      <c r="R74" s="83" t="str">
        <f>HYPERLINK("https://quintanaroo.quadratin.com.mx/agentes-del-inm-disparan-pistola-electrica-contra-haitiano-en-veracruz/")</f>
        <v>https://quintanaroo.quadratin.com.mx/agentes-del-inm-disparan-pistola-electrica-contra-haitiano-en-veracruz/</v>
      </c>
      <c r="S74" s="80" t="s">
        <v>451</v>
      </c>
      <c r="T74" s="85" t="s">
        <v>484</v>
      </c>
      <c r="U74" s="80"/>
      <c r="V74" s="83" t="str">
        <f>HYPERLINK("https://pbs.twimg.com/profile_images/825813643883401217/e4e_ZHoq_normal.jpg")</f>
        <v>https://pbs.twimg.com/profile_images/825813643883401217/e4e_ZHoq_normal.jpg</v>
      </c>
      <c r="W74" s="82">
        <v>44457.95695601852</v>
      </c>
      <c r="X74" s="88">
        <v>44457</v>
      </c>
      <c r="Y74" s="85" t="s">
        <v>554</v>
      </c>
      <c r="Z74" s="83" t="str">
        <f>HYPERLINK("https://twitter.com/foforo99/status/1439363109328769028")</f>
        <v>https://twitter.com/foforo99/status/1439363109328769028</v>
      </c>
      <c r="AA74" s="80"/>
      <c r="AB74" s="80"/>
      <c r="AC74" s="85" t="s">
        <v>727</v>
      </c>
      <c r="AD74" s="80"/>
      <c r="AE74" s="80" t="b">
        <v>0</v>
      </c>
      <c r="AF74" s="80">
        <v>0</v>
      </c>
      <c r="AG74" s="85" t="s">
        <v>871</v>
      </c>
      <c r="AH74" s="80" t="b">
        <v>0</v>
      </c>
      <c r="AI74" s="80" t="s">
        <v>882</v>
      </c>
      <c r="AJ74" s="80"/>
      <c r="AK74" s="85" t="s">
        <v>871</v>
      </c>
      <c r="AL74" s="80" t="b">
        <v>0</v>
      </c>
      <c r="AM74" s="80">
        <v>1</v>
      </c>
      <c r="AN74" s="85" t="s">
        <v>726</v>
      </c>
      <c r="AO74" s="85" t="s">
        <v>889</v>
      </c>
      <c r="AP74" s="80" t="b">
        <v>0</v>
      </c>
      <c r="AQ74" s="85" t="s">
        <v>726</v>
      </c>
      <c r="AR74" s="80" t="s">
        <v>178</v>
      </c>
      <c r="AS74" s="80">
        <v>0</v>
      </c>
      <c r="AT74" s="80">
        <v>0</v>
      </c>
      <c r="AU74" s="80"/>
      <c r="AV74" s="80"/>
      <c r="AW74" s="80"/>
      <c r="AX74" s="80"/>
      <c r="AY74" s="80"/>
      <c r="AZ74" s="80"/>
      <c r="BA74" s="80"/>
      <c r="BB74" s="80"/>
      <c r="BC74">
        <v>4</v>
      </c>
      <c r="BD74" s="79" t="str">
        <f>REPLACE(INDEX(GroupVertices[Group],MATCH(Edges[[#This Row],[Vertex 1]],GroupVertices[Vertex],0)),1,1,"")</f>
        <v>12</v>
      </c>
      <c r="BE74" s="79" t="str">
        <f>REPLACE(INDEX(GroupVertices[Group],MATCH(Edges[[#This Row],[Vertex 2]],GroupVertices[Vertex],0)),1,1,"")</f>
        <v>12</v>
      </c>
      <c r="BF74" s="49"/>
      <c r="BG74" s="50"/>
      <c r="BH74" s="49"/>
      <c r="BI74" s="50"/>
      <c r="BJ74" s="49"/>
      <c r="BK74" s="50"/>
      <c r="BL74" s="49"/>
      <c r="BM74" s="50"/>
      <c r="BN74" s="49"/>
    </row>
    <row r="75" spans="1:66" ht="15">
      <c r="A75" s="65" t="s">
        <v>248</v>
      </c>
      <c r="B75" s="65" t="s">
        <v>368</v>
      </c>
      <c r="C75" s="66" t="s">
        <v>2699</v>
      </c>
      <c r="D75" s="67">
        <v>10</v>
      </c>
      <c r="E75" s="68" t="s">
        <v>132</v>
      </c>
      <c r="F75" s="69">
        <v>10</v>
      </c>
      <c r="G75" s="66"/>
      <c r="H75" s="70"/>
      <c r="I75" s="71"/>
      <c r="J75" s="71"/>
      <c r="K75" s="35" t="s">
        <v>65</v>
      </c>
      <c r="L75" s="78">
        <v>75</v>
      </c>
      <c r="M75" s="78"/>
      <c r="N75" s="73"/>
      <c r="O75" s="80" t="s">
        <v>384</v>
      </c>
      <c r="P75" s="82">
        <v>44457.85769675926</v>
      </c>
      <c r="Q75" s="80" t="s">
        <v>405</v>
      </c>
      <c r="R75" s="83" t="str">
        <f>HYPERLINK("https://quintanaroo.quadratin.com.mx/agentes-del-inm-disparan-pistola-electrica-contra-haitiano-en-veracruz/")</f>
        <v>https://quintanaroo.quadratin.com.mx/agentes-del-inm-disparan-pistola-electrica-contra-haitiano-en-veracruz/</v>
      </c>
      <c r="S75" s="80" t="s">
        <v>451</v>
      </c>
      <c r="T75" s="85" t="s">
        <v>484</v>
      </c>
      <c r="U75" s="80"/>
      <c r="V75" s="83" t="str">
        <f>HYPERLINK("https://pbs.twimg.com/profile_images/825813643883401217/e4e_ZHoq_normal.jpg")</f>
        <v>https://pbs.twimg.com/profile_images/825813643883401217/e4e_ZHoq_normal.jpg</v>
      </c>
      <c r="W75" s="82">
        <v>44457.85769675926</v>
      </c>
      <c r="X75" s="88">
        <v>44457</v>
      </c>
      <c r="Y75" s="85" t="s">
        <v>553</v>
      </c>
      <c r="Z75" s="83" t="str">
        <f>HYPERLINK("https://twitter.com/foforo99/status/1439327136096169987")</f>
        <v>https://twitter.com/foforo99/status/1439327136096169987</v>
      </c>
      <c r="AA75" s="80"/>
      <c r="AB75" s="80"/>
      <c r="AC75" s="85" t="s">
        <v>726</v>
      </c>
      <c r="AD75" s="80"/>
      <c r="AE75" s="80" t="b">
        <v>0</v>
      </c>
      <c r="AF75" s="80">
        <v>0</v>
      </c>
      <c r="AG75" s="85" t="s">
        <v>871</v>
      </c>
      <c r="AH75" s="80" t="b">
        <v>0</v>
      </c>
      <c r="AI75" s="80" t="s">
        <v>882</v>
      </c>
      <c r="AJ75" s="80"/>
      <c r="AK75" s="85" t="s">
        <v>871</v>
      </c>
      <c r="AL75" s="80" t="b">
        <v>0</v>
      </c>
      <c r="AM75" s="80">
        <v>1</v>
      </c>
      <c r="AN75" s="85" t="s">
        <v>871</v>
      </c>
      <c r="AO75" s="85" t="s">
        <v>889</v>
      </c>
      <c r="AP75" s="80" t="b">
        <v>0</v>
      </c>
      <c r="AQ75" s="85" t="s">
        <v>726</v>
      </c>
      <c r="AR75" s="80" t="s">
        <v>178</v>
      </c>
      <c r="AS75" s="80">
        <v>0</v>
      </c>
      <c r="AT75" s="80">
        <v>0</v>
      </c>
      <c r="AU75" s="80"/>
      <c r="AV75" s="80"/>
      <c r="AW75" s="80"/>
      <c r="AX75" s="80"/>
      <c r="AY75" s="80"/>
      <c r="AZ75" s="80"/>
      <c r="BA75" s="80"/>
      <c r="BB75" s="80"/>
      <c r="BC75">
        <v>4</v>
      </c>
      <c r="BD75" s="79" t="str">
        <f>REPLACE(INDEX(GroupVertices[Group],MATCH(Edges[[#This Row],[Vertex 1]],GroupVertices[Vertex],0)),1,1,"")</f>
        <v>12</v>
      </c>
      <c r="BE75" s="79" t="str">
        <f>REPLACE(INDEX(GroupVertices[Group],MATCH(Edges[[#This Row],[Vertex 2]],GroupVertices[Vertex],0)),1,1,"")</f>
        <v>2</v>
      </c>
      <c r="BF75" s="49">
        <v>0</v>
      </c>
      <c r="BG75" s="50">
        <v>0</v>
      </c>
      <c r="BH75" s="49">
        <v>0</v>
      </c>
      <c r="BI75" s="50">
        <v>0</v>
      </c>
      <c r="BJ75" s="49">
        <v>0</v>
      </c>
      <c r="BK75" s="50">
        <v>0</v>
      </c>
      <c r="BL75" s="49">
        <v>33</v>
      </c>
      <c r="BM75" s="50">
        <v>100</v>
      </c>
      <c r="BN75" s="49">
        <v>33</v>
      </c>
    </row>
    <row r="76" spans="1:66" ht="15">
      <c r="A76" s="65" t="s">
        <v>248</v>
      </c>
      <c r="B76" s="65" t="s">
        <v>368</v>
      </c>
      <c r="C76" s="66" t="s">
        <v>2699</v>
      </c>
      <c r="D76" s="67">
        <v>10</v>
      </c>
      <c r="E76" s="68" t="s">
        <v>132</v>
      </c>
      <c r="F76" s="69">
        <v>10</v>
      </c>
      <c r="G76" s="66"/>
      <c r="H76" s="70"/>
      <c r="I76" s="71"/>
      <c r="J76" s="71"/>
      <c r="K76" s="35" t="s">
        <v>65</v>
      </c>
      <c r="L76" s="78">
        <v>76</v>
      </c>
      <c r="M76" s="78"/>
      <c r="N76" s="73"/>
      <c r="O76" s="80" t="s">
        <v>382</v>
      </c>
      <c r="P76" s="82">
        <v>44457.95695601852</v>
      </c>
      <c r="Q76" s="80" t="s">
        <v>405</v>
      </c>
      <c r="R76" s="83" t="str">
        <f>HYPERLINK("https://quintanaroo.quadratin.com.mx/agentes-del-inm-disparan-pistola-electrica-contra-haitiano-en-veracruz/")</f>
        <v>https://quintanaroo.quadratin.com.mx/agentes-del-inm-disparan-pistola-electrica-contra-haitiano-en-veracruz/</v>
      </c>
      <c r="S76" s="80" t="s">
        <v>451</v>
      </c>
      <c r="T76" s="85" t="s">
        <v>484</v>
      </c>
      <c r="U76" s="80"/>
      <c r="V76" s="83" t="str">
        <f>HYPERLINK("https://pbs.twimg.com/profile_images/825813643883401217/e4e_ZHoq_normal.jpg")</f>
        <v>https://pbs.twimg.com/profile_images/825813643883401217/e4e_ZHoq_normal.jpg</v>
      </c>
      <c r="W76" s="82">
        <v>44457.95695601852</v>
      </c>
      <c r="X76" s="88">
        <v>44457</v>
      </c>
      <c r="Y76" s="85" t="s">
        <v>554</v>
      </c>
      <c r="Z76" s="83" t="str">
        <f>HYPERLINK("https://twitter.com/foforo99/status/1439363109328769028")</f>
        <v>https://twitter.com/foforo99/status/1439363109328769028</v>
      </c>
      <c r="AA76" s="80"/>
      <c r="AB76" s="80"/>
      <c r="AC76" s="85" t="s">
        <v>727</v>
      </c>
      <c r="AD76" s="80"/>
      <c r="AE76" s="80" t="b">
        <v>0</v>
      </c>
      <c r="AF76" s="80">
        <v>0</v>
      </c>
      <c r="AG76" s="85" t="s">
        <v>871</v>
      </c>
      <c r="AH76" s="80" t="b">
        <v>0</v>
      </c>
      <c r="AI76" s="80" t="s">
        <v>882</v>
      </c>
      <c r="AJ76" s="80"/>
      <c r="AK76" s="85" t="s">
        <v>871</v>
      </c>
      <c r="AL76" s="80" t="b">
        <v>0</v>
      </c>
      <c r="AM76" s="80">
        <v>1</v>
      </c>
      <c r="AN76" s="85" t="s">
        <v>726</v>
      </c>
      <c r="AO76" s="85" t="s">
        <v>889</v>
      </c>
      <c r="AP76" s="80" t="b">
        <v>0</v>
      </c>
      <c r="AQ76" s="85" t="s">
        <v>726</v>
      </c>
      <c r="AR76" s="80" t="s">
        <v>178</v>
      </c>
      <c r="AS76" s="80">
        <v>0</v>
      </c>
      <c r="AT76" s="80">
        <v>0</v>
      </c>
      <c r="AU76" s="80"/>
      <c r="AV76" s="80"/>
      <c r="AW76" s="80"/>
      <c r="AX76" s="80"/>
      <c r="AY76" s="80"/>
      <c r="AZ76" s="80"/>
      <c r="BA76" s="80"/>
      <c r="BB76" s="80"/>
      <c r="BC76">
        <v>4</v>
      </c>
      <c r="BD76" s="79" t="str">
        <f>REPLACE(INDEX(GroupVertices[Group],MATCH(Edges[[#This Row],[Vertex 1]],GroupVertices[Vertex],0)),1,1,"")</f>
        <v>12</v>
      </c>
      <c r="BE76" s="79" t="str">
        <f>REPLACE(INDEX(GroupVertices[Group],MATCH(Edges[[#This Row],[Vertex 2]],GroupVertices[Vertex],0)),1,1,"")</f>
        <v>2</v>
      </c>
      <c r="BF76" s="49">
        <v>0</v>
      </c>
      <c r="BG76" s="50">
        <v>0</v>
      </c>
      <c r="BH76" s="49">
        <v>0</v>
      </c>
      <c r="BI76" s="50">
        <v>0</v>
      </c>
      <c r="BJ76" s="49">
        <v>0</v>
      </c>
      <c r="BK76" s="50">
        <v>0</v>
      </c>
      <c r="BL76" s="49">
        <v>33</v>
      </c>
      <c r="BM76" s="50">
        <v>100</v>
      </c>
      <c r="BN76" s="49">
        <v>33</v>
      </c>
    </row>
    <row r="77" spans="1:66" ht="15">
      <c r="A77" s="65" t="s">
        <v>248</v>
      </c>
      <c r="B77" s="65" t="s">
        <v>248</v>
      </c>
      <c r="C77" s="66" t="s">
        <v>2698</v>
      </c>
      <c r="D77" s="67">
        <v>4</v>
      </c>
      <c r="E77" s="68" t="s">
        <v>132</v>
      </c>
      <c r="F77" s="69">
        <v>30</v>
      </c>
      <c r="G77" s="66"/>
      <c r="H77" s="70"/>
      <c r="I77" s="71"/>
      <c r="J77" s="71"/>
      <c r="K77" s="35" t="s">
        <v>65</v>
      </c>
      <c r="L77" s="78">
        <v>77</v>
      </c>
      <c r="M77" s="78"/>
      <c r="N77" s="73"/>
      <c r="O77" s="80" t="s">
        <v>383</v>
      </c>
      <c r="P77" s="82">
        <v>44457.95695601852</v>
      </c>
      <c r="Q77" s="80" t="s">
        <v>405</v>
      </c>
      <c r="R77" s="83" t="str">
        <f>HYPERLINK("https://quintanaroo.quadratin.com.mx/agentes-del-inm-disparan-pistola-electrica-contra-haitiano-en-veracruz/")</f>
        <v>https://quintanaroo.quadratin.com.mx/agentes-del-inm-disparan-pistola-electrica-contra-haitiano-en-veracruz/</v>
      </c>
      <c r="S77" s="80" t="s">
        <v>451</v>
      </c>
      <c r="T77" s="85" t="s">
        <v>484</v>
      </c>
      <c r="U77" s="80"/>
      <c r="V77" s="83" t="str">
        <f>HYPERLINK("https://pbs.twimg.com/profile_images/825813643883401217/e4e_ZHoq_normal.jpg")</f>
        <v>https://pbs.twimg.com/profile_images/825813643883401217/e4e_ZHoq_normal.jpg</v>
      </c>
      <c r="W77" s="82">
        <v>44457.95695601852</v>
      </c>
      <c r="X77" s="88">
        <v>44457</v>
      </c>
      <c r="Y77" s="85" t="s">
        <v>554</v>
      </c>
      <c r="Z77" s="83" t="str">
        <f>HYPERLINK("https://twitter.com/foforo99/status/1439363109328769028")</f>
        <v>https://twitter.com/foforo99/status/1439363109328769028</v>
      </c>
      <c r="AA77" s="80"/>
      <c r="AB77" s="80"/>
      <c r="AC77" s="85" t="s">
        <v>727</v>
      </c>
      <c r="AD77" s="80"/>
      <c r="AE77" s="80" t="b">
        <v>0</v>
      </c>
      <c r="AF77" s="80">
        <v>0</v>
      </c>
      <c r="AG77" s="85" t="s">
        <v>871</v>
      </c>
      <c r="AH77" s="80" t="b">
        <v>0</v>
      </c>
      <c r="AI77" s="80" t="s">
        <v>882</v>
      </c>
      <c r="AJ77" s="80"/>
      <c r="AK77" s="85" t="s">
        <v>871</v>
      </c>
      <c r="AL77" s="80" t="b">
        <v>0</v>
      </c>
      <c r="AM77" s="80">
        <v>1</v>
      </c>
      <c r="AN77" s="85" t="s">
        <v>726</v>
      </c>
      <c r="AO77" s="85" t="s">
        <v>889</v>
      </c>
      <c r="AP77" s="80" t="b">
        <v>0</v>
      </c>
      <c r="AQ77" s="85" t="s">
        <v>726</v>
      </c>
      <c r="AR77" s="80" t="s">
        <v>178</v>
      </c>
      <c r="AS77" s="80">
        <v>0</v>
      </c>
      <c r="AT77" s="80">
        <v>0</v>
      </c>
      <c r="AU77" s="80"/>
      <c r="AV77" s="80"/>
      <c r="AW77" s="80"/>
      <c r="AX77" s="80"/>
      <c r="AY77" s="80"/>
      <c r="AZ77" s="80"/>
      <c r="BA77" s="80"/>
      <c r="BB77" s="80"/>
      <c r="BC77">
        <v>1</v>
      </c>
      <c r="BD77" s="79" t="str">
        <f>REPLACE(INDEX(GroupVertices[Group],MATCH(Edges[[#This Row],[Vertex 1]],GroupVertices[Vertex],0)),1,1,"")</f>
        <v>12</v>
      </c>
      <c r="BE77" s="79" t="str">
        <f>REPLACE(INDEX(GroupVertices[Group],MATCH(Edges[[#This Row],[Vertex 2]],GroupVertices[Vertex],0)),1,1,"")</f>
        <v>12</v>
      </c>
      <c r="BF77" s="49"/>
      <c r="BG77" s="50"/>
      <c r="BH77" s="49"/>
      <c r="BI77" s="50"/>
      <c r="BJ77" s="49"/>
      <c r="BK77" s="50"/>
      <c r="BL77" s="49"/>
      <c r="BM77" s="50"/>
      <c r="BN77" s="49"/>
    </row>
    <row r="78" spans="1:66" ht="15">
      <c r="A78" s="65" t="s">
        <v>249</v>
      </c>
      <c r="B78" s="65" t="s">
        <v>269</v>
      </c>
      <c r="C78" s="66" t="s">
        <v>2699</v>
      </c>
      <c r="D78" s="67">
        <v>10</v>
      </c>
      <c r="E78" s="68" t="s">
        <v>136</v>
      </c>
      <c r="F78" s="69">
        <v>10</v>
      </c>
      <c r="G78" s="66"/>
      <c r="H78" s="70"/>
      <c r="I78" s="71"/>
      <c r="J78" s="71"/>
      <c r="K78" s="35" t="s">
        <v>65</v>
      </c>
      <c r="L78" s="78">
        <v>78</v>
      </c>
      <c r="M78" s="78"/>
      <c r="N78" s="73"/>
      <c r="O78" s="80" t="s">
        <v>383</v>
      </c>
      <c r="P78" s="82">
        <v>44456.53628472222</v>
      </c>
      <c r="Q78" s="80" t="s">
        <v>389</v>
      </c>
      <c r="R78" s="83" t="str">
        <f>HYPERLINK("https://www.diariodelsur.com.mx/local/activa-guardia-nacional-busqueda-de-migrantes-en-taxis-7222717.html")</f>
        <v>https://www.diariodelsur.com.mx/local/activa-guardia-nacional-busqueda-de-migrantes-en-taxis-7222717.html</v>
      </c>
      <c r="S78" s="80" t="s">
        <v>451</v>
      </c>
      <c r="T78" s="85" t="s">
        <v>470</v>
      </c>
      <c r="U78" s="80"/>
      <c r="V78" s="83" t="str">
        <f>HYPERLINK("https://pbs.twimg.com/profile_images/3540584669/5476252f7dedd6043cf97669d8524be7_normal.jpeg")</f>
        <v>https://pbs.twimg.com/profile_images/3540584669/5476252f7dedd6043cf97669d8524be7_normal.jpeg</v>
      </c>
      <c r="W78" s="82">
        <v>44456.53628472222</v>
      </c>
      <c r="X78" s="88">
        <v>44456</v>
      </c>
      <c r="Y78" s="85" t="s">
        <v>555</v>
      </c>
      <c r="Z78" s="83" t="str">
        <f>HYPERLINK("https://twitter.com/palabritadepape/status/1438848273142493192")</f>
        <v>https://twitter.com/palabritadepape/status/1438848273142493192</v>
      </c>
      <c r="AA78" s="80"/>
      <c r="AB78" s="80"/>
      <c r="AC78" s="85" t="s">
        <v>728</v>
      </c>
      <c r="AD78" s="80"/>
      <c r="AE78" s="80" t="b">
        <v>0</v>
      </c>
      <c r="AF78" s="80">
        <v>0</v>
      </c>
      <c r="AG78" s="85" t="s">
        <v>871</v>
      </c>
      <c r="AH78" s="80" t="b">
        <v>0</v>
      </c>
      <c r="AI78" s="80" t="s">
        <v>883</v>
      </c>
      <c r="AJ78" s="80"/>
      <c r="AK78" s="85" t="s">
        <v>871</v>
      </c>
      <c r="AL78" s="80" t="b">
        <v>0</v>
      </c>
      <c r="AM78" s="80">
        <v>4</v>
      </c>
      <c r="AN78" s="85" t="s">
        <v>793</v>
      </c>
      <c r="AO78" s="85" t="s">
        <v>889</v>
      </c>
      <c r="AP78" s="80" t="b">
        <v>0</v>
      </c>
      <c r="AQ78" s="85" t="s">
        <v>793</v>
      </c>
      <c r="AR78" s="80" t="s">
        <v>178</v>
      </c>
      <c r="AS78" s="80">
        <v>0</v>
      </c>
      <c r="AT78" s="80">
        <v>0</v>
      </c>
      <c r="AU78" s="80"/>
      <c r="AV78" s="80"/>
      <c r="AW78" s="80"/>
      <c r="AX78" s="80"/>
      <c r="AY78" s="80"/>
      <c r="AZ78" s="80"/>
      <c r="BA78" s="80"/>
      <c r="BB78" s="80"/>
      <c r="BC78">
        <v>16</v>
      </c>
      <c r="BD78" s="79" t="str">
        <f>REPLACE(INDEX(GroupVertices[Group],MATCH(Edges[[#This Row],[Vertex 1]],GroupVertices[Vertex],0)),1,1,"")</f>
        <v>3</v>
      </c>
      <c r="BE78" s="79" t="str">
        <f>REPLACE(INDEX(GroupVertices[Group],MATCH(Edges[[#This Row],[Vertex 2]],GroupVertices[Vertex],0)),1,1,"")</f>
        <v>3</v>
      </c>
      <c r="BF78" s="49">
        <v>1</v>
      </c>
      <c r="BG78" s="50">
        <v>2.5</v>
      </c>
      <c r="BH78" s="49">
        <v>0</v>
      </c>
      <c r="BI78" s="50">
        <v>0</v>
      </c>
      <c r="BJ78" s="49">
        <v>0</v>
      </c>
      <c r="BK78" s="50">
        <v>0</v>
      </c>
      <c r="BL78" s="49">
        <v>39</v>
      </c>
      <c r="BM78" s="50">
        <v>97.5</v>
      </c>
      <c r="BN78" s="49">
        <v>40</v>
      </c>
    </row>
    <row r="79" spans="1:66" ht="15">
      <c r="A79" s="65" t="s">
        <v>249</v>
      </c>
      <c r="B79" s="65" t="s">
        <v>269</v>
      </c>
      <c r="C79" s="66" t="s">
        <v>2699</v>
      </c>
      <c r="D79" s="67">
        <v>10</v>
      </c>
      <c r="E79" s="68" t="s">
        <v>136</v>
      </c>
      <c r="F79" s="69">
        <v>10</v>
      </c>
      <c r="G79" s="66"/>
      <c r="H79" s="70"/>
      <c r="I79" s="71"/>
      <c r="J79" s="71"/>
      <c r="K79" s="35" t="s">
        <v>65</v>
      </c>
      <c r="L79" s="78">
        <v>79</v>
      </c>
      <c r="M79" s="78"/>
      <c r="N79" s="73"/>
      <c r="O79" s="80" t="s">
        <v>383</v>
      </c>
      <c r="P79" s="82">
        <v>44457.00173611111</v>
      </c>
      <c r="Q79" s="80" t="s">
        <v>393</v>
      </c>
      <c r="R79" s="83" t="str">
        <f>HYPERLINK("https://movimientomigrantemesoamericano.org/2021/09/16/se-desborda-flujo-migratorio/")</f>
        <v>https://movimientomigrantemesoamericano.org/2021/09/16/se-desborda-flujo-migratorio/</v>
      </c>
      <c r="S79" s="80" t="s">
        <v>453</v>
      </c>
      <c r="T79" s="85" t="s">
        <v>474</v>
      </c>
      <c r="U79" s="80"/>
      <c r="V79" s="83" t="str">
        <f>HYPERLINK("https://pbs.twimg.com/profile_images/3540584669/5476252f7dedd6043cf97669d8524be7_normal.jpeg")</f>
        <v>https://pbs.twimg.com/profile_images/3540584669/5476252f7dedd6043cf97669d8524be7_normal.jpeg</v>
      </c>
      <c r="W79" s="82">
        <v>44457.00173611111</v>
      </c>
      <c r="X79" s="88">
        <v>44457</v>
      </c>
      <c r="Y79" s="85" t="s">
        <v>556</v>
      </c>
      <c r="Z79" s="83" t="str">
        <f>HYPERLINK("https://twitter.com/palabritadepape/status/1439016947455307778")</f>
        <v>https://twitter.com/palabritadepape/status/1439016947455307778</v>
      </c>
      <c r="AA79" s="80"/>
      <c r="AB79" s="80"/>
      <c r="AC79" s="85" t="s">
        <v>729</v>
      </c>
      <c r="AD79" s="80"/>
      <c r="AE79" s="80" t="b">
        <v>0</v>
      </c>
      <c r="AF79" s="80">
        <v>0</v>
      </c>
      <c r="AG79" s="85" t="s">
        <v>871</v>
      </c>
      <c r="AH79" s="80" t="b">
        <v>0</v>
      </c>
      <c r="AI79" s="80" t="s">
        <v>883</v>
      </c>
      <c r="AJ79" s="80"/>
      <c r="AK79" s="85" t="s">
        <v>871</v>
      </c>
      <c r="AL79" s="80" t="b">
        <v>0</v>
      </c>
      <c r="AM79" s="80">
        <v>2</v>
      </c>
      <c r="AN79" s="85" t="s">
        <v>794</v>
      </c>
      <c r="AO79" s="85" t="s">
        <v>889</v>
      </c>
      <c r="AP79" s="80" t="b">
        <v>0</v>
      </c>
      <c r="AQ79" s="85" t="s">
        <v>794</v>
      </c>
      <c r="AR79" s="80" t="s">
        <v>178</v>
      </c>
      <c r="AS79" s="80">
        <v>0</v>
      </c>
      <c r="AT79" s="80">
        <v>0</v>
      </c>
      <c r="AU79" s="80"/>
      <c r="AV79" s="80"/>
      <c r="AW79" s="80"/>
      <c r="AX79" s="80"/>
      <c r="AY79" s="80"/>
      <c r="AZ79" s="80"/>
      <c r="BA79" s="80"/>
      <c r="BB79" s="80"/>
      <c r="BC79">
        <v>16</v>
      </c>
      <c r="BD79" s="79" t="str">
        <f>REPLACE(INDEX(GroupVertices[Group],MATCH(Edges[[#This Row],[Vertex 1]],GroupVertices[Vertex],0)),1,1,"")</f>
        <v>3</v>
      </c>
      <c r="BE79" s="79" t="str">
        <f>REPLACE(INDEX(GroupVertices[Group],MATCH(Edges[[#This Row],[Vertex 2]],GroupVertices[Vertex],0)),1,1,"")</f>
        <v>3</v>
      </c>
      <c r="BF79" s="49">
        <v>0</v>
      </c>
      <c r="BG79" s="50">
        <v>0</v>
      </c>
      <c r="BH79" s="49">
        <v>0</v>
      </c>
      <c r="BI79" s="50">
        <v>0</v>
      </c>
      <c r="BJ79" s="49">
        <v>0</v>
      </c>
      <c r="BK79" s="50">
        <v>0</v>
      </c>
      <c r="BL79" s="49">
        <v>29</v>
      </c>
      <c r="BM79" s="50">
        <v>100</v>
      </c>
      <c r="BN79" s="49">
        <v>29</v>
      </c>
    </row>
    <row r="80" spans="1:66" ht="15">
      <c r="A80" s="65" t="s">
        <v>249</v>
      </c>
      <c r="B80" s="65" t="s">
        <v>268</v>
      </c>
      <c r="C80" s="66" t="s">
        <v>2699</v>
      </c>
      <c r="D80" s="67">
        <v>10</v>
      </c>
      <c r="E80" s="68" t="s">
        <v>132</v>
      </c>
      <c r="F80" s="69">
        <v>10</v>
      </c>
      <c r="G80" s="66"/>
      <c r="H80" s="70"/>
      <c r="I80" s="71"/>
      <c r="J80" s="71"/>
      <c r="K80" s="35" t="s">
        <v>65</v>
      </c>
      <c r="L80" s="78">
        <v>80</v>
      </c>
      <c r="M80" s="78"/>
      <c r="N80" s="73"/>
      <c r="O80" s="80" t="s">
        <v>382</v>
      </c>
      <c r="P80" s="82">
        <v>44457.001863425925</v>
      </c>
      <c r="Q80" s="80" t="s">
        <v>399</v>
      </c>
      <c r="R80" s="83" t="str">
        <f>HYPERLINK("https://www.meltingpot.org/Tapachula-frontiera-sud-del-Messico-migliaia-di-persone.html")</f>
        <v>https://www.meltingpot.org/Tapachula-frontiera-sud-del-Messico-migliaia-di-persone.html</v>
      </c>
      <c r="S80" s="80" t="s">
        <v>455</v>
      </c>
      <c r="T80" s="85" t="s">
        <v>479</v>
      </c>
      <c r="U80" s="80"/>
      <c r="V80" s="83" t="str">
        <f>HYPERLINK("https://pbs.twimg.com/profile_images/3540584669/5476252f7dedd6043cf97669d8524be7_normal.jpeg")</f>
        <v>https://pbs.twimg.com/profile_images/3540584669/5476252f7dedd6043cf97669d8524be7_normal.jpeg</v>
      </c>
      <c r="W80" s="82">
        <v>44457.001863425925</v>
      </c>
      <c r="X80" s="88">
        <v>44457</v>
      </c>
      <c r="Y80" s="85" t="s">
        <v>557</v>
      </c>
      <c r="Z80" s="83" t="str">
        <f>HYPERLINK("https://twitter.com/palabritadepape/status/1439016992732860421")</f>
        <v>https://twitter.com/palabritadepape/status/1439016992732860421</v>
      </c>
      <c r="AA80" s="80"/>
      <c r="AB80" s="80"/>
      <c r="AC80" s="85" t="s">
        <v>730</v>
      </c>
      <c r="AD80" s="80"/>
      <c r="AE80" s="80" t="b">
        <v>0</v>
      </c>
      <c r="AF80" s="80">
        <v>0</v>
      </c>
      <c r="AG80" s="85" t="s">
        <v>871</v>
      </c>
      <c r="AH80" s="80" t="b">
        <v>0</v>
      </c>
      <c r="AI80" s="80" t="s">
        <v>883</v>
      </c>
      <c r="AJ80" s="80"/>
      <c r="AK80" s="85" t="s">
        <v>871</v>
      </c>
      <c r="AL80" s="80" t="b">
        <v>0</v>
      </c>
      <c r="AM80" s="80">
        <v>3</v>
      </c>
      <c r="AN80" s="85" t="s">
        <v>761</v>
      </c>
      <c r="AO80" s="85" t="s">
        <v>889</v>
      </c>
      <c r="AP80" s="80" t="b">
        <v>0</v>
      </c>
      <c r="AQ80" s="85" t="s">
        <v>761</v>
      </c>
      <c r="AR80" s="80" t="s">
        <v>178</v>
      </c>
      <c r="AS80" s="80">
        <v>0</v>
      </c>
      <c r="AT80" s="80">
        <v>0</v>
      </c>
      <c r="AU80" s="80"/>
      <c r="AV80" s="80"/>
      <c r="AW80" s="80"/>
      <c r="AX80" s="80"/>
      <c r="AY80" s="80"/>
      <c r="AZ80" s="80"/>
      <c r="BA80" s="80"/>
      <c r="BB80" s="80"/>
      <c r="BC80">
        <v>4</v>
      </c>
      <c r="BD80" s="79" t="str">
        <f>REPLACE(INDEX(GroupVertices[Group],MATCH(Edges[[#This Row],[Vertex 1]],GroupVertices[Vertex],0)),1,1,"")</f>
        <v>3</v>
      </c>
      <c r="BE80" s="79" t="str">
        <f>REPLACE(INDEX(GroupVertices[Group],MATCH(Edges[[#This Row],[Vertex 2]],GroupVertices[Vertex],0)),1,1,"")</f>
        <v>3</v>
      </c>
      <c r="BF80" s="49"/>
      <c r="BG80" s="50"/>
      <c r="BH80" s="49"/>
      <c r="BI80" s="50"/>
      <c r="BJ80" s="49"/>
      <c r="BK80" s="50"/>
      <c r="BL80" s="49"/>
      <c r="BM80" s="50"/>
      <c r="BN80" s="49"/>
    </row>
    <row r="81" spans="1:66" ht="15">
      <c r="A81" s="65" t="s">
        <v>249</v>
      </c>
      <c r="B81" s="65" t="s">
        <v>269</v>
      </c>
      <c r="C81" s="66" t="s">
        <v>2699</v>
      </c>
      <c r="D81" s="67">
        <v>10</v>
      </c>
      <c r="E81" s="68" t="s">
        <v>136</v>
      </c>
      <c r="F81" s="69">
        <v>10</v>
      </c>
      <c r="G81" s="66"/>
      <c r="H81" s="70"/>
      <c r="I81" s="71"/>
      <c r="J81" s="71"/>
      <c r="K81" s="35" t="s">
        <v>65</v>
      </c>
      <c r="L81" s="78">
        <v>81</v>
      </c>
      <c r="M81" s="78"/>
      <c r="N81" s="73"/>
      <c r="O81" s="80" t="s">
        <v>383</v>
      </c>
      <c r="P81" s="82">
        <v>44457.001863425925</v>
      </c>
      <c r="Q81" s="80" t="s">
        <v>399</v>
      </c>
      <c r="R81" s="83" t="str">
        <f>HYPERLINK("https://www.meltingpot.org/Tapachula-frontiera-sud-del-Messico-migliaia-di-persone.html")</f>
        <v>https://www.meltingpot.org/Tapachula-frontiera-sud-del-Messico-migliaia-di-persone.html</v>
      </c>
      <c r="S81" s="80" t="s">
        <v>455</v>
      </c>
      <c r="T81" s="85" t="s">
        <v>479</v>
      </c>
      <c r="U81" s="80"/>
      <c r="V81" s="83" t="str">
        <f>HYPERLINK("https://pbs.twimg.com/profile_images/3540584669/5476252f7dedd6043cf97669d8524be7_normal.jpeg")</f>
        <v>https://pbs.twimg.com/profile_images/3540584669/5476252f7dedd6043cf97669d8524be7_normal.jpeg</v>
      </c>
      <c r="W81" s="82">
        <v>44457.001863425925</v>
      </c>
      <c r="X81" s="88">
        <v>44457</v>
      </c>
      <c r="Y81" s="85" t="s">
        <v>557</v>
      </c>
      <c r="Z81" s="83" t="str">
        <f>HYPERLINK("https://twitter.com/palabritadepape/status/1439016992732860421")</f>
        <v>https://twitter.com/palabritadepape/status/1439016992732860421</v>
      </c>
      <c r="AA81" s="80"/>
      <c r="AB81" s="80"/>
      <c r="AC81" s="85" t="s">
        <v>730</v>
      </c>
      <c r="AD81" s="80"/>
      <c r="AE81" s="80" t="b">
        <v>0</v>
      </c>
      <c r="AF81" s="80">
        <v>0</v>
      </c>
      <c r="AG81" s="85" t="s">
        <v>871</v>
      </c>
      <c r="AH81" s="80" t="b">
        <v>0</v>
      </c>
      <c r="AI81" s="80" t="s">
        <v>883</v>
      </c>
      <c r="AJ81" s="80"/>
      <c r="AK81" s="85" t="s">
        <v>871</v>
      </c>
      <c r="AL81" s="80" t="b">
        <v>0</v>
      </c>
      <c r="AM81" s="80">
        <v>3</v>
      </c>
      <c r="AN81" s="85" t="s">
        <v>761</v>
      </c>
      <c r="AO81" s="85" t="s">
        <v>889</v>
      </c>
      <c r="AP81" s="80" t="b">
        <v>0</v>
      </c>
      <c r="AQ81" s="85" t="s">
        <v>761</v>
      </c>
      <c r="AR81" s="80" t="s">
        <v>178</v>
      </c>
      <c r="AS81" s="80">
        <v>0</v>
      </c>
      <c r="AT81" s="80">
        <v>0</v>
      </c>
      <c r="AU81" s="80"/>
      <c r="AV81" s="80"/>
      <c r="AW81" s="80"/>
      <c r="AX81" s="80"/>
      <c r="AY81" s="80"/>
      <c r="AZ81" s="80"/>
      <c r="BA81" s="80"/>
      <c r="BB81" s="80"/>
      <c r="BC81">
        <v>16</v>
      </c>
      <c r="BD81" s="79" t="str">
        <f>REPLACE(INDEX(GroupVertices[Group],MATCH(Edges[[#This Row],[Vertex 1]],GroupVertices[Vertex],0)),1,1,"")</f>
        <v>3</v>
      </c>
      <c r="BE81" s="79" t="str">
        <f>REPLACE(INDEX(GroupVertices[Group],MATCH(Edges[[#This Row],[Vertex 2]],GroupVertices[Vertex],0)),1,1,"")</f>
        <v>3</v>
      </c>
      <c r="BF81" s="49">
        <v>0</v>
      </c>
      <c r="BG81" s="50">
        <v>0</v>
      </c>
      <c r="BH81" s="49">
        <v>0</v>
      </c>
      <c r="BI81" s="50">
        <v>0</v>
      </c>
      <c r="BJ81" s="49">
        <v>0</v>
      </c>
      <c r="BK81" s="50">
        <v>0</v>
      </c>
      <c r="BL81" s="49">
        <v>31</v>
      </c>
      <c r="BM81" s="50">
        <v>100</v>
      </c>
      <c r="BN81" s="49">
        <v>31</v>
      </c>
    </row>
    <row r="82" spans="1:66" ht="15">
      <c r="A82" s="65" t="s">
        <v>249</v>
      </c>
      <c r="B82" s="65" t="s">
        <v>268</v>
      </c>
      <c r="C82" s="66" t="s">
        <v>2699</v>
      </c>
      <c r="D82" s="67">
        <v>10</v>
      </c>
      <c r="E82" s="68" t="s">
        <v>132</v>
      </c>
      <c r="F82" s="69">
        <v>10</v>
      </c>
      <c r="G82" s="66"/>
      <c r="H82" s="70"/>
      <c r="I82" s="71"/>
      <c r="J82" s="71"/>
      <c r="K82" s="35" t="s">
        <v>65</v>
      </c>
      <c r="L82" s="78">
        <v>82</v>
      </c>
      <c r="M82" s="78"/>
      <c r="N82" s="73"/>
      <c r="O82" s="80" t="s">
        <v>382</v>
      </c>
      <c r="P82" s="82">
        <v>44458.388773148145</v>
      </c>
      <c r="Q82" s="80" t="s">
        <v>406</v>
      </c>
      <c r="R82" s="83" t="str">
        <f>HYPERLINK("https://www.meltingpot.org/Tapachula-frontiera-sud-del-Messico-migliaia-di-persone.html")</f>
        <v>https://www.meltingpot.org/Tapachula-frontiera-sud-del-Messico-migliaia-di-persone.html</v>
      </c>
      <c r="S82" s="80" t="s">
        <v>455</v>
      </c>
      <c r="T82" s="85" t="s">
        <v>479</v>
      </c>
      <c r="U82" s="80"/>
      <c r="V82" s="83" t="str">
        <f>HYPERLINK("https://pbs.twimg.com/profile_images/3540584669/5476252f7dedd6043cf97669d8524be7_normal.jpeg")</f>
        <v>https://pbs.twimg.com/profile_images/3540584669/5476252f7dedd6043cf97669d8524be7_normal.jpeg</v>
      </c>
      <c r="W82" s="82">
        <v>44458.388773148145</v>
      </c>
      <c r="X82" s="88">
        <v>44458</v>
      </c>
      <c r="Y82" s="85" t="s">
        <v>558</v>
      </c>
      <c r="Z82" s="83" t="str">
        <f>HYPERLINK("https://twitter.com/palabritadepape/status/1439519591949025281")</f>
        <v>https://twitter.com/palabritadepape/status/1439519591949025281</v>
      </c>
      <c r="AA82" s="80"/>
      <c r="AB82" s="80"/>
      <c r="AC82" s="85" t="s">
        <v>731</v>
      </c>
      <c r="AD82" s="80"/>
      <c r="AE82" s="80" t="b">
        <v>0</v>
      </c>
      <c r="AF82" s="80">
        <v>0</v>
      </c>
      <c r="AG82" s="85" t="s">
        <v>871</v>
      </c>
      <c r="AH82" s="80" t="b">
        <v>0</v>
      </c>
      <c r="AI82" s="80" t="s">
        <v>883</v>
      </c>
      <c r="AJ82" s="80"/>
      <c r="AK82" s="85" t="s">
        <v>871</v>
      </c>
      <c r="AL82" s="80" t="b">
        <v>0</v>
      </c>
      <c r="AM82" s="80">
        <v>3</v>
      </c>
      <c r="AN82" s="85" t="s">
        <v>762</v>
      </c>
      <c r="AO82" s="85" t="s">
        <v>889</v>
      </c>
      <c r="AP82" s="80" t="b">
        <v>0</v>
      </c>
      <c r="AQ82" s="85" t="s">
        <v>762</v>
      </c>
      <c r="AR82" s="80" t="s">
        <v>178</v>
      </c>
      <c r="AS82" s="80">
        <v>0</v>
      </c>
      <c r="AT82" s="80">
        <v>0</v>
      </c>
      <c r="AU82" s="80"/>
      <c r="AV82" s="80"/>
      <c r="AW82" s="80"/>
      <c r="AX82" s="80"/>
      <c r="AY82" s="80"/>
      <c r="AZ82" s="80"/>
      <c r="BA82" s="80"/>
      <c r="BB82" s="80"/>
      <c r="BC82">
        <v>4</v>
      </c>
      <c r="BD82" s="79" t="str">
        <f>REPLACE(INDEX(GroupVertices[Group],MATCH(Edges[[#This Row],[Vertex 1]],GroupVertices[Vertex],0)),1,1,"")</f>
        <v>3</v>
      </c>
      <c r="BE82" s="79" t="str">
        <f>REPLACE(INDEX(GroupVertices[Group],MATCH(Edges[[#This Row],[Vertex 2]],GroupVertices[Vertex],0)),1,1,"")</f>
        <v>3</v>
      </c>
      <c r="BF82" s="49"/>
      <c r="BG82" s="50"/>
      <c r="BH82" s="49"/>
      <c r="BI82" s="50"/>
      <c r="BJ82" s="49"/>
      <c r="BK82" s="50"/>
      <c r="BL82" s="49"/>
      <c r="BM82" s="50"/>
      <c r="BN82" s="49"/>
    </row>
    <row r="83" spans="1:66" ht="15">
      <c r="A83" s="65" t="s">
        <v>249</v>
      </c>
      <c r="B83" s="65" t="s">
        <v>269</v>
      </c>
      <c r="C83" s="66" t="s">
        <v>2699</v>
      </c>
      <c r="D83" s="67">
        <v>10</v>
      </c>
      <c r="E83" s="68" t="s">
        <v>136</v>
      </c>
      <c r="F83" s="69">
        <v>10</v>
      </c>
      <c r="G83" s="66"/>
      <c r="H83" s="70"/>
      <c r="I83" s="71"/>
      <c r="J83" s="71"/>
      <c r="K83" s="35" t="s">
        <v>65</v>
      </c>
      <c r="L83" s="78">
        <v>83</v>
      </c>
      <c r="M83" s="78"/>
      <c r="N83" s="73"/>
      <c r="O83" s="80" t="s">
        <v>383</v>
      </c>
      <c r="P83" s="82">
        <v>44458.388773148145</v>
      </c>
      <c r="Q83" s="80" t="s">
        <v>406</v>
      </c>
      <c r="R83" s="83" t="str">
        <f>HYPERLINK("https://www.meltingpot.org/Tapachula-frontiera-sud-del-Messico-migliaia-di-persone.html")</f>
        <v>https://www.meltingpot.org/Tapachula-frontiera-sud-del-Messico-migliaia-di-persone.html</v>
      </c>
      <c r="S83" s="80" t="s">
        <v>455</v>
      </c>
      <c r="T83" s="85" t="s">
        <v>479</v>
      </c>
      <c r="U83" s="80"/>
      <c r="V83" s="83" t="str">
        <f>HYPERLINK("https://pbs.twimg.com/profile_images/3540584669/5476252f7dedd6043cf97669d8524be7_normal.jpeg")</f>
        <v>https://pbs.twimg.com/profile_images/3540584669/5476252f7dedd6043cf97669d8524be7_normal.jpeg</v>
      </c>
      <c r="W83" s="82">
        <v>44458.388773148145</v>
      </c>
      <c r="X83" s="88">
        <v>44458</v>
      </c>
      <c r="Y83" s="85" t="s">
        <v>558</v>
      </c>
      <c r="Z83" s="83" t="str">
        <f>HYPERLINK("https://twitter.com/palabritadepape/status/1439519591949025281")</f>
        <v>https://twitter.com/palabritadepape/status/1439519591949025281</v>
      </c>
      <c r="AA83" s="80"/>
      <c r="AB83" s="80"/>
      <c r="AC83" s="85" t="s">
        <v>731</v>
      </c>
      <c r="AD83" s="80"/>
      <c r="AE83" s="80" t="b">
        <v>0</v>
      </c>
      <c r="AF83" s="80">
        <v>0</v>
      </c>
      <c r="AG83" s="85" t="s">
        <v>871</v>
      </c>
      <c r="AH83" s="80" t="b">
        <v>0</v>
      </c>
      <c r="AI83" s="80" t="s">
        <v>883</v>
      </c>
      <c r="AJ83" s="80"/>
      <c r="AK83" s="85" t="s">
        <v>871</v>
      </c>
      <c r="AL83" s="80" t="b">
        <v>0</v>
      </c>
      <c r="AM83" s="80">
        <v>3</v>
      </c>
      <c r="AN83" s="85" t="s">
        <v>762</v>
      </c>
      <c r="AO83" s="85" t="s">
        <v>889</v>
      </c>
      <c r="AP83" s="80" t="b">
        <v>0</v>
      </c>
      <c r="AQ83" s="85" t="s">
        <v>762</v>
      </c>
      <c r="AR83" s="80" t="s">
        <v>178</v>
      </c>
      <c r="AS83" s="80">
        <v>0</v>
      </c>
      <c r="AT83" s="80">
        <v>0</v>
      </c>
      <c r="AU83" s="80"/>
      <c r="AV83" s="80"/>
      <c r="AW83" s="80"/>
      <c r="AX83" s="80"/>
      <c r="AY83" s="80"/>
      <c r="AZ83" s="80"/>
      <c r="BA83" s="80"/>
      <c r="BB83" s="80"/>
      <c r="BC83">
        <v>16</v>
      </c>
      <c r="BD83" s="79" t="str">
        <f>REPLACE(INDEX(GroupVertices[Group],MATCH(Edges[[#This Row],[Vertex 1]],GroupVertices[Vertex],0)),1,1,"")</f>
        <v>3</v>
      </c>
      <c r="BE83" s="79" t="str">
        <f>REPLACE(INDEX(GroupVertices[Group],MATCH(Edges[[#This Row],[Vertex 2]],GroupVertices[Vertex],0)),1,1,"")</f>
        <v>3</v>
      </c>
      <c r="BF83" s="49">
        <v>0</v>
      </c>
      <c r="BG83" s="50">
        <v>0</v>
      </c>
      <c r="BH83" s="49">
        <v>0</v>
      </c>
      <c r="BI83" s="50">
        <v>0</v>
      </c>
      <c r="BJ83" s="49">
        <v>0</v>
      </c>
      <c r="BK83" s="50">
        <v>0</v>
      </c>
      <c r="BL83" s="49">
        <v>31</v>
      </c>
      <c r="BM83" s="50">
        <v>100</v>
      </c>
      <c r="BN83" s="49">
        <v>31</v>
      </c>
    </row>
    <row r="84" spans="1:66" ht="15">
      <c r="A84" s="65" t="s">
        <v>250</v>
      </c>
      <c r="B84" s="65" t="s">
        <v>268</v>
      </c>
      <c r="C84" s="66" t="s">
        <v>2698</v>
      </c>
      <c r="D84" s="67">
        <v>4</v>
      </c>
      <c r="E84" s="68" t="s">
        <v>132</v>
      </c>
      <c r="F84" s="69">
        <v>30</v>
      </c>
      <c r="G84" s="66"/>
      <c r="H84" s="70"/>
      <c r="I84" s="71"/>
      <c r="J84" s="71"/>
      <c r="K84" s="35" t="s">
        <v>65</v>
      </c>
      <c r="L84" s="78">
        <v>84</v>
      </c>
      <c r="M84" s="78"/>
      <c r="N84" s="73"/>
      <c r="O84" s="80" t="s">
        <v>382</v>
      </c>
      <c r="P84" s="82">
        <v>44458.40539351852</v>
      </c>
      <c r="Q84" s="80" t="s">
        <v>406</v>
      </c>
      <c r="R84" s="83" t="str">
        <f>HYPERLINK("https://www.meltingpot.org/Tapachula-frontiera-sud-del-Messico-migliaia-di-persone.html")</f>
        <v>https://www.meltingpot.org/Tapachula-frontiera-sud-del-Messico-migliaia-di-persone.html</v>
      </c>
      <c r="S84" s="80" t="s">
        <v>455</v>
      </c>
      <c r="T84" s="85" t="s">
        <v>479</v>
      </c>
      <c r="U84" s="80"/>
      <c r="V84" s="83" t="str">
        <f>HYPERLINK("https://pbs.twimg.com/profile_images/1283387370910474242/Fiq0SJMk_normal.jpg")</f>
        <v>https://pbs.twimg.com/profile_images/1283387370910474242/Fiq0SJMk_normal.jpg</v>
      </c>
      <c r="W84" s="82">
        <v>44458.40539351852</v>
      </c>
      <c r="X84" s="88">
        <v>44458</v>
      </c>
      <c r="Y84" s="85" t="s">
        <v>559</v>
      </c>
      <c r="Z84" s="83" t="str">
        <f>HYPERLINK("https://twitter.com/cheguevararoma/status/1439525614130802689")</f>
        <v>https://twitter.com/cheguevararoma/status/1439525614130802689</v>
      </c>
      <c r="AA84" s="80"/>
      <c r="AB84" s="80"/>
      <c r="AC84" s="85" t="s">
        <v>732</v>
      </c>
      <c r="AD84" s="80"/>
      <c r="AE84" s="80" t="b">
        <v>0</v>
      </c>
      <c r="AF84" s="80">
        <v>0</v>
      </c>
      <c r="AG84" s="85" t="s">
        <v>871</v>
      </c>
      <c r="AH84" s="80" t="b">
        <v>0</v>
      </c>
      <c r="AI84" s="80" t="s">
        <v>883</v>
      </c>
      <c r="AJ84" s="80"/>
      <c r="AK84" s="85" t="s">
        <v>871</v>
      </c>
      <c r="AL84" s="80" t="b">
        <v>0</v>
      </c>
      <c r="AM84" s="80">
        <v>3</v>
      </c>
      <c r="AN84" s="85" t="s">
        <v>762</v>
      </c>
      <c r="AO84" s="85" t="s">
        <v>889</v>
      </c>
      <c r="AP84" s="80" t="b">
        <v>0</v>
      </c>
      <c r="AQ84" s="85" t="s">
        <v>762</v>
      </c>
      <c r="AR84" s="80" t="s">
        <v>178</v>
      </c>
      <c r="AS84" s="80">
        <v>0</v>
      </c>
      <c r="AT84" s="80">
        <v>0</v>
      </c>
      <c r="AU84" s="80"/>
      <c r="AV84" s="80"/>
      <c r="AW84" s="80"/>
      <c r="AX84" s="80"/>
      <c r="AY84" s="80"/>
      <c r="AZ84" s="80"/>
      <c r="BA84" s="80"/>
      <c r="BB84" s="80"/>
      <c r="BC84">
        <v>1</v>
      </c>
      <c r="BD84" s="79" t="str">
        <f>REPLACE(INDEX(GroupVertices[Group],MATCH(Edges[[#This Row],[Vertex 1]],GroupVertices[Vertex],0)),1,1,"")</f>
        <v>3</v>
      </c>
      <c r="BE84" s="79" t="str">
        <f>REPLACE(INDEX(GroupVertices[Group],MATCH(Edges[[#This Row],[Vertex 2]],GroupVertices[Vertex],0)),1,1,"")</f>
        <v>3</v>
      </c>
      <c r="BF84" s="49"/>
      <c r="BG84" s="50"/>
      <c r="BH84" s="49"/>
      <c r="BI84" s="50"/>
      <c r="BJ84" s="49"/>
      <c r="BK84" s="50"/>
      <c r="BL84" s="49"/>
      <c r="BM84" s="50"/>
      <c r="BN84" s="49"/>
    </row>
    <row r="85" spans="1:66" ht="15">
      <c r="A85" s="65" t="s">
        <v>250</v>
      </c>
      <c r="B85" s="65" t="s">
        <v>269</v>
      </c>
      <c r="C85" s="66" t="s">
        <v>2698</v>
      </c>
      <c r="D85" s="67">
        <v>4</v>
      </c>
      <c r="E85" s="68" t="s">
        <v>132</v>
      </c>
      <c r="F85" s="69">
        <v>30</v>
      </c>
      <c r="G85" s="66"/>
      <c r="H85" s="70"/>
      <c r="I85" s="71"/>
      <c r="J85" s="71"/>
      <c r="K85" s="35" t="s">
        <v>65</v>
      </c>
      <c r="L85" s="78">
        <v>85</v>
      </c>
      <c r="M85" s="78"/>
      <c r="N85" s="73"/>
      <c r="O85" s="80" t="s">
        <v>383</v>
      </c>
      <c r="P85" s="82">
        <v>44458.40539351852</v>
      </c>
      <c r="Q85" s="80" t="s">
        <v>406</v>
      </c>
      <c r="R85" s="83" t="str">
        <f>HYPERLINK("https://www.meltingpot.org/Tapachula-frontiera-sud-del-Messico-migliaia-di-persone.html")</f>
        <v>https://www.meltingpot.org/Tapachula-frontiera-sud-del-Messico-migliaia-di-persone.html</v>
      </c>
      <c r="S85" s="80" t="s">
        <v>455</v>
      </c>
      <c r="T85" s="85" t="s">
        <v>479</v>
      </c>
      <c r="U85" s="80"/>
      <c r="V85" s="83" t="str">
        <f>HYPERLINK("https://pbs.twimg.com/profile_images/1283387370910474242/Fiq0SJMk_normal.jpg")</f>
        <v>https://pbs.twimg.com/profile_images/1283387370910474242/Fiq0SJMk_normal.jpg</v>
      </c>
      <c r="W85" s="82">
        <v>44458.40539351852</v>
      </c>
      <c r="X85" s="88">
        <v>44458</v>
      </c>
      <c r="Y85" s="85" t="s">
        <v>559</v>
      </c>
      <c r="Z85" s="83" t="str">
        <f>HYPERLINK("https://twitter.com/cheguevararoma/status/1439525614130802689")</f>
        <v>https://twitter.com/cheguevararoma/status/1439525614130802689</v>
      </c>
      <c r="AA85" s="80"/>
      <c r="AB85" s="80"/>
      <c r="AC85" s="85" t="s">
        <v>732</v>
      </c>
      <c r="AD85" s="80"/>
      <c r="AE85" s="80" t="b">
        <v>0</v>
      </c>
      <c r="AF85" s="80">
        <v>0</v>
      </c>
      <c r="AG85" s="85" t="s">
        <v>871</v>
      </c>
      <c r="AH85" s="80" t="b">
        <v>0</v>
      </c>
      <c r="AI85" s="80" t="s">
        <v>883</v>
      </c>
      <c r="AJ85" s="80"/>
      <c r="AK85" s="85" t="s">
        <v>871</v>
      </c>
      <c r="AL85" s="80" t="b">
        <v>0</v>
      </c>
      <c r="AM85" s="80">
        <v>3</v>
      </c>
      <c r="AN85" s="85" t="s">
        <v>762</v>
      </c>
      <c r="AO85" s="85" t="s">
        <v>889</v>
      </c>
      <c r="AP85" s="80" t="b">
        <v>0</v>
      </c>
      <c r="AQ85" s="85" t="s">
        <v>762</v>
      </c>
      <c r="AR85" s="80" t="s">
        <v>178</v>
      </c>
      <c r="AS85" s="80">
        <v>0</v>
      </c>
      <c r="AT85" s="80">
        <v>0</v>
      </c>
      <c r="AU85" s="80"/>
      <c r="AV85" s="80"/>
      <c r="AW85" s="80"/>
      <c r="AX85" s="80"/>
      <c r="AY85" s="80"/>
      <c r="AZ85" s="80"/>
      <c r="BA85" s="80"/>
      <c r="BB85" s="80"/>
      <c r="BC85">
        <v>1</v>
      </c>
      <c r="BD85" s="79" t="str">
        <f>REPLACE(INDEX(GroupVertices[Group],MATCH(Edges[[#This Row],[Vertex 1]],GroupVertices[Vertex],0)),1,1,"")</f>
        <v>3</v>
      </c>
      <c r="BE85" s="79" t="str">
        <f>REPLACE(INDEX(GroupVertices[Group],MATCH(Edges[[#This Row],[Vertex 2]],GroupVertices[Vertex],0)),1,1,"")</f>
        <v>3</v>
      </c>
      <c r="BF85" s="49">
        <v>0</v>
      </c>
      <c r="BG85" s="50">
        <v>0</v>
      </c>
      <c r="BH85" s="49">
        <v>0</v>
      </c>
      <c r="BI85" s="50">
        <v>0</v>
      </c>
      <c r="BJ85" s="49">
        <v>0</v>
      </c>
      <c r="BK85" s="50">
        <v>0</v>
      </c>
      <c r="BL85" s="49">
        <v>31</v>
      </c>
      <c r="BM85" s="50">
        <v>100</v>
      </c>
      <c r="BN85" s="49">
        <v>31</v>
      </c>
    </row>
    <row r="86" spans="1:66" ht="15">
      <c r="A86" s="65" t="s">
        <v>251</v>
      </c>
      <c r="B86" s="65" t="s">
        <v>268</v>
      </c>
      <c r="C86" s="66" t="s">
        <v>2698</v>
      </c>
      <c r="D86" s="67">
        <v>4</v>
      </c>
      <c r="E86" s="68" t="s">
        <v>132</v>
      </c>
      <c r="F86" s="69">
        <v>30</v>
      </c>
      <c r="G86" s="66"/>
      <c r="H86" s="70"/>
      <c r="I86" s="71"/>
      <c r="J86" s="71"/>
      <c r="K86" s="35" t="s">
        <v>65</v>
      </c>
      <c r="L86" s="78">
        <v>86</v>
      </c>
      <c r="M86" s="78"/>
      <c r="N86" s="73"/>
      <c r="O86" s="80" t="s">
        <v>382</v>
      </c>
      <c r="P86" s="82">
        <v>44458.524201388886</v>
      </c>
      <c r="Q86" s="80" t="s">
        <v>406</v>
      </c>
      <c r="R86" s="83" t="str">
        <f>HYPERLINK("https://www.meltingpot.org/Tapachula-frontiera-sud-del-Messico-migliaia-di-persone.html")</f>
        <v>https://www.meltingpot.org/Tapachula-frontiera-sud-del-Messico-migliaia-di-persone.html</v>
      </c>
      <c r="S86" s="80" t="s">
        <v>455</v>
      </c>
      <c r="T86" s="85" t="s">
        <v>479</v>
      </c>
      <c r="U86" s="80"/>
      <c r="V86" s="83" t="str">
        <f>HYPERLINK("https://pbs.twimg.com/profile_images/601332363382157312/1G7_6JwW_normal.jpg")</f>
        <v>https://pbs.twimg.com/profile_images/601332363382157312/1G7_6JwW_normal.jpg</v>
      </c>
      <c r="W86" s="82">
        <v>44458.524201388886</v>
      </c>
      <c r="X86" s="88">
        <v>44458</v>
      </c>
      <c r="Y86" s="85" t="s">
        <v>560</v>
      </c>
      <c r="Z86" s="83" t="str">
        <f>HYPERLINK("https://twitter.com/fraespoesposito/status/1439568671635017730")</f>
        <v>https://twitter.com/fraespoesposito/status/1439568671635017730</v>
      </c>
      <c r="AA86" s="80"/>
      <c r="AB86" s="80"/>
      <c r="AC86" s="85" t="s">
        <v>733</v>
      </c>
      <c r="AD86" s="80"/>
      <c r="AE86" s="80" t="b">
        <v>0</v>
      </c>
      <c r="AF86" s="80">
        <v>0</v>
      </c>
      <c r="AG86" s="85" t="s">
        <v>871</v>
      </c>
      <c r="AH86" s="80" t="b">
        <v>0</v>
      </c>
      <c r="AI86" s="80" t="s">
        <v>883</v>
      </c>
      <c r="AJ86" s="80"/>
      <c r="AK86" s="85" t="s">
        <v>871</v>
      </c>
      <c r="AL86" s="80" t="b">
        <v>0</v>
      </c>
      <c r="AM86" s="80">
        <v>3</v>
      </c>
      <c r="AN86" s="85" t="s">
        <v>762</v>
      </c>
      <c r="AO86" s="85" t="s">
        <v>889</v>
      </c>
      <c r="AP86" s="80" t="b">
        <v>0</v>
      </c>
      <c r="AQ86" s="85" t="s">
        <v>762</v>
      </c>
      <c r="AR86" s="80" t="s">
        <v>178</v>
      </c>
      <c r="AS86" s="80">
        <v>0</v>
      </c>
      <c r="AT86" s="80">
        <v>0</v>
      </c>
      <c r="AU86" s="80"/>
      <c r="AV86" s="80"/>
      <c r="AW86" s="80"/>
      <c r="AX86" s="80"/>
      <c r="AY86" s="80"/>
      <c r="AZ86" s="80"/>
      <c r="BA86" s="80"/>
      <c r="BB86" s="80"/>
      <c r="BC86">
        <v>1</v>
      </c>
      <c r="BD86" s="79" t="str">
        <f>REPLACE(INDEX(GroupVertices[Group],MATCH(Edges[[#This Row],[Vertex 1]],GroupVertices[Vertex],0)),1,1,"")</f>
        <v>3</v>
      </c>
      <c r="BE86" s="79" t="str">
        <f>REPLACE(INDEX(GroupVertices[Group],MATCH(Edges[[#This Row],[Vertex 2]],GroupVertices[Vertex],0)),1,1,"")</f>
        <v>3</v>
      </c>
      <c r="BF86" s="49"/>
      <c r="BG86" s="50"/>
      <c r="BH86" s="49"/>
      <c r="BI86" s="50"/>
      <c r="BJ86" s="49"/>
      <c r="BK86" s="50"/>
      <c r="BL86" s="49"/>
      <c r="BM86" s="50"/>
      <c r="BN86" s="49"/>
    </row>
    <row r="87" spans="1:66" ht="15">
      <c r="A87" s="65" t="s">
        <v>251</v>
      </c>
      <c r="B87" s="65" t="s">
        <v>269</v>
      </c>
      <c r="C87" s="66" t="s">
        <v>2698</v>
      </c>
      <c r="D87" s="67">
        <v>4</v>
      </c>
      <c r="E87" s="68" t="s">
        <v>132</v>
      </c>
      <c r="F87" s="69">
        <v>30</v>
      </c>
      <c r="G87" s="66"/>
      <c r="H87" s="70"/>
      <c r="I87" s="71"/>
      <c r="J87" s="71"/>
      <c r="K87" s="35" t="s">
        <v>65</v>
      </c>
      <c r="L87" s="78">
        <v>87</v>
      </c>
      <c r="M87" s="78"/>
      <c r="N87" s="73"/>
      <c r="O87" s="80" t="s">
        <v>383</v>
      </c>
      <c r="P87" s="82">
        <v>44458.524201388886</v>
      </c>
      <c r="Q87" s="80" t="s">
        <v>406</v>
      </c>
      <c r="R87" s="83" t="str">
        <f>HYPERLINK("https://www.meltingpot.org/Tapachula-frontiera-sud-del-Messico-migliaia-di-persone.html")</f>
        <v>https://www.meltingpot.org/Tapachula-frontiera-sud-del-Messico-migliaia-di-persone.html</v>
      </c>
      <c r="S87" s="80" t="s">
        <v>455</v>
      </c>
      <c r="T87" s="85" t="s">
        <v>479</v>
      </c>
      <c r="U87" s="80"/>
      <c r="V87" s="83" t="str">
        <f>HYPERLINK("https://pbs.twimg.com/profile_images/601332363382157312/1G7_6JwW_normal.jpg")</f>
        <v>https://pbs.twimg.com/profile_images/601332363382157312/1G7_6JwW_normal.jpg</v>
      </c>
      <c r="W87" s="82">
        <v>44458.524201388886</v>
      </c>
      <c r="X87" s="88">
        <v>44458</v>
      </c>
      <c r="Y87" s="85" t="s">
        <v>560</v>
      </c>
      <c r="Z87" s="83" t="str">
        <f>HYPERLINK("https://twitter.com/fraespoesposito/status/1439568671635017730")</f>
        <v>https://twitter.com/fraespoesposito/status/1439568671635017730</v>
      </c>
      <c r="AA87" s="80"/>
      <c r="AB87" s="80"/>
      <c r="AC87" s="85" t="s">
        <v>733</v>
      </c>
      <c r="AD87" s="80"/>
      <c r="AE87" s="80" t="b">
        <v>0</v>
      </c>
      <c r="AF87" s="80">
        <v>0</v>
      </c>
      <c r="AG87" s="85" t="s">
        <v>871</v>
      </c>
      <c r="AH87" s="80" t="b">
        <v>0</v>
      </c>
      <c r="AI87" s="80" t="s">
        <v>883</v>
      </c>
      <c r="AJ87" s="80"/>
      <c r="AK87" s="85" t="s">
        <v>871</v>
      </c>
      <c r="AL87" s="80" t="b">
        <v>0</v>
      </c>
      <c r="AM87" s="80">
        <v>3</v>
      </c>
      <c r="AN87" s="85" t="s">
        <v>762</v>
      </c>
      <c r="AO87" s="85" t="s">
        <v>889</v>
      </c>
      <c r="AP87" s="80" t="b">
        <v>0</v>
      </c>
      <c r="AQ87" s="85" t="s">
        <v>762</v>
      </c>
      <c r="AR87" s="80" t="s">
        <v>178</v>
      </c>
      <c r="AS87" s="80">
        <v>0</v>
      </c>
      <c r="AT87" s="80">
        <v>0</v>
      </c>
      <c r="AU87" s="80"/>
      <c r="AV87" s="80"/>
      <c r="AW87" s="80"/>
      <c r="AX87" s="80"/>
      <c r="AY87" s="80"/>
      <c r="AZ87" s="80"/>
      <c r="BA87" s="80"/>
      <c r="BB87" s="80"/>
      <c r="BC87">
        <v>1</v>
      </c>
      <c r="BD87" s="79" t="str">
        <f>REPLACE(INDEX(GroupVertices[Group],MATCH(Edges[[#This Row],[Vertex 1]],GroupVertices[Vertex],0)),1,1,"")</f>
        <v>3</v>
      </c>
      <c r="BE87" s="79" t="str">
        <f>REPLACE(INDEX(GroupVertices[Group],MATCH(Edges[[#This Row],[Vertex 2]],GroupVertices[Vertex],0)),1,1,"")</f>
        <v>3</v>
      </c>
      <c r="BF87" s="49">
        <v>0</v>
      </c>
      <c r="BG87" s="50">
        <v>0</v>
      </c>
      <c r="BH87" s="49">
        <v>0</v>
      </c>
      <c r="BI87" s="50">
        <v>0</v>
      </c>
      <c r="BJ87" s="49">
        <v>0</v>
      </c>
      <c r="BK87" s="50">
        <v>0</v>
      </c>
      <c r="BL87" s="49">
        <v>31</v>
      </c>
      <c r="BM87" s="50">
        <v>100</v>
      </c>
      <c r="BN87" s="49">
        <v>31</v>
      </c>
    </row>
    <row r="88" spans="1:66" ht="15">
      <c r="A88" s="65" t="s">
        <v>252</v>
      </c>
      <c r="B88" s="65" t="s">
        <v>252</v>
      </c>
      <c r="C88" s="66" t="s">
        <v>2698</v>
      </c>
      <c r="D88" s="67">
        <v>4</v>
      </c>
      <c r="E88" s="68" t="s">
        <v>132</v>
      </c>
      <c r="F88" s="69">
        <v>30</v>
      </c>
      <c r="G88" s="66"/>
      <c r="H88" s="70"/>
      <c r="I88" s="71"/>
      <c r="J88" s="71"/>
      <c r="K88" s="35" t="s">
        <v>65</v>
      </c>
      <c r="L88" s="78">
        <v>88</v>
      </c>
      <c r="M88" s="78"/>
      <c r="N88" s="73"/>
      <c r="O88" s="80" t="s">
        <v>178</v>
      </c>
      <c r="P88" s="82">
        <v>43420.129965277774</v>
      </c>
      <c r="Q88" s="80" t="s">
        <v>407</v>
      </c>
      <c r="R88" s="80"/>
      <c r="S88" s="80"/>
      <c r="T88" s="85" t="s">
        <v>485</v>
      </c>
      <c r="U88" s="83" t="str">
        <f>HYPERLINK("https://pbs.twimg.com/ext_tw_video_thumb/1063266920055488512/pu/img/ojq0cfhTX2yLgGGr.jpg")</f>
        <v>https://pbs.twimg.com/ext_tw_video_thumb/1063266920055488512/pu/img/ojq0cfhTX2yLgGGr.jpg</v>
      </c>
      <c r="V88" s="83" t="str">
        <f>HYPERLINK("https://pbs.twimg.com/ext_tw_video_thumb/1063266920055488512/pu/img/ojq0cfhTX2yLgGGr.jpg")</f>
        <v>https://pbs.twimg.com/ext_tw_video_thumb/1063266920055488512/pu/img/ojq0cfhTX2yLgGGr.jpg</v>
      </c>
      <c r="W88" s="82">
        <v>43420.129965277774</v>
      </c>
      <c r="X88" s="88">
        <v>43420</v>
      </c>
      <c r="Y88" s="85" t="s">
        <v>561</v>
      </c>
      <c r="Z88" s="83" t="str">
        <f>HYPERLINK("https://twitter.com/pmcdonnelllat/status/1063267200788848641")</f>
        <v>https://twitter.com/pmcdonnelllat/status/1063267200788848641</v>
      </c>
      <c r="AA88" s="80"/>
      <c r="AB88" s="80"/>
      <c r="AC88" s="85" t="s">
        <v>734</v>
      </c>
      <c r="AD88" s="85" t="s">
        <v>866</v>
      </c>
      <c r="AE88" s="80" t="b">
        <v>0</v>
      </c>
      <c r="AF88" s="80">
        <v>12</v>
      </c>
      <c r="AG88" s="85" t="s">
        <v>874</v>
      </c>
      <c r="AH88" s="80" t="b">
        <v>0</v>
      </c>
      <c r="AI88" s="80" t="s">
        <v>881</v>
      </c>
      <c r="AJ88" s="80"/>
      <c r="AK88" s="85" t="s">
        <v>871</v>
      </c>
      <c r="AL88" s="80" t="b">
        <v>0</v>
      </c>
      <c r="AM88" s="80">
        <v>15</v>
      </c>
      <c r="AN88" s="85" t="s">
        <v>871</v>
      </c>
      <c r="AO88" s="85" t="s">
        <v>890</v>
      </c>
      <c r="AP88" s="80" t="b">
        <v>0</v>
      </c>
      <c r="AQ88" s="85" t="s">
        <v>866</v>
      </c>
      <c r="AR88" s="80" t="s">
        <v>383</v>
      </c>
      <c r="AS88" s="80">
        <v>0</v>
      </c>
      <c r="AT88" s="80">
        <v>0</v>
      </c>
      <c r="AU88" s="80"/>
      <c r="AV88" s="80"/>
      <c r="AW88" s="80"/>
      <c r="AX88" s="80"/>
      <c r="AY88" s="80"/>
      <c r="AZ88" s="80"/>
      <c r="BA88" s="80"/>
      <c r="BB88" s="80"/>
      <c r="BC88">
        <v>1</v>
      </c>
      <c r="BD88" s="79" t="str">
        <f>REPLACE(INDEX(GroupVertices[Group],MATCH(Edges[[#This Row],[Vertex 1]],GroupVertices[Vertex],0)),1,1,"")</f>
        <v>23</v>
      </c>
      <c r="BE88" s="79" t="str">
        <f>REPLACE(INDEX(GroupVertices[Group],MATCH(Edges[[#This Row],[Vertex 2]],GroupVertices[Vertex],0)),1,1,"")</f>
        <v>23</v>
      </c>
      <c r="BF88" s="49">
        <v>0</v>
      </c>
      <c r="BG88" s="50">
        <v>0</v>
      </c>
      <c r="BH88" s="49">
        <v>0</v>
      </c>
      <c r="BI88" s="50">
        <v>0</v>
      </c>
      <c r="BJ88" s="49">
        <v>0</v>
      </c>
      <c r="BK88" s="50">
        <v>0</v>
      </c>
      <c r="BL88" s="49">
        <v>17</v>
      </c>
      <c r="BM88" s="50">
        <v>100</v>
      </c>
      <c r="BN88" s="49">
        <v>17</v>
      </c>
    </row>
    <row r="89" spans="1:66" ht="15">
      <c r="A89" s="65" t="s">
        <v>253</v>
      </c>
      <c r="B89" s="65" t="s">
        <v>252</v>
      </c>
      <c r="C89" s="66" t="s">
        <v>2698</v>
      </c>
      <c r="D89" s="67">
        <v>4</v>
      </c>
      <c r="E89" s="68" t="s">
        <v>132</v>
      </c>
      <c r="F89" s="69">
        <v>30</v>
      </c>
      <c r="G89" s="66"/>
      <c r="H89" s="70"/>
      <c r="I89" s="71"/>
      <c r="J89" s="71"/>
      <c r="K89" s="35" t="s">
        <v>65</v>
      </c>
      <c r="L89" s="78">
        <v>89</v>
      </c>
      <c r="M89" s="78"/>
      <c r="N89" s="73"/>
      <c r="O89" s="80" t="s">
        <v>383</v>
      </c>
      <c r="P89" s="82">
        <v>44458.594305555554</v>
      </c>
      <c r="Q89" s="80" t="s">
        <v>407</v>
      </c>
      <c r="R89" s="80"/>
      <c r="S89" s="80"/>
      <c r="T89" s="85" t="s">
        <v>485</v>
      </c>
      <c r="U89" s="83" t="str">
        <f>HYPERLINK("https://pbs.twimg.com/ext_tw_video_thumb/1063266920055488512/pu/img/ojq0cfhTX2yLgGGr.jpg")</f>
        <v>https://pbs.twimg.com/ext_tw_video_thumb/1063266920055488512/pu/img/ojq0cfhTX2yLgGGr.jpg</v>
      </c>
      <c r="V89" s="83" t="str">
        <f>HYPERLINK("https://pbs.twimg.com/ext_tw_video_thumb/1063266920055488512/pu/img/ojq0cfhTX2yLgGGr.jpg")</f>
        <v>https://pbs.twimg.com/ext_tw_video_thumb/1063266920055488512/pu/img/ojq0cfhTX2yLgGGr.jpg</v>
      </c>
      <c r="W89" s="82">
        <v>44458.594305555554</v>
      </c>
      <c r="X89" s="88">
        <v>44458</v>
      </c>
      <c r="Y89" s="85" t="s">
        <v>562</v>
      </c>
      <c r="Z89" s="83" t="str">
        <f>HYPERLINK("https://twitter.com/gopnik_slavic/status/1439594075917783045")</f>
        <v>https://twitter.com/gopnik_slavic/status/1439594075917783045</v>
      </c>
      <c r="AA89" s="80"/>
      <c r="AB89" s="80"/>
      <c r="AC89" s="85" t="s">
        <v>735</v>
      </c>
      <c r="AD89" s="80"/>
      <c r="AE89" s="80" t="b">
        <v>0</v>
      </c>
      <c r="AF89" s="80">
        <v>0</v>
      </c>
      <c r="AG89" s="85" t="s">
        <v>871</v>
      </c>
      <c r="AH89" s="80" t="b">
        <v>0</v>
      </c>
      <c r="AI89" s="80" t="s">
        <v>881</v>
      </c>
      <c r="AJ89" s="80"/>
      <c r="AK89" s="85" t="s">
        <v>871</v>
      </c>
      <c r="AL89" s="80" t="b">
        <v>0</v>
      </c>
      <c r="AM89" s="80">
        <v>15</v>
      </c>
      <c r="AN89" s="85" t="s">
        <v>734</v>
      </c>
      <c r="AO89" s="85" t="s">
        <v>890</v>
      </c>
      <c r="AP89" s="80" t="b">
        <v>0</v>
      </c>
      <c r="AQ89" s="85" t="s">
        <v>734</v>
      </c>
      <c r="AR89" s="80" t="s">
        <v>178</v>
      </c>
      <c r="AS89" s="80">
        <v>0</v>
      </c>
      <c r="AT89" s="80">
        <v>0</v>
      </c>
      <c r="AU89" s="80"/>
      <c r="AV89" s="80"/>
      <c r="AW89" s="80"/>
      <c r="AX89" s="80"/>
      <c r="AY89" s="80"/>
      <c r="AZ89" s="80"/>
      <c r="BA89" s="80"/>
      <c r="BB89" s="80"/>
      <c r="BC89">
        <v>1</v>
      </c>
      <c r="BD89" s="79" t="str">
        <f>REPLACE(INDEX(GroupVertices[Group],MATCH(Edges[[#This Row],[Vertex 1]],GroupVertices[Vertex],0)),1,1,"")</f>
        <v>23</v>
      </c>
      <c r="BE89" s="79" t="str">
        <f>REPLACE(INDEX(GroupVertices[Group],MATCH(Edges[[#This Row],[Vertex 2]],GroupVertices[Vertex],0)),1,1,"")</f>
        <v>23</v>
      </c>
      <c r="BF89" s="49">
        <v>0</v>
      </c>
      <c r="BG89" s="50">
        <v>0</v>
      </c>
      <c r="BH89" s="49">
        <v>0</v>
      </c>
      <c r="BI89" s="50">
        <v>0</v>
      </c>
      <c r="BJ89" s="49">
        <v>0</v>
      </c>
      <c r="BK89" s="50">
        <v>0</v>
      </c>
      <c r="BL89" s="49">
        <v>17</v>
      </c>
      <c r="BM89" s="50">
        <v>100</v>
      </c>
      <c r="BN89" s="49">
        <v>17</v>
      </c>
    </row>
    <row r="90" spans="1:66" ht="15">
      <c r="A90" s="65" t="s">
        <v>254</v>
      </c>
      <c r="B90" s="65" t="s">
        <v>254</v>
      </c>
      <c r="C90" s="66" t="s">
        <v>2699</v>
      </c>
      <c r="D90" s="67">
        <v>10</v>
      </c>
      <c r="E90" s="68" t="s">
        <v>132</v>
      </c>
      <c r="F90" s="69">
        <v>10</v>
      </c>
      <c r="G90" s="66"/>
      <c r="H90" s="70"/>
      <c r="I90" s="71"/>
      <c r="J90" s="71"/>
      <c r="K90" s="35" t="s">
        <v>65</v>
      </c>
      <c r="L90" s="78">
        <v>90</v>
      </c>
      <c r="M90" s="78"/>
      <c r="N90" s="73"/>
      <c r="O90" s="80" t="s">
        <v>178</v>
      </c>
      <c r="P90" s="82">
        <v>44456.62645833333</v>
      </c>
      <c r="Q90" s="80" t="s">
        <v>392</v>
      </c>
      <c r="R90" s="83" t="str">
        <f>HYPERLINK("https://www.mexnewz.mx/detectan-covid-en-20-de-pruebas-realizadas-a-migrantes/")</f>
        <v>https://www.mexnewz.mx/detectan-covid-en-20-de-pruebas-realizadas-a-migrantes/</v>
      </c>
      <c r="S90" s="80" t="s">
        <v>452</v>
      </c>
      <c r="T90" s="85" t="s">
        <v>473</v>
      </c>
      <c r="U90" s="83" t="str">
        <f>HYPERLINK("https://pbs.twimg.com/media/E_fumieXsAIlIMT.jpg")</f>
        <v>https://pbs.twimg.com/media/E_fumieXsAIlIMT.jpg</v>
      </c>
      <c r="V90" s="83" t="str">
        <f>HYPERLINK("https://pbs.twimg.com/media/E_fumieXsAIlIMT.jpg")</f>
        <v>https://pbs.twimg.com/media/E_fumieXsAIlIMT.jpg</v>
      </c>
      <c r="W90" s="82">
        <v>44456.62645833333</v>
      </c>
      <c r="X90" s="88">
        <v>44456</v>
      </c>
      <c r="Y90" s="85" t="s">
        <v>563</v>
      </c>
      <c r="Z90" s="83" t="str">
        <f>HYPERLINK("https://twitter.com/mexnewz/status/1438880952873361413")</f>
        <v>https://twitter.com/mexnewz/status/1438880952873361413</v>
      </c>
      <c r="AA90" s="80"/>
      <c r="AB90" s="80"/>
      <c r="AC90" s="85" t="s">
        <v>736</v>
      </c>
      <c r="AD90" s="80"/>
      <c r="AE90" s="80" t="b">
        <v>0</v>
      </c>
      <c r="AF90" s="80">
        <v>0</v>
      </c>
      <c r="AG90" s="85" t="s">
        <v>871</v>
      </c>
      <c r="AH90" s="80" t="b">
        <v>0</v>
      </c>
      <c r="AI90" s="80" t="s">
        <v>882</v>
      </c>
      <c r="AJ90" s="80"/>
      <c r="AK90" s="85" t="s">
        <v>871</v>
      </c>
      <c r="AL90" s="80" t="b">
        <v>0</v>
      </c>
      <c r="AM90" s="80">
        <v>1</v>
      </c>
      <c r="AN90" s="85" t="s">
        <v>871</v>
      </c>
      <c r="AO90" s="85" t="s">
        <v>892</v>
      </c>
      <c r="AP90" s="80" t="b">
        <v>0</v>
      </c>
      <c r="AQ90" s="85" t="s">
        <v>736</v>
      </c>
      <c r="AR90" s="80" t="s">
        <v>178</v>
      </c>
      <c r="AS90" s="80">
        <v>0</v>
      </c>
      <c r="AT90" s="80">
        <v>0</v>
      </c>
      <c r="AU90" s="80"/>
      <c r="AV90" s="80"/>
      <c r="AW90" s="80"/>
      <c r="AX90" s="80"/>
      <c r="AY90" s="80"/>
      <c r="AZ90" s="80"/>
      <c r="BA90" s="80"/>
      <c r="BB90" s="80"/>
      <c r="BC90">
        <v>4</v>
      </c>
      <c r="BD90" s="79" t="str">
        <f>REPLACE(INDEX(GroupVertices[Group],MATCH(Edges[[#This Row],[Vertex 1]],GroupVertices[Vertex],0)),1,1,"")</f>
        <v>26</v>
      </c>
      <c r="BE90" s="79" t="str">
        <f>REPLACE(INDEX(GroupVertices[Group],MATCH(Edges[[#This Row],[Vertex 2]],GroupVertices[Vertex],0)),1,1,"")</f>
        <v>26</v>
      </c>
      <c r="BF90" s="49">
        <v>0</v>
      </c>
      <c r="BG90" s="50">
        <v>0</v>
      </c>
      <c r="BH90" s="49">
        <v>0</v>
      </c>
      <c r="BI90" s="50">
        <v>0</v>
      </c>
      <c r="BJ90" s="49">
        <v>0</v>
      </c>
      <c r="BK90" s="50">
        <v>0</v>
      </c>
      <c r="BL90" s="49">
        <v>15</v>
      </c>
      <c r="BM90" s="50">
        <v>100</v>
      </c>
      <c r="BN90" s="49">
        <v>15</v>
      </c>
    </row>
    <row r="91" spans="1:66" ht="15">
      <c r="A91" s="65" t="s">
        <v>254</v>
      </c>
      <c r="B91" s="65" t="s">
        <v>254</v>
      </c>
      <c r="C91" s="66" t="s">
        <v>2699</v>
      </c>
      <c r="D91" s="67">
        <v>10</v>
      </c>
      <c r="E91" s="68" t="s">
        <v>132</v>
      </c>
      <c r="F91" s="69">
        <v>10</v>
      </c>
      <c r="G91" s="66"/>
      <c r="H91" s="70"/>
      <c r="I91" s="71"/>
      <c r="J91" s="71"/>
      <c r="K91" s="35" t="s">
        <v>65</v>
      </c>
      <c r="L91" s="78">
        <v>91</v>
      </c>
      <c r="M91" s="78"/>
      <c r="N91" s="73"/>
      <c r="O91" s="80" t="s">
        <v>178</v>
      </c>
      <c r="P91" s="82">
        <v>44458.64597222222</v>
      </c>
      <c r="Q91" s="80" t="s">
        <v>408</v>
      </c>
      <c r="R91" s="83" t="str">
        <f>HYPERLINK("https://www.mexnewz.mx/mexico-y-haiti-establecen-mesa-de-dialogo-por-migrantes/")</f>
        <v>https://www.mexnewz.mx/mexico-y-haiti-establecen-mesa-de-dialogo-por-migrantes/</v>
      </c>
      <c r="S91" s="80" t="s">
        <v>452</v>
      </c>
      <c r="T91" s="85" t="s">
        <v>486</v>
      </c>
      <c r="U91" s="83" t="str">
        <f>HYPERLINK("https://pbs.twimg.com/media/E_qINigWEAkTKE1.jpg")</f>
        <v>https://pbs.twimg.com/media/E_qINigWEAkTKE1.jpg</v>
      </c>
      <c r="V91" s="83" t="str">
        <f>HYPERLINK("https://pbs.twimg.com/media/E_qINigWEAkTKE1.jpg")</f>
        <v>https://pbs.twimg.com/media/E_qINigWEAkTKE1.jpg</v>
      </c>
      <c r="W91" s="82">
        <v>44458.64597222222</v>
      </c>
      <c r="X91" s="88">
        <v>44458</v>
      </c>
      <c r="Y91" s="85" t="s">
        <v>564</v>
      </c>
      <c r="Z91" s="83" t="str">
        <f>HYPERLINK("https://twitter.com/mexnewz/status/1439612798552657920")</f>
        <v>https://twitter.com/mexnewz/status/1439612798552657920</v>
      </c>
      <c r="AA91" s="80"/>
      <c r="AB91" s="80"/>
      <c r="AC91" s="85" t="s">
        <v>737</v>
      </c>
      <c r="AD91" s="80"/>
      <c r="AE91" s="80" t="b">
        <v>0</v>
      </c>
      <c r="AF91" s="80">
        <v>1</v>
      </c>
      <c r="AG91" s="85" t="s">
        <v>871</v>
      </c>
      <c r="AH91" s="80" t="b">
        <v>0</v>
      </c>
      <c r="AI91" s="80" t="s">
        <v>882</v>
      </c>
      <c r="AJ91" s="80"/>
      <c r="AK91" s="85" t="s">
        <v>871</v>
      </c>
      <c r="AL91" s="80" t="b">
        <v>0</v>
      </c>
      <c r="AM91" s="80">
        <v>0</v>
      </c>
      <c r="AN91" s="85" t="s">
        <v>871</v>
      </c>
      <c r="AO91" s="85" t="s">
        <v>892</v>
      </c>
      <c r="AP91" s="80" t="b">
        <v>0</v>
      </c>
      <c r="AQ91" s="85" t="s">
        <v>737</v>
      </c>
      <c r="AR91" s="80" t="s">
        <v>178</v>
      </c>
      <c r="AS91" s="80">
        <v>0</v>
      </c>
      <c r="AT91" s="80">
        <v>0</v>
      </c>
      <c r="AU91" s="80"/>
      <c r="AV91" s="80"/>
      <c r="AW91" s="80"/>
      <c r="AX91" s="80"/>
      <c r="AY91" s="80"/>
      <c r="AZ91" s="80"/>
      <c r="BA91" s="80"/>
      <c r="BB91" s="80"/>
      <c r="BC91">
        <v>4</v>
      </c>
      <c r="BD91" s="79" t="str">
        <f>REPLACE(INDEX(GroupVertices[Group],MATCH(Edges[[#This Row],[Vertex 1]],GroupVertices[Vertex],0)),1,1,"")</f>
        <v>26</v>
      </c>
      <c r="BE91" s="79" t="str">
        <f>REPLACE(INDEX(GroupVertices[Group],MATCH(Edges[[#This Row],[Vertex 2]],GroupVertices[Vertex],0)),1,1,"")</f>
        <v>26</v>
      </c>
      <c r="BF91" s="49">
        <v>0</v>
      </c>
      <c r="BG91" s="50">
        <v>0</v>
      </c>
      <c r="BH91" s="49">
        <v>0</v>
      </c>
      <c r="BI91" s="50">
        <v>0</v>
      </c>
      <c r="BJ91" s="49">
        <v>0</v>
      </c>
      <c r="BK91" s="50">
        <v>0</v>
      </c>
      <c r="BL91" s="49">
        <v>13</v>
      </c>
      <c r="BM91" s="50">
        <v>100</v>
      </c>
      <c r="BN91" s="49">
        <v>13</v>
      </c>
    </row>
    <row r="92" spans="1:66" ht="15">
      <c r="A92" s="65" t="s">
        <v>255</v>
      </c>
      <c r="B92" s="65" t="s">
        <v>257</v>
      </c>
      <c r="C92" s="66" t="s">
        <v>2698</v>
      </c>
      <c r="D92" s="67">
        <v>4</v>
      </c>
      <c r="E92" s="68" t="s">
        <v>132</v>
      </c>
      <c r="F92" s="69">
        <v>30</v>
      </c>
      <c r="G92" s="66"/>
      <c r="H92" s="70"/>
      <c r="I92" s="71"/>
      <c r="J92" s="71"/>
      <c r="K92" s="35" t="s">
        <v>65</v>
      </c>
      <c r="L92" s="78">
        <v>92</v>
      </c>
      <c r="M92" s="78"/>
      <c r="N92" s="73"/>
      <c r="O92" s="80" t="s">
        <v>383</v>
      </c>
      <c r="P92" s="82">
        <v>44458.71134259259</v>
      </c>
      <c r="Q92" s="80" t="s">
        <v>409</v>
      </c>
      <c r="R92" s="83" t="str">
        <f>HYPERLINK("http://gabinete.mx/index.php/es/component/k2/item/658-amlo-seguimiento-septiembre-2021")</f>
        <v>http://gabinete.mx/index.php/es/component/k2/item/658-amlo-seguimiento-septiembre-2021</v>
      </c>
      <c r="S92" s="80" t="s">
        <v>459</v>
      </c>
      <c r="T92" s="80"/>
      <c r="U92" s="83" t="str">
        <f>HYPERLINK("https://pbs.twimg.com/media/E_qdJWxVcAAhOWx.jpg")</f>
        <v>https://pbs.twimg.com/media/E_qdJWxVcAAhOWx.jpg</v>
      </c>
      <c r="V92" s="83" t="str">
        <f>HYPERLINK("https://pbs.twimg.com/media/E_qdJWxVcAAhOWx.jpg")</f>
        <v>https://pbs.twimg.com/media/E_qdJWxVcAAhOWx.jpg</v>
      </c>
      <c r="W92" s="82">
        <v>44458.71134259259</v>
      </c>
      <c r="X92" s="88">
        <v>44458</v>
      </c>
      <c r="Y92" s="85" t="s">
        <v>565</v>
      </c>
      <c r="Z92" s="83" t="str">
        <f>HYPERLINK("https://twitter.com/anaschwarz/status/1439636489340473346")</f>
        <v>https://twitter.com/anaschwarz/status/1439636489340473346</v>
      </c>
      <c r="AA92" s="80"/>
      <c r="AB92" s="80"/>
      <c r="AC92" s="85" t="s">
        <v>738</v>
      </c>
      <c r="AD92" s="80"/>
      <c r="AE92" s="80" t="b">
        <v>0</v>
      </c>
      <c r="AF92" s="80">
        <v>0</v>
      </c>
      <c r="AG92" s="85" t="s">
        <v>871</v>
      </c>
      <c r="AH92" s="80" t="b">
        <v>0</v>
      </c>
      <c r="AI92" s="80" t="s">
        <v>882</v>
      </c>
      <c r="AJ92" s="80"/>
      <c r="AK92" s="85" t="s">
        <v>871</v>
      </c>
      <c r="AL92" s="80" t="b">
        <v>0</v>
      </c>
      <c r="AM92" s="80">
        <v>3</v>
      </c>
      <c r="AN92" s="85" t="s">
        <v>742</v>
      </c>
      <c r="AO92" s="85" t="s">
        <v>890</v>
      </c>
      <c r="AP92" s="80" t="b">
        <v>0</v>
      </c>
      <c r="AQ92" s="85" t="s">
        <v>742</v>
      </c>
      <c r="AR92" s="80" t="s">
        <v>178</v>
      </c>
      <c r="AS92" s="80">
        <v>0</v>
      </c>
      <c r="AT92" s="80">
        <v>0</v>
      </c>
      <c r="AU92" s="80"/>
      <c r="AV92" s="80"/>
      <c r="AW92" s="80"/>
      <c r="AX92" s="80"/>
      <c r="AY92" s="80"/>
      <c r="AZ92" s="80"/>
      <c r="BA92" s="80"/>
      <c r="BB92" s="80"/>
      <c r="BC92">
        <v>1</v>
      </c>
      <c r="BD92" s="79" t="str">
        <f>REPLACE(INDEX(GroupVertices[Group],MATCH(Edges[[#This Row],[Vertex 1]],GroupVertices[Vertex],0)),1,1,"")</f>
        <v>11</v>
      </c>
      <c r="BE92" s="79" t="str">
        <f>REPLACE(INDEX(GroupVertices[Group],MATCH(Edges[[#This Row],[Vertex 2]],GroupVertices[Vertex],0)),1,1,"")</f>
        <v>11</v>
      </c>
      <c r="BF92" s="49">
        <v>0</v>
      </c>
      <c r="BG92" s="50">
        <v>0</v>
      </c>
      <c r="BH92" s="49">
        <v>0</v>
      </c>
      <c r="BI92" s="50">
        <v>0</v>
      </c>
      <c r="BJ92" s="49">
        <v>0</v>
      </c>
      <c r="BK92" s="50">
        <v>0</v>
      </c>
      <c r="BL92" s="49">
        <v>16</v>
      </c>
      <c r="BM92" s="50">
        <v>100</v>
      </c>
      <c r="BN92" s="49">
        <v>16</v>
      </c>
    </row>
    <row r="93" spans="1:66" ht="15">
      <c r="A93" s="65" t="s">
        <v>256</v>
      </c>
      <c r="B93" s="65" t="s">
        <v>257</v>
      </c>
      <c r="C93" s="66" t="s">
        <v>2699</v>
      </c>
      <c r="D93" s="67">
        <v>10</v>
      </c>
      <c r="E93" s="68" t="s">
        <v>132</v>
      </c>
      <c r="F93" s="69">
        <v>10</v>
      </c>
      <c r="G93" s="66"/>
      <c r="H93" s="70"/>
      <c r="I93" s="71"/>
      <c r="J93" s="71"/>
      <c r="K93" s="35" t="s">
        <v>65</v>
      </c>
      <c r="L93" s="78">
        <v>93</v>
      </c>
      <c r="M93" s="78"/>
      <c r="N93" s="73"/>
      <c r="O93" s="80" t="s">
        <v>383</v>
      </c>
      <c r="P93" s="82">
        <v>44458.71324074074</v>
      </c>
      <c r="Q93" s="80" t="s">
        <v>409</v>
      </c>
      <c r="R93" s="83" t="str">
        <f>HYPERLINK("http://gabinete.mx/index.php/es/component/k2/item/658-amlo-seguimiento-septiembre-2021")</f>
        <v>http://gabinete.mx/index.php/es/component/k2/item/658-amlo-seguimiento-septiembre-2021</v>
      </c>
      <c r="S93" s="80" t="s">
        <v>459</v>
      </c>
      <c r="T93" s="80"/>
      <c r="U93" s="83" t="str">
        <f>HYPERLINK("https://pbs.twimg.com/media/E_qdJWxVcAAhOWx.jpg")</f>
        <v>https://pbs.twimg.com/media/E_qdJWxVcAAhOWx.jpg</v>
      </c>
      <c r="V93" s="83" t="str">
        <f>HYPERLINK("https://pbs.twimg.com/media/E_qdJWxVcAAhOWx.jpg")</f>
        <v>https://pbs.twimg.com/media/E_qdJWxVcAAhOWx.jpg</v>
      </c>
      <c r="W93" s="82">
        <v>44458.71324074074</v>
      </c>
      <c r="X93" s="88">
        <v>44458</v>
      </c>
      <c r="Y93" s="85" t="s">
        <v>566</v>
      </c>
      <c r="Z93" s="83" t="str">
        <f>HYPERLINK("https://twitter.com/dianadi58/status/1439637173905600512")</f>
        <v>https://twitter.com/dianadi58/status/1439637173905600512</v>
      </c>
      <c r="AA93" s="80"/>
      <c r="AB93" s="80"/>
      <c r="AC93" s="85" t="s">
        <v>739</v>
      </c>
      <c r="AD93" s="80"/>
      <c r="AE93" s="80" t="b">
        <v>0</v>
      </c>
      <c r="AF93" s="80">
        <v>0</v>
      </c>
      <c r="AG93" s="85" t="s">
        <v>871</v>
      </c>
      <c r="AH93" s="80" t="b">
        <v>0</v>
      </c>
      <c r="AI93" s="80" t="s">
        <v>882</v>
      </c>
      <c r="AJ93" s="80"/>
      <c r="AK93" s="85" t="s">
        <v>871</v>
      </c>
      <c r="AL93" s="80" t="b">
        <v>0</v>
      </c>
      <c r="AM93" s="80">
        <v>3</v>
      </c>
      <c r="AN93" s="85" t="s">
        <v>742</v>
      </c>
      <c r="AO93" s="85" t="s">
        <v>890</v>
      </c>
      <c r="AP93" s="80" t="b">
        <v>0</v>
      </c>
      <c r="AQ93" s="85" t="s">
        <v>742</v>
      </c>
      <c r="AR93" s="80" t="s">
        <v>178</v>
      </c>
      <c r="AS93" s="80">
        <v>0</v>
      </c>
      <c r="AT93" s="80">
        <v>0</v>
      </c>
      <c r="AU93" s="80"/>
      <c r="AV93" s="80"/>
      <c r="AW93" s="80"/>
      <c r="AX93" s="80"/>
      <c r="AY93" s="80"/>
      <c r="AZ93" s="80"/>
      <c r="BA93" s="80"/>
      <c r="BB93" s="80"/>
      <c r="BC93">
        <v>4</v>
      </c>
      <c r="BD93" s="79" t="str">
        <f>REPLACE(INDEX(GroupVertices[Group],MATCH(Edges[[#This Row],[Vertex 1]],GroupVertices[Vertex],0)),1,1,"")</f>
        <v>11</v>
      </c>
      <c r="BE93" s="79" t="str">
        <f>REPLACE(INDEX(GroupVertices[Group],MATCH(Edges[[#This Row],[Vertex 2]],GroupVertices[Vertex],0)),1,1,"")</f>
        <v>11</v>
      </c>
      <c r="BF93" s="49">
        <v>0</v>
      </c>
      <c r="BG93" s="50">
        <v>0</v>
      </c>
      <c r="BH93" s="49">
        <v>0</v>
      </c>
      <c r="BI93" s="50">
        <v>0</v>
      </c>
      <c r="BJ93" s="49">
        <v>0</v>
      </c>
      <c r="BK93" s="50">
        <v>0</v>
      </c>
      <c r="BL93" s="49">
        <v>16</v>
      </c>
      <c r="BM93" s="50">
        <v>100</v>
      </c>
      <c r="BN93" s="49">
        <v>16</v>
      </c>
    </row>
    <row r="94" spans="1:66" ht="15">
      <c r="A94" s="65" t="s">
        <v>256</v>
      </c>
      <c r="B94" s="65" t="s">
        <v>257</v>
      </c>
      <c r="C94" s="66" t="s">
        <v>2699</v>
      </c>
      <c r="D94" s="67">
        <v>10</v>
      </c>
      <c r="E94" s="68" t="s">
        <v>132</v>
      </c>
      <c r="F94" s="69">
        <v>10</v>
      </c>
      <c r="G94" s="66"/>
      <c r="H94" s="70"/>
      <c r="I94" s="71"/>
      <c r="J94" s="71"/>
      <c r="K94" s="35" t="s">
        <v>65</v>
      </c>
      <c r="L94" s="78">
        <v>94</v>
      </c>
      <c r="M94" s="78"/>
      <c r="N94" s="73"/>
      <c r="O94" s="80" t="s">
        <v>383</v>
      </c>
      <c r="P94" s="82">
        <v>44458.843622685185</v>
      </c>
      <c r="Q94" s="80" t="s">
        <v>410</v>
      </c>
      <c r="R94" s="83" t="str">
        <f>HYPERLINK("http://gabinete.mx/index.php/es/component/k2/item/658-amlo-seguimiento-septiembre-2021")</f>
        <v>http://gabinete.mx/index.php/es/component/k2/item/658-amlo-seguimiento-septiembre-2021</v>
      </c>
      <c r="S94" s="80" t="s">
        <v>459</v>
      </c>
      <c r="T94" s="85" t="s">
        <v>472</v>
      </c>
      <c r="U94" s="83" t="str">
        <f>HYPERLINK("https://pbs.twimg.com/media/E_rGE_jUUAEj4VP.jpg")</f>
        <v>https://pbs.twimg.com/media/E_rGE_jUUAEj4VP.jpg</v>
      </c>
      <c r="V94" s="83" t="str">
        <f>HYPERLINK("https://pbs.twimg.com/media/E_rGE_jUUAEj4VP.jpg")</f>
        <v>https://pbs.twimg.com/media/E_rGE_jUUAEj4VP.jpg</v>
      </c>
      <c r="W94" s="82">
        <v>44458.843622685185</v>
      </c>
      <c r="X94" s="88">
        <v>44458</v>
      </c>
      <c r="Y94" s="85" t="s">
        <v>567</v>
      </c>
      <c r="Z94" s="83" t="str">
        <f>HYPERLINK("https://twitter.com/dianadi58/status/1439684423197380615")</f>
        <v>https://twitter.com/dianadi58/status/1439684423197380615</v>
      </c>
      <c r="AA94" s="80"/>
      <c r="AB94" s="80"/>
      <c r="AC94" s="85" t="s">
        <v>740</v>
      </c>
      <c r="AD94" s="80"/>
      <c r="AE94" s="80" t="b">
        <v>0</v>
      </c>
      <c r="AF94" s="80">
        <v>0</v>
      </c>
      <c r="AG94" s="85" t="s">
        <v>871</v>
      </c>
      <c r="AH94" s="80" t="b">
        <v>0</v>
      </c>
      <c r="AI94" s="80" t="s">
        <v>882</v>
      </c>
      <c r="AJ94" s="80"/>
      <c r="AK94" s="85" t="s">
        <v>871</v>
      </c>
      <c r="AL94" s="80" t="b">
        <v>0</v>
      </c>
      <c r="AM94" s="80">
        <v>3</v>
      </c>
      <c r="AN94" s="85" t="s">
        <v>743</v>
      </c>
      <c r="AO94" s="85" t="s">
        <v>890</v>
      </c>
      <c r="AP94" s="80" t="b">
        <v>0</v>
      </c>
      <c r="AQ94" s="85" t="s">
        <v>743</v>
      </c>
      <c r="AR94" s="80" t="s">
        <v>178</v>
      </c>
      <c r="AS94" s="80">
        <v>0</v>
      </c>
      <c r="AT94" s="80">
        <v>0</v>
      </c>
      <c r="AU94" s="80"/>
      <c r="AV94" s="80"/>
      <c r="AW94" s="80"/>
      <c r="AX94" s="80"/>
      <c r="AY94" s="80"/>
      <c r="AZ94" s="80"/>
      <c r="BA94" s="80"/>
      <c r="BB94" s="80"/>
      <c r="BC94">
        <v>4</v>
      </c>
      <c r="BD94" s="79" t="str">
        <f>REPLACE(INDEX(GroupVertices[Group],MATCH(Edges[[#This Row],[Vertex 1]],GroupVertices[Vertex],0)),1,1,"")</f>
        <v>11</v>
      </c>
      <c r="BE94" s="79" t="str">
        <f>REPLACE(INDEX(GroupVertices[Group],MATCH(Edges[[#This Row],[Vertex 2]],GroupVertices[Vertex],0)),1,1,"")</f>
        <v>11</v>
      </c>
      <c r="BF94" s="49">
        <v>0</v>
      </c>
      <c r="BG94" s="50">
        <v>0</v>
      </c>
      <c r="BH94" s="49">
        <v>0</v>
      </c>
      <c r="BI94" s="50">
        <v>0</v>
      </c>
      <c r="BJ94" s="49">
        <v>0</v>
      </c>
      <c r="BK94" s="50">
        <v>0</v>
      </c>
      <c r="BL94" s="49">
        <v>24</v>
      </c>
      <c r="BM94" s="50">
        <v>100</v>
      </c>
      <c r="BN94" s="49">
        <v>24</v>
      </c>
    </row>
    <row r="95" spans="1:66" ht="15">
      <c r="A95" s="65" t="s">
        <v>257</v>
      </c>
      <c r="B95" s="65" t="s">
        <v>257</v>
      </c>
      <c r="C95" s="66" t="s">
        <v>2699</v>
      </c>
      <c r="D95" s="67">
        <v>10</v>
      </c>
      <c r="E95" s="68" t="s">
        <v>136</v>
      </c>
      <c r="F95" s="69">
        <v>10</v>
      </c>
      <c r="G95" s="66"/>
      <c r="H95" s="70"/>
      <c r="I95" s="71"/>
      <c r="J95" s="71"/>
      <c r="K95" s="35" t="s">
        <v>65</v>
      </c>
      <c r="L95" s="78">
        <v>95</v>
      </c>
      <c r="M95" s="78"/>
      <c r="N95" s="73"/>
      <c r="O95" s="80" t="s">
        <v>178</v>
      </c>
      <c r="P95" s="82">
        <v>44458.625451388885</v>
      </c>
      <c r="Q95" s="80" t="s">
        <v>411</v>
      </c>
      <c r="R95" s="83" t="str">
        <f>HYPERLINK("http://gabinete.mx/index.php/es/component/k2/item/658-amlo-seguimiento-septiembre-2021")</f>
        <v>http://gabinete.mx/index.php/es/component/k2/item/658-amlo-seguimiento-septiembre-2021</v>
      </c>
      <c r="S95" s="80" t="s">
        <v>459</v>
      </c>
      <c r="T95" s="85" t="s">
        <v>472</v>
      </c>
      <c r="U95" s="83" t="str">
        <f>HYPERLINK("https://pbs.twimg.com/media/E_qBceAVQAAGXdI.jpg")</f>
        <v>https://pbs.twimg.com/media/E_qBceAVQAAGXdI.jpg</v>
      </c>
      <c r="V95" s="83" t="str">
        <f>HYPERLINK("https://pbs.twimg.com/media/E_qBceAVQAAGXdI.jpg")</f>
        <v>https://pbs.twimg.com/media/E_qBceAVQAAGXdI.jpg</v>
      </c>
      <c r="W95" s="82">
        <v>44458.625451388885</v>
      </c>
      <c r="X95" s="88">
        <v>44458</v>
      </c>
      <c r="Y95" s="85" t="s">
        <v>568</v>
      </c>
      <c r="Z95" s="83" t="str">
        <f>HYPERLINK("https://twitter.com/gabinetemex/status/1439605362630422534")</f>
        <v>https://twitter.com/gabinetemex/status/1439605362630422534</v>
      </c>
      <c r="AA95" s="80"/>
      <c r="AB95" s="80"/>
      <c r="AC95" s="85" t="s">
        <v>741</v>
      </c>
      <c r="AD95" s="80"/>
      <c r="AE95" s="80" t="b">
        <v>0</v>
      </c>
      <c r="AF95" s="80">
        <v>1</v>
      </c>
      <c r="AG95" s="85" t="s">
        <v>871</v>
      </c>
      <c r="AH95" s="80" t="b">
        <v>0</v>
      </c>
      <c r="AI95" s="80" t="s">
        <v>882</v>
      </c>
      <c r="AJ95" s="80"/>
      <c r="AK95" s="85" t="s">
        <v>871</v>
      </c>
      <c r="AL95" s="80" t="b">
        <v>0</v>
      </c>
      <c r="AM95" s="80">
        <v>2</v>
      </c>
      <c r="AN95" s="85" t="s">
        <v>871</v>
      </c>
      <c r="AO95" s="85" t="s">
        <v>894</v>
      </c>
      <c r="AP95" s="80" t="b">
        <v>0</v>
      </c>
      <c r="AQ95" s="85" t="s">
        <v>741</v>
      </c>
      <c r="AR95" s="80" t="s">
        <v>178</v>
      </c>
      <c r="AS95" s="80">
        <v>0</v>
      </c>
      <c r="AT95" s="80">
        <v>0</v>
      </c>
      <c r="AU95" s="80"/>
      <c r="AV95" s="80"/>
      <c r="AW95" s="80"/>
      <c r="AX95" s="80"/>
      <c r="AY95" s="80"/>
      <c r="AZ95" s="80"/>
      <c r="BA95" s="80"/>
      <c r="BB95" s="80"/>
      <c r="BC95">
        <v>16</v>
      </c>
      <c r="BD95" s="79" t="str">
        <f>REPLACE(INDEX(GroupVertices[Group],MATCH(Edges[[#This Row],[Vertex 1]],GroupVertices[Vertex],0)),1,1,"")</f>
        <v>11</v>
      </c>
      <c r="BE95" s="79" t="str">
        <f>REPLACE(INDEX(GroupVertices[Group],MATCH(Edges[[#This Row],[Vertex 2]],GroupVertices[Vertex],0)),1,1,"")</f>
        <v>11</v>
      </c>
      <c r="BF95" s="49">
        <v>0</v>
      </c>
      <c r="BG95" s="50">
        <v>0</v>
      </c>
      <c r="BH95" s="49">
        <v>0</v>
      </c>
      <c r="BI95" s="50">
        <v>0</v>
      </c>
      <c r="BJ95" s="49">
        <v>0</v>
      </c>
      <c r="BK95" s="50">
        <v>0</v>
      </c>
      <c r="BL95" s="49">
        <v>17</v>
      </c>
      <c r="BM95" s="50">
        <v>100</v>
      </c>
      <c r="BN95" s="49">
        <v>17</v>
      </c>
    </row>
    <row r="96" spans="1:66" ht="15">
      <c r="A96" s="65" t="s">
        <v>257</v>
      </c>
      <c r="B96" s="65" t="s">
        <v>257</v>
      </c>
      <c r="C96" s="66" t="s">
        <v>2699</v>
      </c>
      <c r="D96" s="67">
        <v>10</v>
      </c>
      <c r="E96" s="68" t="s">
        <v>136</v>
      </c>
      <c r="F96" s="69">
        <v>10</v>
      </c>
      <c r="G96" s="66"/>
      <c r="H96" s="70"/>
      <c r="I96" s="71"/>
      <c r="J96" s="71"/>
      <c r="K96" s="35" t="s">
        <v>65</v>
      </c>
      <c r="L96" s="78">
        <v>96</v>
      </c>
      <c r="M96" s="78"/>
      <c r="N96" s="73"/>
      <c r="O96" s="80" t="s">
        <v>178</v>
      </c>
      <c r="P96" s="82">
        <v>44458.709502314814</v>
      </c>
      <c r="Q96" s="80" t="s">
        <v>409</v>
      </c>
      <c r="R96" s="83" t="str">
        <f>HYPERLINK("http://gabinete.mx/index.php/es/component/k2/item/658-amlo-seguimiento-septiembre-2021")</f>
        <v>http://gabinete.mx/index.php/es/component/k2/item/658-amlo-seguimiento-septiembre-2021</v>
      </c>
      <c r="S96" s="80" t="s">
        <v>459</v>
      </c>
      <c r="T96" s="85" t="s">
        <v>472</v>
      </c>
      <c r="U96" s="83" t="str">
        <f>HYPERLINK("https://pbs.twimg.com/media/E_qdJWxVcAAhOWx.jpg")</f>
        <v>https://pbs.twimg.com/media/E_qdJWxVcAAhOWx.jpg</v>
      </c>
      <c r="V96" s="83" t="str">
        <f>HYPERLINK("https://pbs.twimg.com/media/E_qdJWxVcAAhOWx.jpg")</f>
        <v>https://pbs.twimg.com/media/E_qdJWxVcAAhOWx.jpg</v>
      </c>
      <c r="W96" s="82">
        <v>44458.709502314814</v>
      </c>
      <c r="X96" s="88">
        <v>44458</v>
      </c>
      <c r="Y96" s="85" t="s">
        <v>569</v>
      </c>
      <c r="Z96" s="83" t="str">
        <f>HYPERLINK("https://twitter.com/gabinetemex/status/1439635821565341698")</f>
        <v>https://twitter.com/gabinetemex/status/1439635821565341698</v>
      </c>
      <c r="AA96" s="80"/>
      <c r="AB96" s="80"/>
      <c r="AC96" s="85" t="s">
        <v>742</v>
      </c>
      <c r="AD96" s="80"/>
      <c r="AE96" s="80" t="b">
        <v>0</v>
      </c>
      <c r="AF96" s="80">
        <v>1</v>
      </c>
      <c r="AG96" s="85" t="s">
        <v>871</v>
      </c>
      <c r="AH96" s="80" t="b">
        <v>0</v>
      </c>
      <c r="AI96" s="80" t="s">
        <v>882</v>
      </c>
      <c r="AJ96" s="80"/>
      <c r="AK96" s="85" t="s">
        <v>871</v>
      </c>
      <c r="AL96" s="80" t="b">
        <v>0</v>
      </c>
      <c r="AM96" s="80">
        <v>3</v>
      </c>
      <c r="AN96" s="85" t="s">
        <v>871</v>
      </c>
      <c r="AO96" s="85" t="s">
        <v>894</v>
      </c>
      <c r="AP96" s="80" t="b">
        <v>0</v>
      </c>
      <c r="AQ96" s="85" t="s">
        <v>742</v>
      </c>
      <c r="AR96" s="80" t="s">
        <v>178</v>
      </c>
      <c r="AS96" s="80">
        <v>0</v>
      </c>
      <c r="AT96" s="80">
        <v>0</v>
      </c>
      <c r="AU96" s="80"/>
      <c r="AV96" s="80"/>
      <c r="AW96" s="80"/>
      <c r="AX96" s="80"/>
      <c r="AY96" s="80"/>
      <c r="AZ96" s="80"/>
      <c r="BA96" s="80"/>
      <c r="BB96" s="80"/>
      <c r="BC96">
        <v>16</v>
      </c>
      <c r="BD96" s="79" t="str">
        <f>REPLACE(INDEX(GroupVertices[Group],MATCH(Edges[[#This Row],[Vertex 1]],GroupVertices[Vertex],0)),1,1,"")</f>
        <v>11</v>
      </c>
      <c r="BE96" s="79" t="str">
        <f>REPLACE(INDEX(GroupVertices[Group],MATCH(Edges[[#This Row],[Vertex 2]],GroupVertices[Vertex],0)),1,1,"")</f>
        <v>11</v>
      </c>
      <c r="BF96" s="49">
        <v>0</v>
      </c>
      <c r="BG96" s="50">
        <v>0</v>
      </c>
      <c r="BH96" s="49">
        <v>0</v>
      </c>
      <c r="BI96" s="50">
        <v>0</v>
      </c>
      <c r="BJ96" s="49">
        <v>0</v>
      </c>
      <c r="BK96" s="50">
        <v>0</v>
      </c>
      <c r="BL96" s="49">
        <v>16</v>
      </c>
      <c r="BM96" s="50">
        <v>100</v>
      </c>
      <c r="BN96" s="49">
        <v>16</v>
      </c>
    </row>
    <row r="97" spans="1:66" ht="15">
      <c r="A97" s="65" t="s">
        <v>257</v>
      </c>
      <c r="B97" s="65" t="s">
        <v>257</v>
      </c>
      <c r="C97" s="66" t="s">
        <v>2699</v>
      </c>
      <c r="D97" s="67">
        <v>10</v>
      </c>
      <c r="E97" s="68" t="s">
        <v>136</v>
      </c>
      <c r="F97" s="69">
        <v>10</v>
      </c>
      <c r="G97" s="66"/>
      <c r="H97" s="70"/>
      <c r="I97" s="71"/>
      <c r="J97" s="71"/>
      <c r="K97" s="35" t="s">
        <v>65</v>
      </c>
      <c r="L97" s="78">
        <v>97</v>
      </c>
      <c r="M97" s="78"/>
      <c r="N97" s="73"/>
      <c r="O97" s="80" t="s">
        <v>178</v>
      </c>
      <c r="P97" s="82">
        <v>44458.83369212963</v>
      </c>
      <c r="Q97" s="80" t="s">
        <v>410</v>
      </c>
      <c r="R97" s="83" t="str">
        <f>HYPERLINK("http://gabinete.mx/index.php/es/component/k2/item/658-amlo-seguimiento-septiembre-2021")</f>
        <v>http://gabinete.mx/index.php/es/component/k2/item/658-amlo-seguimiento-septiembre-2021</v>
      </c>
      <c r="S97" s="80" t="s">
        <v>459</v>
      </c>
      <c r="T97" s="85" t="s">
        <v>472</v>
      </c>
      <c r="U97" s="83" t="str">
        <f>HYPERLINK("https://pbs.twimg.com/media/E_rGE_jUUAEj4VP.jpg")</f>
        <v>https://pbs.twimg.com/media/E_rGE_jUUAEj4VP.jpg</v>
      </c>
      <c r="V97" s="83" t="str">
        <f>HYPERLINK("https://pbs.twimg.com/media/E_rGE_jUUAEj4VP.jpg")</f>
        <v>https://pbs.twimg.com/media/E_rGE_jUUAEj4VP.jpg</v>
      </c>
      <c r="W97" s="82">
        <v>44458.83369212963</v>
      </c>
      <c r="X97" s="88">
        <v>44458</v>
      </c>
      <c r="Y97" s="85" t="s">
        <v>570</v>
      </c>
      <c r="Z97" s="83" t="str">
        <f>HYPERLINK("https://twitter.com/gabinetemex/status/1439680825524580354")</f>
        <v>https://twitter.com/gabinetemex/status/1439680825524580354</v>
      </c>
      <c r="AA97" s="80"/>
      <c r="AB97" s="80"/>
      <c r="AC97" s="85" t="s">
        <v>743</v>
      </c>
      <c r="AD97" s="80"/>
      <c r="AE97" s="80" t="b">
        <v>0</v>
      </c>
      <c r="AF97" s="80">
        <v>1</v>
      </c>
      <c r="AG97" s="85" t="s">
        <v>871</v>
      </c>
      <c r="AH97" s="80" t="b">
        <v>0</v>
      </c>
      <c r="AI97" s="80" t="s">
        <v>882</v>
      </c>
      <c r="AJ97" s="80"/>
      <c r="AK97" s="85" t="s">
        <v>871</v>
      </c>
      <c r="AL97" s="80" t="b">
        <v>0</v>
      </c>
      <c r="AM97" s="80">
        <v>3</v>
      </c>
      <c r="AN97" s="85" t="s">
        <v>871</v>
      </c>
      <c r="AO97" s="85" t="s">
        <v>894</v>
      </c>
      <c r="AP97" s="80" t="b">
        <v>0</v>
      </c>
      <c r="AQ97" s="85" t="s">
        <v>743</v>
      </c>
      <c r="AR97" s="80" t="s">
        <v>178</v>
      </c>
      <c r="AS97" s="80">
        <v>0</v>
      </c>
      <c r="AT97" s="80">
        <v>0</v>
      </c>
      <c r="AU97" s="80"/>
      <c r="AV97" s="80"/>
      <c r="AW97" s="80"/>
      <c r="AX97" s="80"/>
      <c r="AY97" s="80"/>
      <c r="AZ97" s="80"/>
      <c r="BA97" s="80"/>
      <c r="BB97" s="80"/>
      <c r="BC97">
        <v>16</v>
      </c>
      <c r="BD97" s="79" t="str">
        <f>REPLACE(INDEX(GroupVertices[Group],MATCH(Edges[[#This Row],[Vertex 1]],GroupVertices[Vertex],0)),1,1,"")</f>
        <v>11</v>
      </c>
      <c r="BE97" s="79" t="str">
        <f>REPLACE(INDEX(GroupVertices[Group],MATCH(Edges[[#This Row],[Vertex 2]],GroupVertices[Vertex],0)),1,1,"")</f>
        <v>11</v>
      </c>
      <c r="BF97" s="49">
        <v>0</v>
      </c>
      <c r="BG97" s="50">
        <v>0</v>
      </c>
      <c r="BH97" s="49">
        <v>0</v>
      </c>
      <c r="BI97" s="50">
        <v>0</v>
      </c>
      <c r="BJ97" s="49">
        <v>0</v>
      </c>
      <c r="BK97" s="50">
        <v>0</v>
      </c>
      <c r="BL97" s="49">
        <v>24</v>
      </c>
      <c r="BM97" s="50">
        <v>100</v>
      </c>
      <c r="BN97" s="49">
        <v>24</v>
      </c>
    </row>
    <row r="98" spans="1:66" ht="15">
      <c r="A98" s="65" t="s">
        <v>257</v>
      </c>
      <c r="B98" s="65" t="s">
        <v>257</v>
      </c>
      <c r="C98" s="66" t="s">
        <v>2699</v>
      </c>
      <c r="D98" s="67">
        <v>10</v>
      </c>
      <c r="E98" s="68" t="s">
        <v>136</v>
      </c>
      <c r="F98" s="69">
        <v>10</v>
      </c>
      <c r="G98" s="66"/>
      <c r="H98" s="70"/>
      <c r="I98" s="71"/>
      <c r="J98" s="71"/>
      <c r="K98" s="35" t="s">
        <v>65</v>
      </c>
      <c r="L98" s="78">
        <v>98</v>
      </c>
      <c r="M98" s="78"/>
      <c r="N98" s="73"/>
      <c r="O98" s="80" t="s">
        <v>178</v>
      </c>
      <c r="P98" s="82">
        <v>44458.95884259259</v>
      </c>
      <c r="Q98" s="80" t="s">
        <v>412</v>
      </c>
      <c r="R98" s="83" t="str">
        <f>HYPERLINK("http://gabinete.mx/index.php/es/component/k2/item/658-amlo-seguimiento-septiembre-2021")</f>
        <v>http://gabinete.mx/index.php/es/component/k2/item/658-amlo-seguimiento-septiembre-2021</v>
      </c>
      <c r="S98" s="80" t="s">
        <v>459</v>
      </c>
      <c r="T98" s="85" t="s">
        <v>472</v>
      </c>
      <c r="U98" s="83" t="str">
        <f>HYPERLINK("https://pbs.twimg.com/media/E_rvU4tVIAMWBpk.jpg")</f>
        <v>https://pbs.twimg.com/media/E_rvU4tVIAMWBpk.jpg</v>
      </c>
      <c r="V98" s="83" t="str">
        <f>HYPERLINK("https://pbs.twimg.com/media/E_rvU4tVIAMWBpk.jpg")</f>
        <v>https://pbs.twimg.com/media/E_rvU4tVIAMWBpk.jpg</v>
      </c>
      <c r="W98" s="82">
        <v>44458.95884259259</v>
      </c>
      <c r="X98" s="88">
        <v>44458</v>
      </c>
      <c r="Y98" s="85" t="s">
        <v>571</v>
      </c>
      <c r="Z98" s="83" t="str">
        <f>HYPERLINK("https://twitter.com/gabinetemex/status/1439726178273677315")</f>
        <v>https://twitter.com/gabinetemex/status/1439726178273677315</v>
      </c>
      <c r="AA98" s="80"/>
      <c r="AB98" s="80"/>
      <c r="AC98" s="85" t="s">
        <v>744</v>
      </c>
      <c r="AD98" s="80"/>
      <c r="AE98" s="80" t="b">
        <v>0</v>
      </c>
      <c r="AF98" s="80">
        <v>1</v>
      </c>
      <c r="AG98" s="85" t="s">
        <v>871</v>
      </c>
      <c r="AH98" s="80" t="b">
        <v>0</v>
      </c>
      <c r="AI98" s="80" t="s">
        <v>882</v>
      </c>
      <c r="AJ98" s="80"/>
      <c r="AK98" s="85" t="s">
        <v>871</v>
      </c>
      <c r="AL98" s="80" t="b">
        <v>0</v>
      </c>
      <c r="AM98" s="80">
        <v>2</v>
      </c>
      <c r="AN98" s="85" t="s">
        <v>871</v>
      </c>
      <c r="AO98" s="85" t="s">
        <v>894</v>
      </c>
      <c r="AP98" s="80" t="b">
        <v>0</v>
      </c>
      <c r="AQ98" s="85" t="s">
        <v>744</v>
      </c>
      <c r="AR98" s="80" t="s">
        <v>178</v>
      </c>
      <c r="AS98" s="80">
        <v>0</v>
      </c>
      <c r="AT98" s="80">
        <v>0</v>
      </c>
      <c r="AU98" s="80"/>
      <c r="AV98" s="80"/>
      <c r="AW98" s="80"/>
      <c r="AX98" s="80"/>
      <c r="AY98" s="80"/>
      <c r="AZ98" s="80"/>
      <c r="BA98" s="80"/>
      <c r="BB98" s="80"/>
      <c r="BC98">
        <v>16</v>
      </c>
      <c r="BD98" s="79" t="str">
        <f>REPLACE(INDEX(GroupVertices[Group],MATCH(Edges[[#This Row],[Vertex 1]],GroupVertices[Vertex],0)),1,1,"")</f>
        <v>11</v>
      </c>
      <c r="BE98" s="79" t="str">
        <f>REPLACE(INDEX(GroupVertices[Group],MATCH(Edges[[#This Row],[Vertex 2]],GroupVertices[Vertex],0)),1,1,"")</f>
        <v>11</v>
      </c>
      <c r="BF98" s="49">
        <v>0</v>
      </c>
      <c r="BG98" s="50">
        <v>0</v>
      </c>
      <c r="BH98" s="49">
        <v>0</v>
      </c>
      <c r="BI98" s="50">
        <v>0</v>
      </c>
      <c r="BJ98" s="49">
        <v>0</v>
      </c>
      <c r="BK98" s="50">
        <v>0</v>
      </c>
      <c r="BL98" s="49">
        <v>19</v>
      </c>
      <c r="BM98" s="50">
        <v>100</v>
      </c>
      <c r="BN98" s="49">
        <v>19</v>
      </c>
    </row>
    <row r="99" spans="1:66" ht="15">
      <c r="A99" s="65" t="s">
        <v>258</v>
      </c>
      <c r="B99" s="65" t="s">
        <v>257</v>
      </c>
      <c r="C99" s="66" t="s">
        <v>2699</v>
      </c>
      <c r="D99" s="67">
        <v>10</v>
      </c>
      <c r="E99" s="68" t="s">
        <v>136</v>
      </c>
      <c r="F99" s="69">
        <v>10</v>
      </c>
      <c r="G99" s="66"/>
      <c r="H99" s="70"/>
      <c r="I99" s="71"/>
      <c r="J99" s="71"/>
      <c r="K99" s="35" t="s">
        <v>65</v>
      </c>
      <c r="L99" s="78">
        <v>99</v>
      </c>
      <c r="M99" s="78"/>
      <c r="N99" s="73"/>
      <c r="O99" s="80" t="s">
        <v>383</v>
      </c>
      <c r="P99" s="82">
        <v>44459.58416666667</v>
      </c>
      <c r="Q99" s="80" t="s">
        <v>412</v>
      </c>
      <c r="R99" s="83" t="str">
        <f>HYPERLINK("http://gabinete.mx/index.php/es/component/k2/item/658-amlo-seguimiento-septiembre-2021")</f>
        <v>http://gabinete.mx/index.php/es/component/k2/item/658-amlo-seguimiento-septiembre-2021</v>
      </c>
      <c r="S99" s="80" t="s">
        <v>459</v>
      </c>
      <c r="T99" s="85" t="s">
        <v>472</v>
      </c>
      <c r="U99" s="83" t="str">
        <f>HYPERLINK("https://pbs.twimg.com/media/E_rvU4tVIAMWBpk.jpg")</f>
        <v>https://pbs.twimg.com/media/E_rvU4tVIAMWBpk.jpg</v>
      </c>
      <c r="V99" s="83" t="str">
        <f>HYPERLINK("https://pbs.twimg.com/media/E_rvU4tVIAMWBpk.jpg")</f>
        <v>https://pbs.twimg.com/media/E_rvU4tVIAMWBpk.jpg</v>
      </c>
      <c r="W99" s="82">
        <v>44459.58416666667</v>
      </c>
      <c r="X99" s="88">
        <v>44459</v>
      </c>
      <c r="Y99" s="85" t="s">
        <v>572</v>
      </c>
      <c r="Z99" s="83" t="str">
        <f>HYPERLINK("https://twitter.com/kaleydoscopio1/status/1439952787828207619")</f>
        <v>https://twitter.com/kaleydoscopio1/status/1439952787828207619</v>
      </c>
      <c r="AA99" s="80"/>
      <c r="AB99" s="80"/>
      <c r="AC99" s="85" t="s">
        <v>745</v>
      </c>
      <c r="AD99" s="80"/>
      <c r="AE99" s="80" t="b">
        <v>0</v>
      </c>
      <c r="AF99" s="80">
        <v>0</v>
      </c>
      <c r="AG99" s="85" t="s">
        <v>871</v>
      </c>
      <c r="AH99" s="80" t="b">
        <v>0</v>
      </c>
      <c r="AI99" s="80" t="s">
        <v>882</v>
      </c>
      <c r="AJ99" s="80"/>
      <c r="AK99" s="85" t="s">
        <v>871</v>
      </c>
      <c r="AL99" s="80" t="b">
        <v>0</v>
      </c>
      <c r="AM99" s="80">
        <v>2</v>
      </c>
      <c r="AN99" s="85" t="s">
        <v>744</v>
      </c>
      <c r="AO99" s="85" t="s">
        <v>893</v>
      </c>
      <c r="AP99" s="80" t="b">
        <v>0</v>
      </c>
      <c r="AQ99" s="85" t="s">
        <v>744</v>
      </c>
      <c r="AR99" s="80" t="s">
        <v>178</v>
      </c>
      <c r="AS99" s="80">
        <v>0</v>
      </c>
      <c r="AT99" s="80">
        <v>0</v>
      </c>
      <c r="AU99" s="80"/>
      <c r="AV99" s="80"/>
      <c r="AW99" s="80"/>
      <c r="AX99" s="80"/>
      <c r="AY99" s="80"/>
      <c r="AZ99" s="80"/>
      <c r="BA99" s="80"/>
      <c r="BB99" s="80"/>
      <c r="BC99">
        <v>16</v>
      </c>
      <c r="BD99" s="79" t="str">
        <f>REPLACE(INDEX(GroupVertices[Group],MATCH(Edges[[#This Row],[Vertex 1]],GroupVertices[Vertex],0)),1,1,"")</f>
        <v>11</v>
      </c>
      <c r="BE99" s="79" t="str">
        <f>REPLACE(INDEX(GroupVertices[Group],MATCH(Edges[[#This Row],[Vertex 2]],GroupVertices[Vertex],0)),1,1,"")</f>
        <v>11</v>
      </c>
      <c r="BF99" s="49">
        <v>0</v>
      </c>
      <c r="BG99" s="50">
        <v>0</v>
      </c>
      <c r="BH99" s="49">
        <v>0</v>
      </c>
      <c r="BI99" s="50">
        <v>0</v>
      </c>
      <c r="BJ99" s="49">
        <v>0</v>
      </c>
      <c r="BK99" s="50">
        <v>0</v>
      </c>
      <c r="BL99" s="49">
        <v>19</v>
      </c>
      <c r="BM99" s="50">
        <v>100</v>
      </c>
      <c r="BN99" s="49">
        <v>19</v>
      </c>
    </row>
    <row r="100" spans="1:66" ht="15">
      <c r="A100" s="65" t="s">
        <v>258</v>
      </c>
      <c r="B100" s="65" t="s">
        <v>257</v>
      </c>
      <c r="C100" s="66" t="s">
        <v>2699</v>
      </c>
      <c r="D100" s="67">
        <v>10</v>
      </c>
      <c r="E100" s="68" t="s">
        <v>136</v>
      </c>
      <c r="F100" s="69">
        <v>10</v>
      </c>
      <c r="G100" s="66"/>
      <c r="H100" s="70"/>
      <c r="I100" s="71"/>
      <c r="J100" s="71"/>
      <c r="K100" s="35" t="s">
        <v>65</v>
      </c>
      <c r="L100" s="78">
        <v>100</v>
      </c>
      <c r="M100" s="78"/>
      <c r="N100" s="73"/>
      <c r="O100" s="80" t="s">
        <v>383</v>
      </c>
      <c r="P100" s="82">
        <v>44459.58425925926</v>
      </c>
      <c r="Q100" s="80" t="s">
        <v>410</v>
      </c>
      <c r="R100" s="83" t="str">
        <f>HYPERLINK("http://gabinete.mx/index.php/es/component/k2/item/658-amlo-seguimiento-septiembre-2021")</f>
        <v>http://gabinete.mx/index.php/es/component/k2/item/658-amlo-seguimiento-septiembre-2021</v>
      </c>
      <c r="S100" s="80" t="s">
        <v>459</v>
      </c>
      <c r="T100" s="85" t="s">
        <v>472</v>
      </c>
      <c r="U100" s="83" t="str">
        <f>HYPERLINK("https://pbs.twimg.com/media/E_rGE_jUUAEj4VP.jpg")</f>
        <v>https://pbs.twimg.com/media/E_rGE_jUUAEj4VP.jpg</v>
      </c>
      <c r="V100" s="83" t="str">
        <f>HYPERLINK("https://pbs.twimg.com/media/E_rGE_jUUAEj4VP.jpg")</f>
        <v>https://pbs.twimg.com/media/E_rGE_jUUAEj4VP.jpg</v>
      </c>
      <c r="W100" s="82">
        <v>44459.58425925926</v>
      </c>
      <c r="X100" s="88">
        <v>44459</v>
      </c>
      <c r="Y100" s="85" t="s">
        <v>573</v>
      </c>
      <c r="Z100" s="83" t="str">
        <f>HYPERLINK("https://twitter.com/kaleydoscopio1/status/1439952820573065217")</f>
        <v>https://twitter.com/kaleydoscopio1/status/1439952820573065217</v>
      </c>
      <c r="AA100" s="80"/>
      <c r="AB100" s="80"/>
      <c r="AC100" s="85" t="s">
        <v>746</v>
      </c>
      <c r="AD100" s="80"/>
      <c r="AE100" s="80" t="b">
        <v>0</v>
      </c>
      <c r="AF100" s="80">
        <v>0</v>
      </c>
      <c r="AG100" s="85" t="s">
        <v>871</v>
      </c>
      <c r="AH100" s="80" t="b">
        <v>0</v>
      </c>
      <c r="AI100" s="80" t="s">
        <v>882</v>
      </c>
      <c r="AJ100" s="80"/>
      <c r="AK100" s="85" t="s">
        <v>871</v>
      </c>
      <c r="AL100" s="80" t="b">
        <v>0</v>
      </c>
      <c r="AM100" s="80">
        <v>3</v>
      </c>
      <c r="AN100" s="85" t="s">
        <v>743</v>
      </c>
      <c r="AO100" s="85" t="s">
        <v>893</v>
      </c>
      <c r="AP100" s="80" t="b">
        <v>0</v>
      </c>
      <c r="AQ100" s="85" t="s">
        <v>743</v>
      </c>
      <c r="AR100" s="80" t="s">
        <v>178</v>
      </c>
      <c r="AS100" s="80">
        <v>0</v>
      </c>
      <c r="AT100" s="80">
        <v>0</v>
      </c>
      <c r="AU100" s="80"/>
      <c r="AV100" s="80"/>
      <c r="AW100" s="80"/>
      <c r="AX100" s="80"/>
      <c r="AY100" s="80"/>
      <c r="AZ100" s="80"/>
      <c r="BA100" s="80"/>
      <c r="BB100" s="80"/>
      <c r="BC100">
        <v>16</v>
      </c>
      <c r="BD100" s="79" t="str">
        <f>REPLACE(INDEX(GroupVertices[Group],MATCH(Edges[[#This Row],[Vertex 1]],GroupVertices[Vertex],0)),1,1,"")</f>
        <v>11</v>
      </c>
      <c r="BE100" s="79" t="str">
        <f>REPLACE(INDEX(GroupVertices[Group],MATCH(Edges[[#This Row],[Vertex 2]],GroupVertices[Vertex],0)),1,1,"")</f>
        <v>11</v>
      </c>
      <c r="BF100" s="49">
        <v>0</v>
      </c>
      <c r="BG100" s="50">
        <v>0</v>
      </c>
      <c r="BH100" s="49">
        <v>0</v>
      </c>
      <c r="BI100" s="50">
        <v>0</v>
      </c>
      <c r="BJ100" s="49">
        <v>0</v>
      </c>
      <c r="BK100" s="50">
        <v>0</v>
      </c>
      <c r="BL100" s="49">
        <v>24</v>
      </c>
      <c r="BM100" s="50">
        <v>100</v>
      </c>
      <c r="BN100" s="49">
        <v>24</v>
      </c>
    </row>
    <row r="101" spans="1:66" ht="15">
      <c r="A101" s="65" t="s">
        <v>258</v>
      </c>
      <c r="B101" s="65" t="s">
        <v>257</v>
      </c>
      <c r="C101" s="66" t="s">
        <v>2699</v>
      </c>
      <c r="D101" s="67">
        <v>10</v>
      </c>
      <c r="E101" s="68" t="s">
        <v>136</v>
      </c>
      <c r="F101" s="69">
        <v>10</v>
      </c>
      <c r="G101" s="66"/>
      <c r="H101" s="70"/>
      <c r="I101" s="71"/>
      <c r="J101" s="71"/>
      <c r="K101" s="35" t="s">
        <v>65</v>
      </c>
      <c r="L101" s="78">
        <v>101</v>
      </c>
      <c r="M101" s="78"/>
      <c r="N101" s="73"/>
      <c r="O101" s="80" t="s">
        <v>383</v>
      </c>
      <c r="P101" s="82">
        <v>44459.584328703706</v>
      </c>
      <c r="Q101" s="80" t="s">
        <v>409</v>
      </c>
      <c r="R101" s="83" t="str">
        <f>HYPERLINK("http://gabinete.mx/index.php/es/component/k2/item/658-amlo-seguimiento-septiembre-2021")</f>
        <v>http://gabinete.mx/index.php/es/component/k2/item/658-amlo-seguimiento-septiembre-2021</v>
      </c>
      <c r="S101" s="80" t="s">
        <v>459</v>
      </c>
      <c r="T101" s="80"/>
      <c r="U101" s="83" t="str">
        <f>HYPERLINK("https://pbs.twimg.com/media/E_qdJWxVcAAhOWx.jpg")</f>
        <v>https://pbs.twimg.com/media/E_qdJWxVcAAhOWx.jpg</v>
      </c>
      <c r="V101" s="83" t="str">
        <f>HYPERLINK("https://pbs.twimg.com/media/E_qdJWxVcAAhOWx.jpg")</f>
        <v>https://pbs.twimg.com/media/E_qdJWxVcAAhOWx.jpg</v>
      </c>
      <c r="W101" s="82">
        <v>44459.584328703706</v>
      </c>
      <c r="X101" s="88">
        <v>44459</v>
      </c>
      <c r="Y101" s="85" t="s">
        <v>574</v>
      </c>
      <c r="Z101" s="83" t="str">
        <f>HYPERLINK("https://twitter.com/kaleydoscopio1/status/1439952848159064064")</f>
        <v>https://twitter.com/kaleydoscopio1/status/1439952848159064064</v>
      </c>
      <c r="AA101" s="80"/>
      <c r="AB101" s="80"/>
      <c r="AC101" s="85" t="s">
        <v>747</v>
      </c>
      <c r="AD101" s="80"/>
      <c r="AE101" s="80" t="b">
        <v>0</v>
      </c>
      <c r="AF101" s="80">
        <v>0</v>
      </c>
      <c r="AG101" s="85" t="s">
        <v>871</v>
      </c>
      <c r="AH101" s="80" t="b">
        <v>0</v>
      </c>
      <c r="AI101" s="80" t="s">
        <v>882</v>
      </c>
      <c r="AJ101" s="80"/>
      <c r="AK101" s="85" t="s">
        <v>871</v>
      </c>
      <c r="AL101" s="80" t="b">
        <v>0</v>
      </c>
      <c r="AM101" s="80">
        <v>3</v>
      </c>
      <c r="AN101" s="85" t="s">
        <v>742</v>
      </c>
      <c r="AO101" s="85" t="s">
        <v>893</v>
      </c>
      <c r="AP101" s="80" t="b">
        <v>0</v>
      </c>
      <c r="AQ101" s="85" t="s">
        <v>742</v>
      </c>
      <c r="AR101" s="80" t="s">
        <v>178</v>
      </c>
      <c r="AS101" s="80">
        <v>0</v>
      </c>
      <c r="AT101" s="80">
        <v>0</v>
      </c>
      <c r="AU101" s="80"/>
      <c r="AV101" s="80"/>
      <c r="AW101" s="80"/>
      <c r="AX101" s="80"/>
      <c r="AY101" s="80"/>
      <c r="AZ101" s="80"/>
      <c r="BA101" s="80"/>
      <c r="BB101" s="80"/>
      <c r="BC101">
        <v>16</v>
      </c>
      <c r="BD101" s="79" t="str">
        <f>REPLACE(INDEX(GroupVertices[Group],MATCH(Edges[[#This Row],[Vertex 1]],GroupVertices[Vertex],0)),1,1,"")</f>
        <v>11</v>
      </c>
      <c r="BE101" s="79" t="str">
        <f>REPLACE(INDEX(GroupVertices[Group],MATCH(Edges[[#This Row],[Vertex 2]],GroupVertices[Vertex],0)),1,1,"")</f>
        <v>11</v>
      </c>
      <c r="BF101" s="49">
        <v>0</v>
      </c>
      <c r="BG101" s="50">
        <v>0</v>
      </c>
      <c r="BH101" s="49">
        <v>0</v>
      </c>
      <c r="BI101" s="50">
        <v>0</v>
      </c>
      <c r="BJ101" s="49">
        <v>0</v>
      </c>
      <c r="BK101" s="50">
        <v>0</v>
      </c>
      <c r="BL101" s="49">
        <v>16</v>
      </c>
      <c r="BM101" s="50">
        <v>100</v>
      </c>
      <c r="BN101" s="49">
        <v>16</v>
      </c>
    </row>
    <row r="102" spans="1:66" ht="15">
      <c r="A102" s="65" t="s">
        <v>258</v>
      </c>
      <c r="B102" s="65" t="s">
        <v>257</v>
      </c>
      <c r="C102" s="66" t="s">
        <v>2699</v>
      </c>
      <c r="D102" s="67">
        <v>10</v>
      </c>
      <c r="E102" s="68" t="s">
        <v>136</v>
      </c>
      <c r="F102" s="69">
        <v>10</v>
      </c>
      <c r="G102" s="66"/>
      <c r="H102" s="70"/>
      <c r="I102" s="71"/>
      <c r="J102" s="71"/>
      <c r="K102" s="35" t="s">
        <v>65</v>
      </c>
      <c r="L102" s="78">
        <v>102</v>
      </c>
      <c r="M102" s="78"/>
      <c r="N102" s="73"/>
      <c r="O102" s="80" t="s">
        <v>383</v>
      </c>
      <c r="P102" s="82">
        <v>44459.58445601852</v>
      </c>
      <c r="Q102" s="80" t="s">
        <v>411</v>
      </c>
      <c r="R102" s="83" t="str">
        <f>HYPERLINK("http://gabinete.mx/index.php/es/component/k2/item/658-amlo-seguimiento-septiembre-2021")</f>
        <v>http://gabinete.mx/index.php/es/component/k2/item/658-amlo-seguimiento-septiembre-2021</v>
      </c>
      <c r="S102" s="80" t="s">
        <v>459</v>
      </c>
      <c r="T102" s="85" t="s">
        <v>472</v>
      </c>
      <c r="U102" s="83" t="str">
        <f>HYPERLINK("https://pbs.twimg.com/media/E_qBceAVQAAGXdI.jpg")</f>
        <v>https://pbs.twimg.com/media/E_qBceAVQAAGXdI.jpg</v>
      </c>
      <c r="V102" s="83" t="str">
        <f>HYPERLINK("https://pbs.twimg.com/media/E_qBceAVQAAGXdI.jpg")</f>
        <v>https://pbs.twimg.com/media/E_qBceAVQAAGXdI.jpg</v>
      </c>
      <c r="W102" s="82">
        <v>44459.58445601852</v>
      </c>
      <c r="X102" s="88">
        <v>44459</v>
      </c>
      <c r="Y102" s="85" t="s">
        <v>575</v>
      </c>
      <c r="Z102" s="83" t="str">
        <f>HYPERLINK("https://twitter.com/kaleydoscopio1/status/1439952892559904770")</f>
        <v>https://twitter.com/kaleydoscopio1/status/1439952892559904770</v>
      </c>
      <c r="AA102" s="80"/>
      <c r="AB102" s="80"/>
      <c r="AC102" s="85" t="s">
        <v>748</v>
      </c>
      <c r="AD102" s="80"/>
      <c r="AE102" s="80" t="b">
        <v>0</v>
      </c>
      <c r="AF102" s="80">
        <v>0</v>
      </c>
      <c r="AG102" s="85" t="s">
        <v>871</v>
      </c>
      <c r="AH102" s="80" t="b">
        <v>0</v>
      </c>
      <c r="AI102" s="80" t="s">
        <v>882</v>
      </c>
      <c r="AJ102" s="80"/>
      <c r="AK102" s="85" t="s">
        <v>871</v>
      </c>
      <c r="AL102" s="80" t="b">
        <v>0</v>
      </c>
      <c r="AM102" s="80">
        <v>2</v>
      </c>
      <c r="AN102" s="85" t="s">
        <v>741</v>
      </c>
      <c r="AO102" s="85" t="s">
        <v>893</v>
      </c>
      <c r="AP102" s="80" t="b">
        <v>0</v>
      </c>
      <c r="AQ102" s="85" t="s">
        <v>741</v>
      </c>
      <c r="AR102" s="80" t="s">
        <v>178</v>
      </c>
      <c r="AS102" s="80">
        <v>0</v>
      </c>
      <c r="AT102" s="80">
        <v>0</v>
      </c>
      <c r="AU102" s="80"/>
      <c r="AV102" s="80"/>
      <c r="AW102" s="80"/>
      <c r="AX102" s="80"/>
      <c r="AY102" s="80"/>
      <c r="AZ102" s="80"/>
      <c r="BA102" s="80"/>
      <c r="BB102" s="80"/>
      <c r="BC102">
        <v>16</v>
      </c>
      <c r="BD102" s="79" t="str">
        <f>REPLACE(INDEX(GroupVertices[Group],MATCH(Edges[[#This Row],[Vertex 1]],GroupVertices[Vertex],0)),1,1,"")</f>
        <v>11</v>
      </c>
      <c r="BE102" s="79" t="str">
        <f>REPLACE(INDEX(GroupVertices[Group],MATCH(Edges[[#This Row],[Vertex 2]],GroupVertices[Vertex],0)),1,1,"")</f>
        <v>11</v>
      </c>
      <c r="BF102" s="49">
        <v>0</v>
      </c>
      <c r="BG102" s="50">
        <v>0</v>
      </c>
      <c r="BH102" s="49">
        <v>0</v>
      </c>
      <c r="BI102" s="50">
        <v>0</v>
      </c>
      <c r="BJ102" s="49">
        <v>0</v>
      </c>
      <c r="BK102" s="50">
        <v>0</v>
      </c>
      <c r="BL102" s="49">
        <v>17</v>
      </c>
      <c r="BM102" s="50">
        <v>100</v>
      </c>
      <c r="BN102" s="49">
        <v>17</v>
      </c>
    </row>
    <row r="103" spans="1:66" ht="15">
      <c r="A103" s="65" t="s">
        <v>259</v>
      </c>
      <c r="B103" s="65" t="s">
        <v>259</v>
      </c>
      <c r="C103" s="66" t="s">
        <v>2699</v>
      </c>
      <c r="D103" s="67">
        <v>10</v>
      </c>
      <c r="E103" s="68" t="s">
        <v>132</v>
      </c>
      <c r="F103" s="69">
        <v>10</v>
      </c>
      <c r="G103" s="66"/>
      <c r="H103" s="70"/>
      <c r="I103" s="71"/>
      <c r="J103" s="71"/>
      <c r="K103" s="35" t="s">
        <v>65</v>
      </c>
      <c r="L103" s="78">
        <v>103</v>
      </c>
      <c r="M103" s="78"/>
      <c r="N103" s="73"/>
      <c r="O103" s="80" t="s">
        <v>178</v>
      </c>
      <c r="P103" s="82">
        <v>44459.75738425926</v>
      </c>
      <c r="Q103" s="80" t="s">
        <v>413</v>
      </c>
      <c r="R103" s="80"/>
      <c r="S103" s="80"/>
      <c r="T103" s="85" t="s">
        <v>487</v>
      </c>
      <c r="U103" s="83" t="str">
        <f>HYPERLINK("https://pbs.twimg.com/ext_tw_video_thumb/1440015136371138566/pu/img/5qwwWinrPeXR7GLV.jpg")</f>
        <v>https://pbs.twimg.com/ext_tw_video_thumb/1440015136371138566/pu/img/5qwwWinrPeXR7GLV.jpg</v>
      </c>
      <c r="V103" s="83" t="str">
        <f>HYPERLINK("https://pbs.twimg.com/ext_tw_video_thumb/1440015136371138566/pu/img/5qwwWinrPeXR7GLV.jpg")</f>
        <v>https://pbs.twimg.com/ext_tw_video_thumb/1440015136371138566/pu/img/5qwwWinrPeXR7GLV.jpg</v>
      </c>
      <c r="W103" s="82">
        <v>44459.75738425926</v>
      </c>
      <c r="X103" s="88">
        <v>44459</v>
      </c>
      <c r="Y103" s="85" t="s">
        <v>576</v>
      </c>
      <c r="Z103" s="83" t="str">
        <f>HYPERLINK("https://twitter.com/azteca_tamps/status/1440015561694461954")</f>
        <v>https://twitter.com/azteca_tamps/status/1440015561694461954</v>
      </c>
      <c r="AA103" s="80"/>
      <c r="AB103" s="80"/>
      <c r="AC103" s="85" t="s">
        <v>749</v>
      </c>
      <c r="AD103" s="80"/>
      <c r="AE103" s="80" t="b">
        <v>0</v>
      </c>
      <c r="AF103" s="80">
        <v>0</v>
      </c>
      <c r="AG103" s="85" t="s">
        <v>871</v>
      </c>
      <c r="AH103" s="80" t="b">
        <v>0</v>
      </c>
      <c r="AI103" s="80" t="s">
        <v>882</v>
      </c>
      <c r="AJ103" s="80"/>
      <c r="AK103" s="85" t="s">
        <v>871</v>
      </c>
      <c r="AL103" s="80" t="b">
        <v>0</v>
      </c>
      <c r="AM103" s="80">
        <v>0</v>
      </c>
      <c r="AN103" s="85" t="s">
        <v>871</v>
      </c>
      <c r="AO103" s="85" t="s">
        <v>889</v>
      </c>
      <c r="AP103" s="80" t="b">
        <v>0</v>
      </c>
      <c r="AQ103" s="85" t="s">
        <v>749</v>
      </c>
      <c r="AR103" s="80" t="s">
        <v>178</v>
      </c>
      <c r="AS103" s="80">
        <v>0</v>
      </c>
      <c r="AT103" s="80">
        <v>0</v>
      </c>
      <c r="AU103" s="80"/>
      <c r="AV103" s="80"/>
      <c r="AW103" s="80"/>
      <c r="AX103" s="80"/>
      <c r="AY103" s="80"/>
      <c r="AZ103" s="80"/>
      <c r="BA103" s="80"/>
      <c r="BB103" s="80"/>
      <c r="BC103">
        <v>4</v>
      </c>
      <c r="BD103" s="79" t="str">
        <f>REPLACE(INDEX(GroupVertices[Group],MATCH(Edges[[#This Row],[Vertex 1]],GroupVertices[Vertex],0)),1,1,"")</f>
        <v>4</v>
      </c>
      <c r="BE103" s="79" t="str">
        <f>REPLACE(INDEX(GroupVertices[Group],MATCH(Edges[[#This Row],[Vertex 2]],GroupVertices[Vertex],0)),1,1,"")</f>
        <v>4</v>
      </c>
      <c r="BF103" s="49">
        <v>0</v>
      </c>
      <c r="BG103" s="50">
        <v>0</v>
      </c>
      <c r="BH103" s="49">
        <v>0</v>
      </c>
      <c r="BI103" s="50">
        <v>0</v>
      </c>
      <c r="BJ103" s="49">
        <v>0</v>
      </c>
      <c r="BK103" s="50">
        <v>0</v>
      </c>
      <c r="BL103" s="49">
        <v>32</v>
      </c>
      <c r="BM103" s="50">
        <v>100</v>
      </c>
      <c r="BN103" s="49">
        <v>32</v>
      </c>
    </row>
    <row r="104" spans="1:66" ht="15">
      <c r="A104" s="65" t="s">
        <v>259</v>
      </c>
      <c r="B104" s="65" t="s">
        <v>259</v>
      </c>
      <c r="C104" s="66" t="s">
        <v>2699</v>
      </c>
      <c r="D104" s="67">
        <v>10</v>
      </c>
      <c r="E104" s="68" t="s">
        <v>132</v>
      </c>
      <c r="F104" s="69">
        <v>10</v>
      </c>
      <c r="G104" s="66"/>
      <c r="H104" s="70"/>
      <c r="I104" s="71"/>
      <c r="J104" s="71"/>
      <c r="K104" s="35" t="s">
        <v>65</v>
      </c>
      <c r="L104" s="78">
        <v>104</v>
      </c>
      <c r="M104" s="78"/>
      <c r="N104" s="73"/>
      <c r="O104" s="80" t="s">
        <v>178</v>
      </c>
      <c r="P104" s="82">
        <v>44459.76101851852</v>
      </c>
      <c r="Q104" s="80" t="s">
        <v>414</v>
      </c>
      <c r="R104" s="80"/>
      <c r="S104" s="80"/>
      <c r="T104" s="85" t="s">
        <v>488</v>
      </c>
      <c r="U104" s="83" t="str">
        <f>HYPERLINK("https://pbs.twimg.com/ext_tw_video_thumb/1440016464904441861/pu/img/vY_ouaulG-xPSHzJ.jpg")</f>
        <v>https://pbs.twimg.com/ext_tw_video_thumb/1440016464904441861/pu/img/vY_ouaulG-xPSHzJ.jpg</v>
      </c>
      <c r="V104" s="83" t="str">
        <f>HYPERLINK("https://pbs.twimg.com/ext_tw_video_thumb/1440016464904441861/pu/img/vY_ouaulG-xPSHzJ.jpg")</f>
        <v>https://pbs.twimg.com/ext_tw_video_thumb/1440016464904441861/pu/img/vY_ouaulG-xPSHzJ.jpg</v>
      </c>
      <c r="W104" s="82">
        <v>44459.76101851852</v>
      </c>
      <c r="X104" s="88">
        <v>44459</v>
      </c>
      <c r="Y104" s="85" t="s">
        <v>577</v>
      </c>
      <c r="Z104" s="83" t="str">
        <f>HYPERLINK("https://twitter.com/azteca_tamps/status/1440016875908337665")</f>
        <v>https://twitter.com/azteca_tamps/status/1440016875908337665</v>
      </c>
      <c r="AA104" s="80"/>
      <c r="AB104" s="80"/>
      <c r="AC104" s="85" t="s">
        <v>750</v>
      </c>
      <c r="AD104" s="80"/>
      <c r="AE104" s="80" t="b">
        <v>0</v>
      </c>
      <c r="AF104" s="80">
        <v>2</v>
      </c>
      <c r="AG104" s="85" t="s">
        <v>871</v>
      </c>
      <c r="AH104" s="80" t="b">
        <v>0</v>
      </c>
      <c r="AI104" s="80" t="s">
        <v>882</v>
      </c>
      <c r="AJ104" s="80"/>
      <c r="AK104" s="85" t="s">
        <v>871</v>
      </c>
      <c r="AL104" s="80" t="b">
        <v>0</v>
      </c>
      <c r="AM104" s="80">
        <v>0</v>
      </c>
      <c r="AN104" s="85" t="s">
        <v>871</v>
      </c>
      <c r="AO104" s="85" t="s">
        <v>889</v>
      </c>
      <c r="AP104" s="80" t="b">
        <v>0</v>
      </c>
      <c r="AQ104" s="85" t="s">
        <v>750</v>
      </c>
      <c r="AR104" s="80" t="s">
        <v>178</v>
      </c>
      <c r="AS104" s="80">
        <v>0</v>
      </c>
      <c r="AT104" s="80">
        <v>0</v>
      </c>
      <c r="AU104" s="80"/>
      <c r="AV104" s="80"/>
      <c r="AW104" s="80"/>
      <c r="AX104" s="80"/>
      <c r="AY104" s="80"/>
      <c r="AZ104" s="80"/>
      <c r="BA104" s="80"/>
      <c r="BB104" s="80"/>
      <c r="BC104">
        <v>4</v>
      </c>
      <c r="BD104" s="79" t="str">
        <f>REPLACE(INDEX(GroupVertices[Group],MATCH(Edges[[#This Row],[Vertex 1]],GroupVertices[Vertex],0)),1,1,"")</f>
        <v>4</v>
      </c>
      <c r="BE104" s="79" t="str">
        <f>REPLACE(INDEX(GroupVertices[Group],MATCH(Edges[[#This Row],[Vertex 2]],GroupVertices[Vertex],0)),1,1,"")</f>
        <v>4</v>
      </c>
      <c r="BF104" s="49">
        <v>0</v>
      </c>
      <c r="BG104" s="50">
        <v>0</v>
      </c>
      <c r="BH104" s="49">
        <v>0</v>
      </c>
      <c r="BI104" s="50">
        <v>0</v>
      </c>
      <c r="BJ104" s="49">
        <v>0</v>
      </c>
      <c r="BK104" s="50">
        <v>0</v>
      </c>
      <c r="BL104" s="49">
        <v>24</v>
      </c>
      <c r="BM104" s="50">
        <v>100</v>
      </c>
      <c r="BN104" s="49">
        <v>24</v>
      </c>
    </row>
    <row r="105" spans="1:66" ht="15">
      <c r="A105" s="65" t="s">
        <v>260</v>
      </c>
      <c r="B105" s="65" t="s">
        <v>369</v>
      </c>
      <c r="C105" s="66" t="s">
        <v>2698</v>
      </c>
      <c r="D105" s="67">
        <v>4</v>
      </c>
      <c r="E105" s="68" t="s">
        <v>132</v>
      </c>
      <c r="F105" s="69">
        <v>30</v>
      </c>
      <c r="G105" s="66"/>
      <c r="H105" s="70"/>
      <c r="I105" s="71"/>
      <c r="J105" s="71"/>
      <c r="K105" s="35" t="s">
        <v>65</v>
      </c>
      <c r="L105" s="78">
        <v>105</v>
      </c>
      <c r="M105" s="78"/>
      <c r="N105" s="73"/>
      <c r="O105" s="80" t="s">
        <v>384</v>
      </c>
      <c r="P105" s="82">
        <v>44459.69042824074</v>
      </c>
      <c r="Q105" s="80" t="s">
        <v>415</v>
      </c>
      <c r="R105" s="80"/>
      <c r="S105" s="80"/>
      <c r="T105" s="85" t="s">
        <v>472</v>
      </c>
      <c r="U105" s="80"/>
      <c r="V105" s="83" t="str">
        <f>HYPERLINK("https://pbs.twimg.com/profile_images/1405362508311891974/Pk_VYkUN_normal.jpg")</f>
        <v>https://pbs.twimg.com/profile_images/1405362508311891974/Pk_VYkUN_normal.jpg</v>
      </c>
      <c r="W105" s="82">
        <v>44459.69042824074</v>
      </c>
      <c r="X105" s="88">
        <v>44459</v>
      </c>
      <c r="Y105" s="85" t="s">
        <v>578</v>
      </c>
      <c r="Z105" s="83" t="str">
        <f>HYPERLINK("https://twitter.com/alexvalan/status/1439991295007617028")</f>
        <v>https://twitter.com/alexvalan/status/1439991295007617028</v>
      </c>
      <c r="AA105" s="80"/>
      <c r="AB105" s="80"/>
      <c r="AC105" s="85" t="s">
        <v>751</v>
      </c>
      <c r="AD105" s="85" t="s">
        <v>867</v>
      </c>
      <c r="AE105" s="80" t="b">
        <v>0</v>
      </c>
      <c r="AF105" s="80">
        <v>3</v>
      </c>
      <c r="AG105" s="85" t="s">
        <v>875</v>
      </c>
      <c r="AH105" s="80" t="b">
        <v>0</v>
      </c>
      <c r="AI105" s="80" t="s">
        <v>882</v>
      </c>
      <c r="AJ105" s="80"/>
      <c r="AK105" s="85" t="s">
        <v>871</v>
      </c>
      <c r="AL105" s="80" t="b">
        <v>0</v>
      </c>
      <c r="AM105" s="80">
        <v>1</v>
      </c>
      <c r="AN105" s="85" t="s">
        <v>871</v>
      </c>
      <c r="AO105" s="85" t="s">
        <v>889</v>
      </c>
      <c r="AP105" s="80" t="b">
        <v>0</v>
      </c>
      <c r="AQ105" s="85" t="s">
        <v>867</v>
      </c>
      <c r="AR105" s="80" t="s">
        <v>178</v>
      </c>
      <c r="AS105" s="80">
        <v>0</v>
      </c>
      <c r="AT105" s="80">
        <v>0</v>
      </c>
      <c r="AU105" s="80"/>
      <c r="AV105" s="80"/>
      <c r="AW105" s="80"/>
      <c r="AX105" s="80"/>
      <c r="AY105" s="80"/>
      <c r="AZ105" s="80"/>
      <c r="BA105" s="80"/>
      <c r="BB105" s="80"/>
      <c r="BC105">
        <v>1</v>
      </c>
      <c r="BD105" s="79" t="str">
        <f>REPLACE(INDEX(GroupVertices[Group],MATCH(Edges[[#This Row],[Vertex 1]],GroupVertices[Vertex],0)),1,1,"")</f>
        <v>16</v>
      </c>
      <c r="BE105" s="79" t="str">
        <f>REPLACE(INDEX(GroupVertices[Group],MATCH(Edges[[#This Row],[Vertex 2]],GroupVertices[Vertex],0)),1,1,"")</f>
        <v>16</v>
      </c>
      <c r="BF105" s="49">
        <v>0</v>
      </c>
      <c r="BG105" s="50">
        <v>0</v>
      </c>
      <c r="BH105" s="49">
        <v>0</v>
      </c>
      <c r="BI105" s="50">
        <v>0</v>
      </c>
      <c r="BJ105" s="49">
        <v>0</v>
      </c>
      <c r="BK105" s="50">
        <v>0</v>
      </c>
      <c r="BL105" s="49">
        <v>38</v>
      </c>
      <c r="BM105" s="50">
        <v>100</v>
      </c>
      <c r="BN105" s="49">
        <v>38</v>
      </c>
    </row>
    <row r="106" spans="1:66" ht="15">
      <c r="A106" s="65" t="s">
        <v>261</v>
      </c>
      <c r="B106" s="65" t="s">
        <v>369</v>
      </c>
      <c r="C106" s="66" t="s">
        <v>2698</v>
      </c>
      <c r="D106" s="67">
        <v>4</v>
      </c>
      <c r="E106" s="68" t="s">
        <v>132</v>
      </c>
      <c r="F106" s="69">
        <v>30</v>
      </c>
      <c r="G106" s="66"/>
      <c r="H106" s="70"/>
      <c r="I106" s="71"/>
      <c r="J106" s="71"/>
      <c r="K106" s="35" t="s">
        <v>65</v>
      </c>
      <c r="L106" s="78">
        <v>106</v>
      </c>
      <c r="M106" s="78"/>
      <c r="N106" s="73"/>
      <c r="O106" s="80" t="s">
        <v>382</v>
      </c>
      <c r="P106" s="82">
        <v>44459.87965277778</v>
      </c>
      <c r="Q106" s="80" t="s">
        <v>415</v>
      </c>
      <c r="R106" s="80"/>
      <c r="S106" s="80"/>
      <c r="T106" s="85" t="s">
        <v>472</v>
      </c>
      <c r="U106" s="80"/>
      <c r="V106" s="83" t="str">
        <f>HYPERLINK("https://pbs.twimg.com/profile_images/1436200195222654979/X-0kvAuz_normal.jpg")</f>
        <v>https://pbs.twimg.com/profile_images/1436200195222654979/X-0kvAuz_normal.jpg</v>
      </c>
      <c r="W106" s="82">
        <v>44459.87965277778</v>
      </c>
      <c r="X106" s="88">
        <v>44459</v>
      </c>
      <c r="Y106" s="85" t="s">
        <v>579</v>
      </c>
      <c r="Z106" s="83" t="str">
        <f>HYPERLINK("https://twitter.com/leav_11/status/1440059868187017229")</f>
        <v>https://twitter.com/leav_11/status/1440059868187017229</v>
      </c>
      <c r="AA106" s="80"/>
      <c r="AB106" s="80"/>
      <c r="AC106" s="85" t="s">
        <v>752</v>
      </c>
      <c r="AD106" s="80"/>
      <c r="AE106" s="80" t="b">
        <v>0</v>
      </c>
      <c r="AF106" s="80">
        <v>0</v>
      </c>
      <c r="AG106" s="85" t="s">
        <v>871</v>
      </c>
      <c r="AH106" s="80" t="b">
        <v>0</v>
      </c>
      <c r="AI106" s="80" t="s">
        <v>882</v>
      </c>
      <c r="AJ106" s="80"/>
      <c r="AK106" s="85" t="s">
        <v>871</v>
      </c>
      <c r="AL106" s="80" t="b">
        <v>0</v>
      </c>
      <c r="AM106" s="80">
        <v>1</v>
      </c>
      <c r="AN106" s="85" t="s">
        <v>751</v>
      </c>
      <c r="AO106" s="85" t="s">
        <v>889</v>
      </c>
      <c r="AP106" s="80" t="b">
        <v>0</v>
      </c>
      <c r="AQ106" s="85" t="s">
        <v>751</v>
      </c>
      <c r="AR106" s="80" t="s">
        <v>178</v>
      </c>
      <c r="AS106" s="80">
        <v>0</v>
      </c>
      <c r="AT106" s="80">
        <v>0</v>
      </c>
      <c r="AU106" s="80"/>
      <c r="AV106" s="80"/>
      <c r="AW106" s="80"/>
      <c r="AX106" s="80"/>
      <c r="AY106" s="80"/>
      <c r="AZ106" s="80"/>
      <c r="BA106" s="80"/>
      <c r="BB106" s="80"/>
      <c r="BC106">
        <v>1</v>
      </c>
      <c r="BD106" s="79" t="str">
        <f>REPLACE(INDEX(GroupVertices[Group],MATCH(Edges[[#This Row],[Vertex 1]],GroupVertices[Vertex],0)),1,1,"")</f>
        <v>16</v>
      </c>
      <c r="BE106" s="79" t="str">
        <f>REPLACE(INDEX(GroupVertices[Group],MATCH(Edges[[#This Row],[Vertex 2]],GroupVertices[Vertex],0)),1,1,"")</f>
        <v>16</v>
      </c>
      <c r="BF106" s="49"/>
      <c r="BG106" s="50"/>
      <c r="BH106" s="49"/>
      <c r="BI106" s="50"/>
      <c r="BJ106" s="49"/>
      <c r="BK106" s="50"/>
      <c r="BL106" s="49"/>
      <c r="BM106" s="50"/>
      <c r="BN106" s="49"/>
    </row>
    <row r="107" spans="1:66" ht="15">
      <c r="A107" s="65" t="s">
        <v>261</v>
      </c>
      <c r="B107" s="65" t="s">
        <v>260</v>
      </c>
      <c r="C107" s="66" t="s">
        <v>2698</v>
      </c>
      <c r="D107" s="67">
        <v>4</v>
      </c>
      <c r="E107" s="68" t="s">
        <v>132</v>
      </c>
      <c r="F107" s="69">
        <v>30</v>
      </c>
      <c r="G107" s="66"/>
      <c r="H107" s="70"/>
      <c r="I107" s="71"/>
      <c r="J107" s="71"/>
      <c r="K107" s="35" t="s">
        <v>65</v>
      </c>
      <c r="L107" s="78">
        <v>107</v>
      </c>
      <c r="M107" s="78"/>
      <c r="N107" s="73"/>
      <c r="O107" s="80" t="s">
        <v>383</v>
      </c>
      <c r="P107" s="82">
        <v>44459.87965277778</v>
      </c>
      <c r="Q107" s="80" t="s">
        <v>415</v>
      </c>
      <c r="R107" s="80"/>
      <c r="S107" s="80"/>
      <c r="T107" s="85" t="s">
        <v>472</v>
      </c>
      <c r="U107" s="80"/>
      <c r="V107" s="83" t="str">
        <f>HYPERLINK("https://pbs.twimg.com/profile_images/1436200195222654979/X-0kvAuz_normal.jpg")</f>
        <v>https://pbs.twimg.com/profile_images/1436200195222654979/X-0kvAuz_normal.jpg</v>
      </c>
      <c r="W107" s="82">
        <v>44459.87965277778</v>
      </c>
      <c r="X107" s="88">
        <v>44459</v>
      </c>
      <c r="Y107" s="85" t="s">
        <v>579</v>
      </c>
      <c r="Z107" s="83" t="str">
        <f>HYPERLINK("https://twitter.com/leav_11/status/1440059868187017229")</f>
        <v>https://twitter.com/leav_11/status/1440059868187017229</v>
      </c>
      <c r="AA107" s="80"/>
      <c r="AB107" s="80"/>
      <c r="AC107" s="85" t="s">
        <v>752</v>
      </c>
      <c r="AD107" s="80"/>
      <c r="AE107" s="80" t="b">
        <v>0</v>
      </c>
      <c r="AF107" s="80">
        <v>0</v>
      </c>
      <c r="AG107" s="85" t="s">
        <v>871</v>
      </c>
      <c r="AH107" s="80" t="b">
        <v>0</v>
      </c>
      <c r="AI107" s="80" t="s">
        <v>882</v>
      </c>
      <c r="AJ107" s="80"/>
      <c r="AK107" s="85" t="s">
        <v>871</v>
      </c>
      <c r="AL107" s="80" t="b">
        <v>0</v>
      </c>
      <c r="AM107" s="80">
        <v>1</v>
      </c>
      <c r="AN107" s="85" t="s">
        <v>751</v>
      </c>
      <c r="AO107" s="85" t="s">
        <v>889</v>
      </c>
      <c r="AP107" s="80" t="b">
        <v>0</v>
      </c>
      <c r="AQ107" s="85" t="s">
        <v>751</v>
      </c>
      <c r="AR107" s="80" t="s">
        <v>178</v>
      </c>
      <c r="AS107" s="80">
        <v>0</v>
      </c>
      <c r="AT107" s="80">
        <v>0</v>
      </c>
      <c r="AU107" s="80"/>
      <c r="AV107" s="80"/>
      <c r="AW107" s="80"/>
      <c r="AX107" s="80"/>
      <c r="AY107" s="80"/>
      <c r="AZ107" s="80"/>
      <c r="BA107" s="80"/>
      <c r="BB107" s="80"/>
      <c r="BC107">
        <v>1</v>
      </c>
      <c r="BD107" s="79" t="str">
        <f>REPLACE(INDEX(GroupVertices[Group],MATCH(Edges[[#This Row],[Vertex 1]],GroupVertices[Vertex],0)),1,1,"")</f>
        <v>16</v>
      </c>
      <c r="BE107" s="79" t="str">
        <f>REPLACE(INDEX(GroupVertices[Group],MATCH(Edges[[#This Row],[Vertex 2]],GroupVertices[Vertex],0)),1,1,"")</f>
        <v>16</v>
      </c>
      <c r="BF107" s="49">
        <v>0</v>
      </c>
      <c r="BG107" s="50">
        <v>0</v>
      </c>
      <c r="BH107" s="49">
        <v>0</v>
      </c>
      <c r="BI107" s="50">
        <v>0</v>
      </c>
      <c r="BJ107" s="49">
        <v>0</v>
      </c>
      <c r="BK107" s="50">
        <v>0</v>
      </c>
      <c r="BL107" s="49">
        <v>38</v>
      </c>
      <c r="BM107" s="50">
        <v>100</v>
      </c>
      <c r="BN107" s="49">
        <v>38</v>
      </c>
    </row>
    <row r="108" spans="1:66" ht="15">
      <c r="A108" s="65" t="s">
        <v>262</v>
      </c>
      <c r="B108" s="65" t="s">
        <v>262</v>
      </c>
      <c r="C108" s="66" t="s">
        <v>2699</v>
      </c>
      <c r="D108" s="67">
        <v>10</v>
      </c>
      <c r="E108" s="68" t="s">
        <v>132</v>
      </c>
      <c r="F108" s="69">
        <v>10</v>
      </c>
      <c r="G108" s="66"/>
      <c r="H108" s="70"/>
      <c r="I108" s="71"/>
      <c r="J108" s="71"/>
      <c r="K108" s="35" t="s">
        <v>65</v>
      </c>
      <c r="L108" s="78">
        <v>108</v>
      </c>
      <c r="M108" s="78"/>
      <c r="N108" s="73"/>
      <c r="O108" s="80" t="s">
        <v>178</v>
      </c>
      <c r="P108" s="82">
        <v>44444.07188657407</v>
      </c>
      <c r="Q108" s="80" t="s">
        <v>416</v>
      </c>
      <c r="R108" s="83" t="str">
        <f>HYPERLINK("https://twitter.com/notienlacezap/status/1434305633826844675")</f>
        <v>https://twitter.com/notienlacezap/status/1434305633826844675</v>
      </c>
      <c r="S108" s="80" t="s">
        <v>460</v>
      </c>
      <c r="T108" s="85" t="s">
        <v>489</v>
      </c>
      <c r="U108" s="80"/>
      <c r="V108" s="83" t="str">
        <f>HYPERLINK("https://pbs.twimg.com/profile_images/1027277148204089344/xnY8zncw_normal.jpg")</f>
        <v>https://pbs.twimg.com/profile_images/1027277148204089344/xnY8zncw_normal.jpg</v>
      </c>
      <c r="W108" s="82">
        <v>44444.07188657407</v>
      </c>
      <c r="X108" s="88">
        <v>44444</v>
      </c>
      <c r="Y108" s="85" t="s">
        <v>580</v>
      </c>
      <c r="Z108" s="83" t="str">
        <f>HYPERLINK("https://twitter.com/gaboku_hirako/status/1434331326149271552")</f>
        <v>https://twitter.com/gaboku_hirako/status/1434331326149271552</v>
      </c>
      <c r="AA108" s="80"/>
      <c r="AB108" s="80"/>
      <c r="AC108" s="85" t="s">
        <v>753</v>
      </c>
      <c r="AD108" s="80"/>
      <c r="AE108" s="80" t="b">
        <v>0</v>
      </c>
      <c r="AF108" s="80">
        <v>3</v>
      </c>
      <c r="AG108" s="85" t="s">
        <v>871</v>
      </c>
      <c r="AH108" s="80" t="b">
        <v>1</v>
      </c>
      <c r="AI108" s="80" t="s">
        <v>884</v>
      </c>
      <c r="AJ108" s="80"/>
      <c r="AK108" s="85" t="s">
        <v>886</v>
      </c>
      <c r="AL108" s="80" t="b">
        <v>0</v>
      </c>
      <c r="AM108" s="80">
        <v>3</v>
      </c>
      <c r="AN108" s="85" t="s">
        <v>871</v>
      </c>
      <c r="AO108" s="85" t="s">
        <v>889</v>
      </c>
      <c r="AP108" s="80" t="b">
        <v>0</v>
      </c>
      <c r="AQ108" s="85" t="s">
        <v>753</v>
      </c>
      <c r="AR108" s="80" t="s">
        <v>383</v>
      </c>
      <c r="AS108" s="80">
        <v>0</v>
      </c>
      <c r="AT108" s="80">
        <v>0</v>
      </c>
      <c r="AU108" s="80"/>
      <c r="AV108" s="80"/>
      <c r="AW108" s="80"/>
      <c r="AX108" s="80"/>
      <c r="AY108" s="80"/>
      <c r="AZ108" s="80"/>
      <c r="BA108" s="80"/>
      <c r="BB108" s="80"/>
      <c r="BC108">
        <v>4</v>
      </c>
      <c r="BD108" s="79" t="str">
        <f>REPLACE(INDEX(GroupVertices[Group],MATCH(Edges[[#This Row],[Vertex 1]],GroupVertices[Vertex],0)),1,1,"")</f>
        <v>22</v>
      </c>
      <c r="BE108" s="79" t="str">
        <f>REPLACE(INDEX(GroupVertices[Group],MATCH(Edges[[#This Row],[Vertex 2]],GroupVertices[Vertex],0)),1,1,"")</f>
        <v>22</v>
      </c>
      <c r="BF108" s="49">
        <v>0</v>
      </c>
      <c r="BG108" s="50">
        <v>0</v>
      </c>
      <c r="BH108" s="49">
        <v>0</v>
      </c>
      <c r="BI108" s="50">
        <v>0</v>
      </c>
      <c r="BJ108" s="49">
        <v>0</v>
      </c>
      <c r="BK108" s="50">
        <v>0</v>
      </c>
      <c r="BL108" s="49">
        <v>3</v>
      </c>
      <c r="BM108" s="50">
        <v>100</v>
      </c>
      <c r="BN108" s="49">
        <v>3</v>
      </c>
    </row>
    <row r="109" spans="1:66" ht="15">
      <c r="A109" s="65" t="s">
        <v>262</v>
      </c>
      <c r="B109" s="65" t="s">
        <v>262</v>
      </c>
      <c r="C109" s="66" t="s">
        <v>2699</v>
      </c>
      <c r="D109" s="67">
        <v>10</v>
      </c>
      <c r="E109" s="68" t="s">
        <v>132</v>
      </c>
      <c r="F109" s="69">
        <v>10</v>
      </c>
      <c r="G109" s="66"/>
      <c r="H109" s="70"/>
      <c r="I109" s="71"/>
      <c r="J109" s="71"/>
      <c r="K109" s="35" t="s">
        <v>65</v>
      </c>
      <c r="L109" s="78">
        <v>109</v>
      </c>
      <c r="M109" s="78"/>
      <c r="N109" s="73"/>
      <c r="O109" s="80" t="s">
        <v>178</v>
      </c>
      <c r="P109" s="82">
        <v>44458.96210648148</v>
      </c>
      <c r="Q109" s="80" t="s">
        <v>417</v>
      </c>
      <c r="R109" s="83" t="str">
        <f>HYPERLINK("https://twitter.com/quadratin_chis/status/1439027984120299520")</f>
        <v>https://twitter.com/quadratin_chis/status/1439027984120299520</v>
      </c>
      <c r="S109" s="80" t="s">
        <v>460</v>
      </c>
      <c r="T109" s="85" t="s">
        <v>490</v>
      </c>
      <c r="U109" s="80"/>
      <c r="V109" s="83" t="str">
        <f>HYPERLINK("https://pbs.twimg.com/profile_images/1027277148204089344/xnY8zncw_normal.jpg")</f>
        <v>https://pbs.twimg.com/profile_images/1027277148204089344/xnY8zncw_normal.jpg</v>
      </c>
      <c r="W109" s="82">
        <v>44458.96210648148</v>
      </c>
      <c r="X109" s="88">
        <v>44458</v>
      </c>
      <c r="Y109" s="85" t="s">
        <v>581</v>
      </c>
      <c r="Z109" s="83" t="str">
        <f>HYPERLINK("https://twitter.com/gaboku_hirako/status/1439727363185577985")</f>
        <v>https://twitter.com/gaboku_hirako/status/1439727363185577985</v>
      </c>
      <c r="AA109" s="80"/>
      <c r="AB109" s="80"/>
      <c r="AC109" s="85" t="s">
        <v>754</v>
      </c>
      <c r="AD109" s="80"/>
      <c r="AE109" s="80" t="b">
        <v>0</v>
      </c>
      <c r="AF109" s="80">
        <v>0</v>
      </c>
      <c r="AG109" s="85" t="s">
        <v>871</v>
      </c>
      <c r="AH109" s="80" t="b">
        <v>1</v>
      </c>
      <c r="AI109" s="80" t="s">
        <v>882</v>
      </c>
      <c r="AJ109" s="80"/>
      <c r="AK109" s="85" t="s">
        <v>887</v>
      </c>
      <c r="AL109" s="80" t="b">
        <v>0</v>
      </c>
      <c r="AM109" s="80">
        <v>0</v>
      </c>
      <c r="AN109" s="85" t="s">
        <v>871</v>
      </c>
      <c r="AO109" s="85" t="s">
        <v>889</v>
      </c>
      <c r="AP109" s="80" t="b">
        <v>0</v>
      </c>
      <c r="AQ109" s="85" t="s">
        <v>754</v>
      </c>
      <c r="AR109" s="80" t="s">
        <v>178</v>
      </c>
      <c r="AS109" s="80">
        <v>0</v>
      </c>
      <c r="AT109" s="80">
        <v>0</v>
      </c>
      <c r="AU109" s="80"/>
      <c r="AV109" s="80"/>
      <c r="AW109" s="80"/>
      <c r="AX109" s="80"/>
      <c r="AY109" s="80"/>
      <c r="AZ109" s="80"/>
      <c r="BA109" s="80"/>
      <c r="BB109" s="80"/>
      <c r="BC109">
        <v>4</v>
      </c>
      <c r="BD109" s="79" t="str">
        <f>REPLACE(INDEX(GroupVertices[Group],MATCH(Edges[[#This Row],[Vertex 1]],GroupVertices[Vertex],0)),1,1,"")</f>
        <v>22</v>
      </c>
      <c r="BE109" s="79" t="str">
        <f>REPLACE(INDEX(GroupVertices[Group],MATCH(Edges[[#This Row],[Vertex 2]],GroupVertices[Vertex],0)),1,1,"")</f>
        <v>22</v>
      </c>
      <c r="BF109" s="49">
        <v>0</v>
      </c>
      <c r="BG109" s="50">
        <v>0</v>
      </c>
      <c r="BH109" s="49">
        <v>0</v>
      </c>
      <c r="BI109" s="50">
        <v>0</v>
      </c>
      <c r="BJ109" s="49">
        <v>0</v>
      </c>
      <c r="BK109" s="50">
        <v>0</v>
      </c>
      <c r="BL109" s="49">
        <v>13</v>
      </c>
      <c r="BM109" s="50">
        <v>100</v>
      </c>
      <c r="BN109" s="49">
        <v>13</v>
      </c>
    </row>
    <row r="110" spans="1:66" ht="15">
      <c r="A110" s="65" t="s">
        <v>263</v>
      </c>
      <c r="B110" s="65" t="s">
        <v>262</v>
      </c>
      <c r="C110" s="66" t="s">
        <v>2698</v>
      </c>
      <c r="D110" s="67">
        <v>4</v>
      </c>
      <c r="E110" s="68" t="s">
        <v>132</v>
      </c>
      <c r="F110" s="69">
        <v>30</v>
      </c>
      <c r="G110" s="66"/>
      <c r="H110" s="70"/>
      <c r="I110" s="71"/>
      <c r="J110" s="71"/>
      <c r="K110" s="35" t="s">
        <v>65</v>
      </c>
      <c r="L110" s="78">
        <v>110</v>
      </c>
      <c r="M110" s="78"/>
      <c r="N110" s="73"/>
      <c r="O110" s="80" t="s">
        <v>383</v>
      </c>
      <c r="P110" s="82">
        <v>44460.1178125</v>
      </c>
      <c r="Q110" s="80" t="s">
        <v>416</v>
      </c>
      <c r="R110" s="83" t="str">
        <f>HYPERLINK("https://twitter.com/notienlacezap/status/1434305633826844675")</f>
        <v>https://twitter.com/notienlacezap/status/1434305633826844675</v>
      </c>
      <c r="S110" s="80" t="s">
        <v>460</v>
      </c>
      <c r="T110" s="85" t="s">
        <v>489</v>
      </c>
      <c r="U110" s="80"/>
      <c r="V110" s="83" t="str">
        <f>HYPERLINK("https://pbs.twimg.com/profile_images/1354294314239549447/aopcj9fY_normal.jpg")</f>
        <v>https://pbs.twimg.com/profile_images/1354294314239549447/aopcj9fY_normal.jpg</v>
      </c>
      <c r="W110" s="82">
        <v>44460.1178125</v>
      </c>
      <c r="X110" s="88">
        <v>44460</v>
      </c>
      <c r="Y110" s="85" t="s">
        <v>582</v>
      </c>
      <c r="Z110" s="83" t="str">
        <f>HYPERLINK("https://twitter.com/danielascalante/status/1440146177274507272")</f>
        <v>https://twitter.com/danielascalante/status/1440146177274507272</v>
      </c>
      <c r="AA110" s="80"/>
      <c r="AB110" s="80"/>
      <c r="AC110" s="85" t="s">
        <v>755</v>
      </c>
      <c r="AD110" s="80"/>
      <c r="AE110" s="80" t="b">
        <v>0</v>
      </c>
      <c r="AF110" s="80">
        <v>0</v>
      </c>
      <c r="AG110" s="85" t="s">
        <v>871</v>
      </c>
      <c r="AH110" s="80" t="b">
        <v>1</v>
      </c>
      <c r="AI110" s="80" t="s">
        <v>884</v>
      </c>
      <c r="AJ110" s="80"/>
      <c r="AK110" s="85" t="s">
        <v>886</v>
      </c>
      <c r="AL110" s="80" t="b">
        <v>0</v>
      </c>
      <c r="AM110" s="80">
        <v>3</v>
      </c>
      <c r="AN110" s="85" t="s">
        <v>753</v>
      </c>
      <c r="AO110" s="85" t="s">
        <v>891</v>
      </c>
      <c r="AP110" s="80" t="b">
        <v>0</v>
      </c>
      <c r="AQ110" s="85" t="s">
        <v>753</v>
      </c>
      <c r="AR110" s="80" t="s">
        <v>178</v>
      </c>
      <c r="AS110" s="80">
        <v>0</v>
      </c>
      <c r="AT110" s="80">
        <v>0</v>
      </c>
      <c r="AU110" s="80"/>
      <c r="AV110" s="80"/>
      <c r="AW110" s="80"/>
      <c r="AX110" s="80"/>
      <c r="AY110" s="80"/>
      <c r="AZ110" s="80"/>
      <c r="BA110" s="80"/>
      <c r="BB110" s="80"/>
      <c r="BC110">
        <v>1</v>
      </c>
      <c r="BD110" s="79" t="str">
        <f>REPLACE(INDEX(GroupVertices[Group],MATCH(Edges[[#This Row],[Vertex 1]],GroupVertices[Vertex],0)),1,1,"")</f>
        <v>22</v>
      </c>
      <c r="BE110" s="79" t="str">
        <f>REPLACE(INDEX(GroupVertices[Group],MATCH(Edges[[#This Row],[Vertex 2]],GroupVertices[Vertex],0)),1,1,"")</f>
        <v>22</v>
      </c>
      <c r="BF110" s="49">
        <v>0</v>
      </c>
      <c r="BG110" s="50">
        <v>0</v>
      </c>
      <c r="BH110" s="49">
        <v>0</v>
      </c>
      <c r="BI110" s="50">
        <v>0</v>
      </c>
      <c r="BJ110" s="49">
        <v>0</v>
      </c>
      <c r="BK110" s="50">
        <v>0</v>
      </c>
      <c r="BL110" s="49">
        <v>3</v>
      </c>
      <c r="BM110" s="50">
        <v>100</v>
      </c>
      <c r="BN110" s="49">
        <v>3</v>
      </c>
    </row>
    <row r="111" spans="1:66" ht="15">
      <c r="A111" s="65" t="s">
        <v>264</v>
      </c>
      <c r="B111" s="65" t="s">
        <v>368</v>
      </c>
      <c r="C111" s="66" t="s">
        <v>2698</v>
      </c>
      <c r="D111" s="67">
        <v>4</v>
      </c>
      <c r="E111" s="68" t="s">
        <v>132</v>
      </c>
      <c r="F111" s="69">
        <v>30</v>
      </c>
      <c r="G111" s="66"/>
      <c r="H111" s="70"/>
      <c r="I111" s="71"/>
      <c r="J111" s="71"/>
      <c r="K111" s="35" t="s">
        <v>65</v>
      </c>
      <c r="L111" s="78">
        <v>111</v>
      </c>
      <c r="M111" s="78"/>
      <c r="N111" s="73"/>
      <c r="O111" s="80" t="s">
        <v>382</v>
      </c>
      <c r="P111" s="82">
        <v>44460.13752314815</v>
      </c>
      <c r="Q111" s="80" t="s">
        <v>418</v>
      </c>
      <c r="R111" s="80"/>
      <c r="S111" s="80"/>
      <c r="T111" s="85" t="s">
        <v>491</v>
      </c>
      <c r="U111" s="83" t="str">
        <f>HYPERLINK("https://pbs.twimg.com/ext_tw_video_thumb/1440152056862441476/pu/img/RypVaHbX_jWL8ylr.jpg")</f>
        <v>https://pbs.twimg.com/ext_tw_video_thumb/1440152056862441476/pu/img/RypVaHbX_jWL8ylr.jpg</v>
      </c>
      <c r="V111" s="83" t="str">
        <f>HYPERLINK("https://pbs.twimg.com/ext_tw_video_thumb/1440152056862441476/pu/img/RypVaHbX_jWL8ylr.jpg")</f>
        <v>https://pbs.twimg.com/ext_tw_video_thumb/1440152056862441476/pu/img/RypVaHbX_jWL8ylr.jpg</v>
      </c>
      <c r="W111" s="82">
        <v>44460.13752314815</v>
      </c>
      <c r="X111" s="88">
        <v>44460</v>
      </c>
      <c r="Y111" s="85" t="s">
        <v>583</v>
      </c>
      <c r="Z111" s="83" t="str">
        <f>HYPERLINK("https://twitter.com/ccc9012/status/1440153316810391556")</f>
        <v>https://twitter.com/ccc9012/status/1440153316810391556</v>
      </c>
      <c r="AA111" s="80"/>
      <c r="AB111" s="80"/>
      <c r="AC111" s="85" t="s">
        <v>756</v>
      </c>
      <c r="AD111" s="80"/>
      <c r="AE111" s="80" t="b">
        <v>0</v>
      </c>
      <c r="AF111" s="80">
        <v>0</v>
      </c>
      <c r="AG111" s="85" t="s">
        <v>871</v>
      </c>
      <c r="AH111" s="80" t="b">
        <v>0</v>
      </c>
      <c r="AI111" s="80" t="s">
        <v>882</v>
      </c>
      <c r="AJ111" s="80"/>
      <c r="AK111" s="85" t="s">
        <v>871</v>
      </c>
      <c r="AL111" s="80" t="b">
        <v>0</v>
      </c>
      <c r="AM111" s="80">
        <v>13</v>
      </c>
      <c r="AN111" s="85" t="s">
        <v>835</v>
      </c>
      <c r="AO111" s="85" t="s">
        <v>889</v>
      </c>
      <c r="AP111" s="80" t="b">
        <v>0</v>
      </c>
      <c r="AQ111" s="85" t="s">
        <v>835</v>
      </c>
      <c r="AR111" s="80" t="s">
        <v>178</v>
      </c>
      <c r="AS111" s="80">
        <v>0</v>
      </c>
      <c r="AT111" s="80">
        <v>0</v>
      </c>
      <c r="AU111" s="80"/>
      <c r="AV111" s="80"/>
      <c r="AW111" s="80"/>
      <c r="AX111" s="80"/>
      <c r="AY111" s="80"/>
      <c r="AZ111" s="80"/>
      <c r="BA111" s="80"/>
      <c r="BB111" s="80"/>
      <c r="BC111">
        <v>1</v>
      </c>
      <c r="BD111" s="79" t="str">
        <f>REPLACE(INDEX(GroupVertices[Group],MATCH(Edges[[#This Row],[Vertex 1]],GroupVertices[Vertex],0)),1,1,"")</f>
        <v>2</v>
      </c>
      <c r="BE111" s="79" t="str">
        <f>REPLACE(INDEX(GroupVertices[Group],MATCH(Edges[[#This Row],[Vertex 2]],GroupVertices[Vertex],0)),1,1,"")</f>
        <v>2</v>
      </c>
      <c r="BF111" s="49"/>
      <c r="BG111" s="50"/>
      <c r="BH111" s="49"/>
      <c r="BI111" s="50"/>
      <c r="BJ111" s="49"/>
      <c r="BK111" s="50"/>
      <c r="BL111" s="49"/>
      <c r="BM111" s="50"/>
      <c r="BN111" s="49"/>
    </row>
    <row r="112" spans="1:66" ht="15">
      <c r="A112" s="65" t="s">
        <v>264</v>
      </c>
      <c r="B112" s="65" t="s">
        <v>370</v>
      </c>
      <c r="C112" s="66" t="s">
        <v>2698</v>
      </c>
      <c r="D112" s="67">
        <v>4</v>
      </c>
      <c r="E112" s="68" t="s">
        <v>132</v>
      </c>
      <c r="F112" s="69">
        <v>30</v>
      </c>
      <c r="G112" s="66"/>
      <c r="H112" s="70"/>
      <c r="I112" s="71"/>
      <c r="J112" s="71"/>
      <c r="K112" s="35" t="s">
        <v>65</v>
      </c>
      <c r="L112" s="78">
        <v>112</v>
      </c>
      <c r="M112" s="78"/>
      <c r="N112" s="73"/>
      <c r="O112" s="80" t="s">
        <v>382</v>
      </c>
      <c r="P112" s="82">
        <v>44460.13752314815</v>
      </c>
      <c r="Q112" s="80" t="s">
        <v>418</v>
      </c>
      <c r="R112" s="80"/>
      <c r="S112" s="80"/>
      <c r="T112" s="85" t="s">
        <v>491</v>
      </c>
      <c r="U112" s="83" t="str">
        <f>HYPERLINK("https://pbs.twimg.com/ext_tw_video_thumb/1440152056862441476/pu/img/RypVaHbX_jWL8ylr.jpg")</f>
        <v>https://pbs.twimg.com/ext_tw_video_thumb/1440152056862441476/pu/img/RypVaHbX_jWL8ylr.jpg</v>
      </c>
      <c r="V112" s="83" t="str">
        <f>HYPERLINK("https://pbs.twimg.com/ext_tw_video_thumb/1440152056862441476/pu/img/RypVaHbX_jWL8ylr.jpg")</f>
        <v>https://pbs.twimg.com/ext_tw_video_thumb/1440152056862441476/pu/img/RypVaHbX_jWL8ylr.jpg</v>
      </c>
      <c r="W112" s="82">
        <v>44460.13752314815</v>
      </c>
      <c r="X112" s="88">
        <v>44460</v>
      </c>
      <c r="Y112" s="85" t="s">
        <v>583</v>
      </c>
      <c r="Z112" s="83" t="str">
        <f>HYPERLINK("https://twitter.com/ccc9012/status/1440153316810391556")</f>
        <v>https://twitter.com/ccc9012/status/1440153316810391556</v>
      </c>
      <c r="AA112" s="80"/>
      <c r="AB112" s="80"/>
      <c r="AC112" s="85" t="s">
        <v>756</v>
      </c>
      <c r="AD112" s="80"/>
      <c r="AE112" s="80" t="b">
        <v>0</v>
      </c>
      <c r="AF112" s="80">
        <v>0</v>
      </c>
      <c r="AG112" s="85" t="s">
        <v>871</v>
      </c>
      <c r="AH112" s="80" t="b">
        <v>0</v>
      </c>
      <c r="AI112" s="80" t="s">
        <v>882</v>
      </c>
      <c r="AJ112" s="80"/>
      <c r="AK112" s="85" t="s">
        <v>871</v>
      </c>
      <c r="AL112" s="80" t="b">
        <v>0</v>
      </c>
      <c r="AM112" s="80">
        <v>13</v>
      </c>
      <c r="AN112" s="85" t="s">
        <v>835</v>
      </c>
      <c r="AO112" s="85" t="s">
        <v>889</v>
      </c>
      <c r="AP112" s="80" t="b">
        <v>0</v>
      </c>
      <c r="AQ112" s="85" t="s">
        <v>835</v>
      </c>
      <c r="AR112" s="80" t="s">
        <v>178</v>
      </c>
      <c r="AS112" s="80">
        <v>0</v>
      </c>
      <c r="AT112" s="80">
        <v>0</v>
      </c>
      <c r="AU112" s="80"/>
      <c r="AV112" s="80"/>
      <c r="AW112" s="80"/>
      <c r="AX112" s="80"/>
      <c r="AY112" s="80"/>
      <c r="AZ112" s="80"/>
      <c r="BA112" s="80"/>
      <c r="BB112" s="80"/>
      <c r="BC112">
        <v>1</v>
      </c>
      <c r="BD112" s="79" t="str">
        <f>REPLACE(INDEX(GroupVertices[Group],MATCH(Edges[[#This Row],[Vertex 1]],GroupVertices[Vertex],0)),1,1,"")</f>
        <v>2</v>
      </c>
      <c r="BE112" s="79" t="str">
        <f>REPLACE(INDEX(GroupVertices[Group],MATCH(Edges[[#This Row],[Vertex 2]],GroupVertices[Vertex],0)),1,1,"")</f>
        <v>2</v>
      </c>
      <c r="BF112" s="49"/>
      <c r="BG112" s="50"/>
      <c r="BH112" s="49"/>
      <c r="BI112" s="50"/>
      <c r="BJ112" s="49"/>
      <c r="BK112" s="50"/>
      <c r="BL112" s="49"/>
      <c r="BM112" s="50"/>
      <c r="BN112" s="49"/>
    </row>
    <row r="113" spans="1:66" ht="15">
      <c r="A113" s="65" t="s">
        <v>264</v>
      </c>
      <c r="B113" s="65" t="s">
        <v>337</v>
      </c>
      <c r="C113" s="66" t="s">
        <v>2698</v>
      </c>
      <c r="D113" s="67">
        <v>4</v>
      </c>
      <c r="E113" s="68" t="s">
        <v>132</v>
      </c>
      <c r="F113" s="69">
        <v>30</v>
      </c>
      <c r="G113" s="66"/>
      <c r="H113" s="70"/>
      <c r="I113" s="71"/>
      <c r="J113" s="71"/>
      <c r="K113" s="35" t="s">
        <v>65</v>
      </c>
      <c r="L113" s="78">
        <v>113</v>
      </c>
      <c r="M113" s="78"/>
      <c r="N113" s="73"/>
      <c r="O113" s="80" t="s">
        <v>383</v>
      </c>
      <c r="P113" s="82">
        <v>44460.13752314815</v>
      </c>
      <c r="Q113" s="80" t="s">
        <v>418</v>
      </c>
      <c r="R113" s="80"/>
      <c r="S113" s="80"/>
      <c r="T113" s="85" t="s">
        <v>491</v>
      </c>
      <c r="U113" s="83" t="str">
        <f>HYPERLINK("https://pbs.twimg.com/ext_tw_video_thumb/1440152056862441476/pu/img/RypVaHbX_jWL8ylr.jpg")</f>
        <v>https://pbs.twimg.com/ext_tw_video_thumb/1440152056862441476/pu/img/RypVaHbX_jWL8ylr.jpg</v>
      </c>
      <c r="V113" s="83" t="str">
        <f>HYPERLINK("https://pbs.twimg.com/ext_tw_video_thumb/1440152056862441476/pu/img/RypVaHbX_jWL8ylr.jpg")</f>
        <v>https://pbs.twimg.com/ext_tw_video_thumb/1440152056862441476/pu/img/RypVaHbX_jWL8ylr.jpg</v>
      </c>
      <c r="W113" s="82">
        <v>44460.13752314815</v>
      </c>
      <c r="X113" s="88">
        <v>44460</v>
      </c>
      <c r="Y113" s="85" t="s">
        <v>583</v>
      </c>
      <c r="Z113" s="83" t="str">
        <f>HYPERLINK("https://twitter.com/ccc9012/status/1440153316810391556")</f>
        <v>https://twitter.com/ccc9012/status/1440153316810391556</v>
      </c>
      <c r="AA113" s="80"/>
      <c r="AB113" s="80"/>
      <c r="AC113" s="85" t="s">
        <v>756</v>
      </c>
      <c r="AD113" s="80"/>
      <c r="AE113" s="80" t="b">
        <v>0</v>
      </c>
      <c r="AF113" s="80">
        <v>0</v>
      </c>
      <c r="AG113" s="85" t="s">
        <v>871</v>
      </c>
      <c r="AH113" s="80" t="b">
        <v>0</v>
      </c>
      <c r="AI113" s="80" t="s">
        <v>882</v>
      </c>
      <c r="AJ113" s="80"/>
      <c r="AK113" s="85" t="s">
        <v>871</v>
      </c>
      <c r="AL113" s="80" t="b">
        <v>0</v>
      </c>
      <c r="AM113" s="80">
        <v>13</v>
      </c>
      <c r="AN113" s="85" t="s">
        <v>835</v>
      </c>
      <c r="AO113" s="85" t="s">
        <v>889</v>
      </c>
      <c r="AP113" s="80" t="b">
        <v>0</v>
      </c>
      <c r="AQ113" s="85" t="s">
        <v>835</v>
      </c>
      <c r="AR113" s="80" t="s">
        <v>178</v>
      </c>
      <c r="AS113" s="80">
        <v>0</v>
      </c>
      <c r="AT113" s="80">
        <v>0</v>
      </c>
      <c r="AU113" s="80"/>
      <c r="AV113" s="80"/>
      <c r="AW113" s="80"/>
      <c r="AX113" s="80"/>
      <c r="AY113" s="80"/>
      <c r="AZ113" s="80"/>
      <c r="BA113" s="80"/>
      <c r="BB113" s="80"/>
      <c r="BC113">
        <v>1</v>
      </c>
      <c r="BD113" s="79" t="str">
        <f>REPLACE(INDEX(GroupVertices[Group],MATCH(Edges[[#This Row],[Vertex 1]],GroupVertices[Vertex],0)),1,1,"")</f>
        <v>2</v>
      </c>
      <c r="BE113" s="79" t="str">
        <f>REPLACE(INDEX(GroupVertices[Group],MATCH(Edges[[#This Row],[Vertex 2]],GroupVertices[Vertex],0)),1,1,"")</f>
        <v>2</v>
      </c>
      <c r="BF113" s="49">
        <v>0</v>
      </c>
      <c r="BG113" s="50">
        <v>0</v>
      </c>
      <c r="BH113" s="49">
        <v>0</v>
      </c>
      <c r="BI113" s="50">
        <v>0</v>
      </c>
      <c r="BJ113" s="49">
        <v>0</v>
      </c>
      <c r="BK113" s="50">
        <v>0</v>
      </c>
      <c r="BL113" s="49">
        <v>25</v>
      </c>
      <c r="BM113" s="50">
        <v>100</v>
      </c>
      <c r="BN113" s="49">
        <v>25</v>
      </c>
    </row>
    <row r="114" spans="1:66" ht="15">
      <c r="A114" s="65" t="s">
        <v>265</v>
      </c>
      <c r="B114" s="65" t="s">
        <v>368</v>
      </c>
      <c r="C114" s="66" t="s">
        <v>2698</v>
      </c>
      <c r="D114" s="67">
        <v>4</v>
      </c>
      <c r="E114" s="68" t="s">
        <v>132</v>
      </c>
      <c r="F114" s="69">
        <v>30</v>
      </c>
      <c r="G114" s="66"/>
      <c r="H114" s="70"/>
      <c r="I114" s="71"/>
      <c r="J114" s="71"/>
      <c r="K114" s="35" t="s">
        <v>65</v>
      </c>
      <c r="L114" s="78">
        <v>114</v>
      </c>
      <c r="M114" s="78"/>
      <c r="N114" s="73"/>
      <c r="O114" s="80" t="s">
        <v>382</v>
      </c>
      <c r="P114" s="82">
        <v>44460.13921296296</v>
      </c>
      <c r="Q114" s="80" t="s">
        <v>418</v>
      </c>
      <c r="R114" s="80"/>
      <c r="S114" s="80"/>
      <c r="T114" s="85" t="s">
        <v>491</v>
      </c>
      <c r="U114" s="83" t="str">
        <f>HYPERLINK("https://pbs.twimg.com/ext_tw_video_thumb/1440152056862441476/pu/img/RypVaHbX_jWL8ylr.jpg")</f>
        <v>https://pbs.twimg.com/ext_tw_video_thumb/1440152056862441476/pu/img/RypVaHbX_jWL8ylr.jpg</v>
      </c>
      <c r="V114" s="83" t="str">
        <f>HYPERLINK("https://pbs.twimg.com/ext_tw_video_thumb/1440152056862441476/pu/img/RypVaHbX_jWL8ylr.jpg")</f>
        <v>https://pbs.twimg.com/ext_tw_video_thumb/1440152056862441476/pu/img/RypVaHbX_jWL8ylr.jpg</v>
      </c>
      <c r="W114" s="82">
        <v>44460.13921296296</v>
      </c>
      <c r="X114" s="88">
        <v>44460</v>
      </c>
      <c r="Y114" s="85" t="s">
        <v>584</v>
      </c>
      <c r="Z114" s="83" t="str">
        <f>HYPERLINK("https://twitter.com/adriana_yafa/status/1440153930126688260")</f>
        <v>https://twitter.com/adriana_yafa/status/1440153930126688260</v>
      </c>
      <c r="AA114" s="80"/>
      <c r="AB114" s="80"/>
      <c r="AC114" s="85" t="s">
        <v>757</v>
      </c>
      <c r="AD114" s="80"/>
      <c r="AE114" s="80" t="b">
        <v>0</v>
      </c>
      <c r="AF114" s="80">
        <v>0</v>
      </c>
      <c r="AG114" s="85" t="s">
        <v>871</v>
      </c>
      <c r="AH114" s="80" t="b">
        <v>0</v>
      </c>
      <c r="AI114" s="80" t="s">
        <v>882</v>
      </c>
      <c r="AJ114" s="80"/>
      <c r="AK114" s="85" t="s">
        <v>871</v>
      </c>
      <c r="AL114" s="80" t="b">
        <v>0</v>
      </c>
      <c r="AM114" s="80">
        <v>13</v>
      </c>
      <c r="AN114" s="85" t="s">
        <v>835</v>
      </c>
      <c r="AO114" s="85" t="s">
        <v>889</v>
      </c>
      <c r="AP114" s="80" t="b">
        <v>0</v>
      </c>
      <c r="AQ114" s="85" t="s">
        <v>835</v>
      </c>
      <c r="AR114" s="80" t="s">
        <v>178</v>
      </c>
      <c r="AS114" s="80">
        <v>0</v>
      </c>
      <c r="AT114" s="80">
        <v>0</v>
      </c>
      <c r="AU114" s="80"/>
      <c r="AV114" s="80"/>
      <c r="AW114" s="80"/>
      <c r="AX114" s="80"/>
      <c r="AY114" s="80"/>
      <c r="AZ114" s="80"/>
      <c r="BA114" s="80"/>
      <c r="BB114" s="80"/>
      <c r="BC114">
        <v>1</v>
      </c>
      <c r="BD114" s="79" t="str">
        <f>REPLACE(INDEX(GroupVertices[Group],MATCH(Edges[[#This Row],[Vertex 1]],GroupVertices[Vertex],0)),1,1,"")</f>
        <v>2</v>
      </c>
      <c r="BE114" s="79" t="str">
        <f>REPLACE(INDEX(GroupVertices[Group],MATCH(Edges[[#This Row],[Vertex 2]],GroupVertices[Vertex],0)),1,1,"")</f>
        <v>2</v>
      </c>
      <c r="BF114" s="49"/>
      <c r="BG114" s="50"/>
      <c r="BH114" s="49"/>
      <c r="BI114" s="50"/>
      <c r="BJ114" s="49"/>
      <c r="BK114" s="50"/>
      <c r="BL114" s="49"/>
      <c r="BM114" s="50"/>
      <c r="BN114" s="49"/>
    </row>
    <row r="115" spans="1:66" ht="15">
      <c r="A115" s="65" t="s">
        <v>265</v>
      </c>
      <c r="B115" s="65" t="s">
        <v>370</v>
      </c>
      <c r="C115" s="66" t="s">
        <v>2698</v>
      </c>
      <c r="D115" s="67">
        <v>4</v>
      </c>
      <c r="E115" s="68" t="s">
        <v>132</v>
      </c>
      <c r="F115" s="69">
        <v>30</v>
      </c>
      <c r="G115" s="66"/>
      <c r="H115" s="70"/>
      <c r="I115" s="71"/>
      <c r="J115" s="71"/>
      <c r="K115" s="35" t="s">
        <v>65</v>
      </c>
      <c r="L115" s="78">
        <v>115</v>
      </c>
      <c r="M115" s="78"/>
      <c r="N115" s="73"/>
      <c r="O115" s="80" t="s">
        <v>382</v>
      </c>
      <c r="P115" s="82">
        <v>44460.13921296296</v>
      </c>
      <c r="Q115" s="80" t="s">
        <v>418</v>
      </c>
      <c r="R115" s="80"/>
      <c r="S115" s="80"/>
      <c r="T115" s="85" t="s">
        <v>491</v>
      </c>
      <c r="U115" s="83" t="str">
        <f>HYPERLINK("https://pbs.twimg.com/ext_tw_video_thumb/1440152056862441476/pu/img/RypVaHbX_jWL8ylr.jpg")</f>
        <v>https://pbs.twimg.com/ext_tw_video_thumb/1440152056862441476/pu/img/RypVaHbX_jWL8ylr.jpg</v>
      </c>
      <c r="V115" s="83" t="str">
        <f>HYPERLINK("https://pbs.twimg.com/ext_tw_video_thumb/1440152056862441476/pu/img/RypVaHbX_jWL8ylr.jpg")</f>
        <v>https://pbs.twimg.com/ext_tw_video_thumb/1440152056862441476/pu/img/RypVaHbX_jWL8ylr.jpg</v>
      </c>
      <c r="W115" s="82">
        <v>44460.13921296296</v>
      </c>
      <c r="X115" s="88">
        <v>44460</v>
      </c>
      <c r="Y115" s="85" t="s">
        <v>584</v>
      </c>
      <c r="Z115" s="83" t="str">
        <f>HYPERLINK("https://twitter.com/adriana_yafa/status/1440153930126688260")</f>
        <v>https://twitter.com/adriana_yafa/status/1440153930126688260</v>
      </c>
      <c r="AA115" s="80"/>
      <c r="AB115" s="80"/>
      <c r="AC115" s="85" t="s">
        <v>757</v>
      </c>
      <c r="AD115" s="80"/>
      <c r="AE115" s="80" t="b">
        <v>0</v>
      </c>
      <c r="AF115" s="80">
        <v>0</v>
      </c>
      <c r="AG115" s="85" t="s">
        <v>871</v>
      </c>
      <c r="AH115" s="80" t="b">
        <v>0</v>
      </c>
      <c r="AI115" s="80" t="s">
        <v>882</v>
      </c>
      <c r="AJ115" s="80"/>
      <c r="AK115" s="85" t="s">
        <v>871</v>
      </c>
      <c r="AL115" s="80" t="b">
        <v>0</v>
      </c>
      <c r="AM115" s="80">
        <v>13</v>
      </c>
      <c r="AN115" s="85" t="s">
        <v>835</v>
      </c>
      <c r="AO115" s="85" t="s">
        <v>889</v>
      </c>
      <c r="AP115" s="80" t="b">
        <v>0</v>
      </c>
      <c r="AQ115" s="85" t="s">
        <v>835</v>
      </c>
      <c r="AR115" s="80" t="s">
        <v>178</v>
      </c>
      <c r="AS115" s="80">
        <v>0</v>
      </c>
      <c r="AT115" s="80">
        <v>0</v>
      </c>
      <c r="AU115" s="80"/>
      <c r="AV115" s="80"/>
      <c r="AW115" s="80"/>
      <c r="AX115" s="80"/>
      <c r="AY115" s="80"/>
      <c r="AZ115" s="80"/>
      <c r="BA115" s="80"/>
      <c r="BB115" s="80"/>
      <c r="BC115">
        <v>1</v>
      </c>
      <c r="BD115" s="79" t="str">
        <f>REPLACE(INDEX(GroupVertices[Group],MATCH(Edges[[#This Row],[Vertex 1]],GroupVertices[Vertex],0)),1,1,"")</f>
        <v>2</v>
      </c>
      <c r="BE115" s="79" t="str">
        <f>REPLACE(INDEX(GroupVertices[Group],MATCH(Edges[[#This Row],[Vertex 2]],GroupVertices[Vertex],0)),1,1,"")</f>
        <v>2</v>
      </c>
      <c r="BF115" s="49"/>
      <c r="BG115" s="50"/>
      <c r="BH115" s="49"/>
      <c r="BI115" s="50"/>
      <c r="BJ115" s="49"/>
      <c r="BK115" s="50"/>
      <c r="BL115" s="49"/>
      <c r="BM115" s="50"/>
      <c r="BN115" s="49"/>
    </row>
    <row r="116" spans="1:66" ht="15">
      <c r="A116" s="65" t="s">
        <v>265</v>
      </c>
      <c r="B116" s="65" t="s">
        <v>337</v>
      </c>
      <c r="C116" s="66" t="s">
        <v>2698</v>
      </c>
      <c r="D116" s="67">
        <v>4</v>
      </c>
      <c r="E116" s="68" t="s">
        <v>132</v>
      </c>
      <c r="F116" s="69">
        <v>30</v>
      </c>
      <c r="G116" s="66"/>
      <c r="H116" s="70"/>
      <c r="I116" s="71"/>
      <c r="J116" s="71"/>
      <c r="K116" s="35" t="s">
        <v>65</v>
      </c>
      <c r="L116" s="78">
        <v>116</v>
      </c>
      <c r="M116" s="78"/>
      <c r="N116" s="73"/>
      <c r="O116" s="80" t="s">
        <v>383</v>
      </c>
      <c r="P116" s="82">
        <v>44460.13921296296</v>
      </c>
      <c r="Q116" s="80" t="s">
        <v>418</v>
      </c>
      <c r="R116" s="80"/>
      <c r="S116" s="80"/>
      <c r="T116" s="85" t="s">
        <v>491</v>
      </c>
      <c r="U116" s="83" t="str">
        <f>HYPERLINK("https://pbs.twimg.com/ext_tw_video_thumb/1440152056862441476/pu/img/RypVaHbX_jWL8ylr.jpg")</f>
        <v>https://pbs.twimg.com/ext_tw_video_thumb/1440152056862441476/pu/img/RypVaHbX_jWL8ylr.jpg</v>
      </c>
      <c r="V116" s="83" t="str">
        <f>HYPERLINK("https://pbs.twimg.com/ext_tw_video_thumb/1440152056862441476/pu/img/RypVaHbX_jWL8ylr.jpg")</f>
        <v>https://pbs.twimg.com/ext_tw_video_thumb/1440152056862441476/pu/img/RypVaHbX_jWL8ylr.jpg</v>
      </c>
      <c r="W116" s="82">
        <v>44460.13921296296</v>
      </c>
      <c r="X116" s="88">
        <v>44460</v>
      </c>
      <c r="Y116" s="85" t="s">
        <v>584</v>
      </c>
      <c r="Z116" s="83" t="str">
        <f>HYPERLINK("https://twitter.com/adriana_yafa/status/1440153930126688260")</f>
        <v>https://twitter.com/adriana_yafa/status/1440153930126688260</v>
      </c>
      <c r="AA116" s="80"/>
      <c r="AB116" s="80"/>
      <c r="AC116" s="85" t="s">
        <v>757</v>
      </c>
      <c r="AD116" s="80"/>
      <c r="AE116" s="80" t="b">
        <v>0</v>
      </c>
      <c r="AF116" s="80">
        <v>0</v>
      </c>
      <c r="AG116" s="85" t="s">
        <v>871</v>
      </c>
      <c r="AH116" s="80" t="b">
        <v>0</v>
      </c>
      <c r="AI116" s="80" t="s">
        <v>882</v>
      </c>
      <c r="AJ116" s="80"/>
      <c r="AK116" s="85" t="s">
        <v>871</v>
      </c>
      <c r="AL116" s="80" t="b">
        <v>0</v>
      </c>
      <c r="AM116" s="80">
        <v>13</v>
      </c>
      <c r="AN116" s="85" t="s">
        <v>835</v>
      </c>
      <c r="AO116" s="85" t="s">
        <v>889</v>
      </c>
      <c r="AP116" s="80" t="b">
        <v>0</v>
      </c>
      <c r="AQ116" s="85" t="s">
        <v>835</v>
      </c>
      <c r="AR116" s="80" t="s">
        <v>178</v>
      </c>
      <c r="AS116" s="80">
        <v>0</v>
      </c>
      <c r="AT116" s="80">
        <v>0</v>
      </c>
      <c r="AU116" s="80"/>
      <c r="AV116" s="80"/>
      <c r="AW116" s="80"/>
      <c r="AX116" s="80"/>
      <c r="AY116" s="80"/>
      <c r="AZ116" s="80"/>
      <c r="BA116" s="80"/>
      <c r="BB116" s="80"/>
      <c r="BC116">
        <v>1</v>
      </c>
      <c r="BD116" s="79" t="str">
        <f>REPLACE(INDEX(GroupVertices[Group],MATCH(Edges[[#This Row],[Vertex 1]],GroupVertices[Vertex],0)),1,1,"")</f>
        <v>2</v>
      </c>
      <c r="BE116" s="79" t="str">
        <f>REPLACE(INDEX(GroupVertices[Group],MATCH(Edges[[#This Row],[Vertex 2]],GroupVertices[Vertex],0)),1,1,"")</f>
        <v>2</v>
      </c>
      <c r="BF116" s="49">
        <v>0</v>
      </c>
      <c r="BG116" s="50">
        <v>0</v>
      </c>
      <c r="BH116" s="49">
        <v>0</v>
      </c>
      <c r="BI116" s="50">
        <v>0</v>
      </c>
      <c r="BJ116" s="49">
        <v>0</v>
      </c>
      <c r="BK116" s="50">
        <v>0</v>
      </c>
      <c r="BL116" s="49">
        <v>25</v>
      </c>
      <c r="BM116" s="50">
        <v>100</v>
      </c>
      <c r="BN116" s="49">
        <v>25</v>
      </c>
    </row>
    <row r="117" spans="1:66" ht="15">
      <c r="A117" s="65" t="s">
        <v>266</v>
      </c>
      <c r="B117" s="65" t="s">
        <v>368</v>
      </c>
      <c r="C117" s="66" t="s">
        <v>2698</v>
      </c>
      <c r="D117" s="67">
        <v>4</v>
      </c>
      <c r="E117" s="68" t="s">
        <v>132</v>
      </c>
      <c r="F117" s="69">
        <v>30</v>
      </c>
      <c r="G117" s="66"/>
      <c r="H117" s="70"/>
      <c r="I117" s="71"/>
      <c r="J117" s="71"/>
      <c r="K117" s="35" t="s">
        <v>65</v>
      </c>
      <c r="L117" s="78">
        <v>117</v>
      </c>
      <c r="M117" s="78"/>
      <c r="N117" s="73"/>
      <c r="O117" s="80" t="s">
        <v>382</v>
      </c>
      <c r="P117" s="82">
        <v>44460.15914351852</v>
      </c>
      <c r="Q117" s="80" t="s">
        <v>418</v>
      </c>
      <c r="R117" s="80"/>
      <c r="S117" s="80"/>
      <c r="T117" s="85" t="s">
        <v>491</v>
      </c>
      <c r="U117" s="83" t="str">
        <f>HYPERLINK("https://pbs.twimg.com/ext_tw_video_thumb/1440152056862441476/pu/img/RypVaHbX_jWL8ylr.jpg")</f>
        <v>https://pbs.twimg.com/ext_tw_video_thumb/1440152056862441476/pu/img/RypVaHbX_jWL8ylr.jpg</v>
      </c>
      <c r="V117" s="83" t="str">
        <f>HYPERLINK("https://pbs.twimg.com/ext_tw_video_thumb/1440152056862441476/pu/img/RypVaHbX_jWL8ylr.jpg")</f>
        <v>https://pbs.twimg.com/ext_tw_video_thumb/1440152056862441476/pu/img/RypVaHbX_jWL8ylr.jpg</v>
      </c>
      <c r="W117" s="82">
        <v>44460.15914351852</v>
      </c>
      <c r="X117" s="88">
        <v>44460</v>
      </c>
      <c r="Y117" s="85" t="s">
        <v>585</v>
      </c>
      <c r="Z117" s="83" t="str">
        <f>HYPERLINK("https://twitter.com/gclementej/status/1440161154945327112")</f>
        <v>https://twitter.com/gclementej/status/1440161154945327112</v>
      </c>
      <c r="AA117" s="80"/>
      <c r="AB117" s="80"/>
      <c r="AC117" s="85" t="s">
        <v>758</v>
      </c>
      <c r="AD117" s="80"/>
      <c r="AE117" s="80" t="b">
        <v>0</v>
      </c>
      <c r="AF117" s="80">
        <v>0</v>
      </c>
      <c r="AG117" s="85" t="s">
        <v>871</v>
      </c>
      <c r="AH117" s="80" t="b">
        <v>0</v>
      </c>
      <c r="AI117" s="80" t="s">
        <v>882</v>
      </c>
      <c r="AJ117" s="80"/>
      <c r="AK117" s="85" t="s">
        <v>871</v>
      </c>
      <c r="AL117" s="80" t="b">
        <v>0</v>
      </c>
      <c r="AM117" s="80">
        <v>13</v>
      </c>
      <c r="AN117" s="85" t="s">
        <v>835</v>
      </c>
      <c r="AO117" s="85" t="s">
        <v>889</v>
      </c>
      <c r="AP117" s="80" t="b">
        <v>0</v>
      </c>
      <c r="AQ117" s="85" t="s">
        <v>835</v>
      </c>
      <c r="AR117" s="80" t="s">
        <v>178</v>
      </c>
      <c r="AS117" s="80">
        <v>0</v>
      </c>
      <c r="AT117" s="80">
        <v>0</v>
      </c>
      <c r="AU117" s="80"/>
      <c r="AV117" s="80"/>
      <c r="AW117" s="80"/>
      <c r="AX117" s="80"/>
      <c r="AY117" s="80"/>
      <c r="AZ117" s="80"/>
      <c r="BA117" s="80"/>
      <c r="BB117" s="80"/>
      <c r="BC117">
        <v>1</v>
      </c>
      <c r="BD117" s="79" t="str">
        <f>REPLACE(INDEX(GroupVertices[Group],MATCH(Edges[[#This Row],[Vertex 1]],GroupVertices[Vertex],0)),1,1,"")</f>
        <v>2</v>
      </c>
      <c r="BE117" s="79" t="str">
        <f>REPLACE(INDEX(GroupVertices[Group],MATCH(Edges[[#This Row],[Vertex 2]],GroupVertices[Vertex],0)),1,1,"")</f>
        <v>2</v>
      </c>
      <c r="BF117" s="49"/>
      <c r="BG117" s="50"/>
      <c r="BH117" s="49"/>
      <c r="BI117" s="50"/>
      <c r="BJ117" s="49"/>
      <c r="BK117" s="50"/>
      <c r="BL117" s="49"/>
      <c r="BM117" s="50"/>
      <c r="BN117" s="49"/>
    </row>
    <row r="118" spans="1:66" ht="15">
      <c r="A118" s="65" t="s">
        <v>266</v>
      </c>
      <c r="B118" s="65" t="s">
        <v>370</v>
      </c>
      <c r="C118" s="66" t="s">
        <v>2698</v>
      </c>
      <c r="D118" s="67">
        <v>4</v>
      </c>
      <c r="E118" s="68" t="s">
        <v>132</v>
      </c>
      <c r="F118" s="69">
        <v>30</v>
      </c>
      <c r="G118" s="66"/>
      <c r="H118" s="70"/>
      <c r="I118" s="71"/>
      <c r="J118" s="71"/>
      <c r="K118" s="35" t="s">
        <v>65</v>
      </c>
      <c r="L118" s="78">
        <v>118</v>
      </c>
      <c r="M118" s="78"/>
      <c r="N118" s="73"/>
      <c r="O118" s="80" t="s">
        <v>382</v>
      </c>
      <c r="P118" s="82">
        <v>44460.15914351852</v>
      </c>
      <c r="Q118" s="80" t="s">
        <v>418</v>
      </c>
      <c r="R118" s="80"/>
      <c r="S118" s="80"/>
      <c r="T118" s="85" t="s">
        <v>491</v>
      </c>
      <c r="U118" s="83" t="str">
        <f>HYPERLINK("https://pbs.twimg.com/ext_tw_video_thumb/1440152056862441476/pu/img/RypVaHbX_jWL8ylr.jpg")</f>
        <v>https://pbs.twimg.com/ext_tw_video_thumb/1440152056862441476/pu/img/RypVaHbX_jWL8ylr.jpg</v>
      </c>
      <c r="V118" s="83" t="str">
        <f>HYPERLINK("https://pbs.twimg.com/ext_tw_video_thumb/1440152056862441476/pu/img/RypVaHbX_jWL8ylr.jpg")</f>
        <v>https://pbs.twimg.com/ext_tw_video_thumb/1440152056862441476/pu/img/RypVaHbX_jWL8ylr.jpg</v>
      </c>
      <c r="W118" s="82">
        <v>44460.15914351852</v>
      </c>
      <c r="X118" s="88">
        <v>44460</v>
      </c>
      <c r="Y118" s="85" t="s">
        <v>585</v>
      </c>
      <c r="Z118" s="83" t="str">
        <f>HYPERLINK("https://twitter.com/gclementej/status/1440161154945327112")</f>
        <v>https://twitter.com/gclementej/status/1440161154945327112</v>
      </c>
      <c r="AA118" s="80"/>
      <c r="AB118" s="80"/>
      <c r="AC118" s="85" t="s">
        <v>758</v>
      </c>
      <c r="AD118" s="80"/>
      <c r="AE118" s="80" t="b">
        <v>0</v>
      </c>
      <c r="AF118" s="80">
        <v>0</v>
      </c>
      <c r="AG118" s="85" t="s">
        <v>871</v>
      </c>
      <c r="AH118" s="80" t="b">
        <v>0</v>
      </c>
      <c r="AI118" s="80" t="s">
        <v>882</v>
      </c>
      <c r="AJ118" s="80"/>
      <c r="AK118" s="85" t="s">
        <v>871</v>
      </c>
      <c r="AL118" s="80" t="b">
        <v>0</v>
      </c>
      <c r="AM118" s="80">
        <v>13</v>
      </c>
      <c r="AN118" s="85" t="s">
        <v>835</v>
      </c>
      <c r="AO118" s="85" t="s">
        <v>889</v>
      </c>
      <c r="AP118" s="80" t="b">
        <v>0</v>
      </c>
      <c r="AQ118" s="85" t="s">
        <v>835</v>
      </c>
      <c r="AR118" s="80" t="s">
        <v>178</v>
      </c>
      <c r="AS118" s="80">
        <v>0</v>
      </c>
      <c r="AT118" s="80">
        <v>0</v>
      </c>
      <c r="AU118" s="80"/>
      <c r="AV118" s="80"/>
      <c r="AW118" s="80"/>
      <c r="AX118" s="80"/>
      <c r="AY118" s="80"/>
      <c r="AZ118" s="80"/>
      <c r="BA118" s="80"/>
      <c r="BB118" s="80"/>
      <c r="BC118">
        <v>1</v>
      </c>
      <c r="BD118" s="79" t="str">
        <f>REPLACE(INDEX(GroupVertices[Group],MATCH(Edges[[#This Row],[Vertex 1]],GroupVertices[Vertex],0)),1,1,"")</f>
        <v>2</v>
      </c>
      <c r="BE118" s="79" t="str">
        <f>REPLACE(INDEX(GroupVertices[Group],MATCH(Edges[[#This Row],[Vertex 2]],GroupVertices[Vertex],0)),1,1,"")</f>
        <v>2</v>
      </c>
      <c r="BF118" s="49"/>
      <c r="BG118" s="50"/>
      <c r="BH118" s="49"/>
      <c r="BI118" s="50"/>
      <c r="BJ118" s="49"/>
      <c r="BK118" s="50"/>
      <c r="BL118" s="49"/>
      <c r="BM118" s="50"/>
      <c r="BN118" s="49"/>
    </row>
    <row r="119" spans="1:66" ht="15">
      <c r="A119" s="65" t="s">
        <v>266</v>
      </c>
      <c r="B119" s="65" t="s">
        <v>337</v>
      </c>
      <c r="C119" s="66" t="s">
        <v>2698</v>
      </c>
      <c r="D119" s="67">
        <v>4</v>
      </c>
      <c r="E119" s="68" t="s">
        <v>132</v>
      </c>
      <c r="F119" s="69">
        <v>30</v>
      </c>
      <c r="G119" s="66"/>
      <c r="H119" s="70"/>
      <c r="I119" s="71"/>
      <c r="J119" s="71"/>
      <c r="K119" s="35" t="s">
        <v>65</v>
      </c>
      <c r="L119" s="78">
        <v>119</v>
      </c>
      <c r="M119" s="78"/>
      <c r="N119" s="73"/>
      <c r="O119" s="80" t="s">
        <v>383</v>
      </c>
      <c r="P119" s="82">
        <v>44460.15914351852</v>
      </c>
      <c r="Q119" s="80" t="s">
        <v>418</v>
      </c>
      <c r="R119" s="80"/>
      <c r="S119" s="80"/>
      <c r="T119" s="85" t="s">
        <v>491</v>
      </c>
      <c r="U119" s="83" t="str">
        <f>HYPERLINK("https://pbs.twimg.com/ext_tw_video_thumb/1440152056862441476/pu/img/RypVaHbX_jWL8ylr.jpg")</f>
        <v>https://pbs.twimg.com/ext_tw_video_thumb/1440152056862441476/pu/img/RypVaHbX_jWL8ylr.jpg</v>
      </c>
      <c r="V119" s="83" t="str">
        <f>HYPERLINK("https://pbs.twimg.com/ext_tw_video_thumb/1440152056862441476/pu/img/RypVaHbX_jWL8ylr.jpg")</f>
        <v>https://pbs.twimg.com/ext_tw_video_thumb/1440152056862441476/pu/img/RypVaHbX_jWL8ylr.jpg</v>
      </c>
      <c r="W119" s="82">
        <v>44460.15914351852</v>
      </c>
      <c r="X119" s="88">
        <v>44460</v>
      </c>
      <c r="Y119" s="85" t="s">
        <v>585</v>
      </c>
      <c r="Z119" s="83" t="str">
        <f>HYPERLINK("https://twitter.com/gclementej/status/1440161154945327112")</f>
        <v>https://twitter.com/gclementej/status/1440161154945327112</v>
      </c>
      <c r="AA119" s="80"/>
      <c r="AB119" s="80"/>
      <c r="AC119" s="85" t="s">
        <v>758</v>
      </c>
      <c r="AD119" s="80"/>
      <c r="AE119" s="80" t="b">
        <v>0</v>
      </c>
      <c r="AF119" s="80">
        <v>0</v>
      </c>
      <c r="AG119" s="85" t="s">
        <v>871</v>
      </c>
      <c r="AH119" s="80" t="b">
        <v>0</v>
      </c>
      <c r="AI119" s="80" t="s">
        <v>882</v>
      </c>
      <c r="AJ119" s="80"/>
      <c r="AK119" s="85" t="s">
        <v>871</v>
      </c>
      <c r="AL119" s="80" t="b">
        <v>0</v>
      </c>
      <c r="AM119" s="80">
        <v>13</v>
      </c>
      <c r="AN119" s="85" t="s">
        <v>835</v>
      </c>
      <c r="AO119" s="85" t="s">
        <v>889</v>
      </c>
      <c r="AP119" s="80" t="b">
        <v>0</v>
      </c>
      <c r="AQ119" s="85" t="s">
        <v>835</v>
      </c>
      <c r="AR119" s="80" t="s">
        <v>178</v>
      </c>
      <c r="AS119" s="80">
        <v>0</v>
      </c>
      <c r="AT119" s="80">
        <v>0</v>
      </c>
      <c r="AU119" s="80"/>
      <c r="AV119" s="80"/>
      <c r="AW119" s="80"/>
      <c r="AX119" s="80"/>
      <c r="AY119" s="80"/>
      <c r="AZ119" s="80"/>
      <c r="BA119" s="80"/>
      <c r="BB119" s="80"/>
      <c r="BC119">
        <v>1</v>
      </c>
      <c r="BD119" s="79" t="str">
        <f>REPLACE(INDEX(GroupVertices[Group],MATCH(Edges[[#This Row],[Vertex 1]],GroupVertices[Vertex],0)),1,1,"")</f>
        <v>2</v>
      </c>
      <c r="BE119" s="79" t="str">
        <f>REPLACE(INDEX(GroupVertices[Group],MATCH(Edges[[#This Row],[Vertex 2]],GroupVertices[Vertex],0)),1,1,"")</f>
        <v>2</v>
      </c>
      <c r="BF119" s="49">
        <v>0</v>
      </c>
      <c r="BG119" s="50">
        <v>0</v>
      </c>
      <c r="BH119" s="49">
        <v>0</v>
      </c>
      <c r="BI119" s="50">
        <v>0</v>
      </c>
      <c r="BJ119" s="49">
        <v>0</v>
      </c>
      <c r="BK119" s="50">
        <v>0</v>
      </c>
      <c r="BL119" s="49">
        <v>25</v>
      </c>
      <c r="BM119" s="50">
        <v>100</v>
      </c>
      <c r="BN119" s="49">
        <v>25</v>
      </c>
    </row>
    <row r="120" spans="1:66" ht="15">
      <c r="A120" s="65" t="s">
        <v>267</v>
      </c>
      <c r="B120" s="65" t="s">
        <v>267</v>
      </c>
      <c r="C120" s="66" t="s">
        <v>2698</v>
      </c>
      <c r="D120" s="67">
        <v>4</v>
      </c>
      <c r="E120" s="68" t="s">
        <v>132</v>
      </c>
      <c r="F120" s="69">
        <v>30</v>
      </c>
      <c r="G120" s="66"/>
      <c r="H120" s="70"/>
      <c r="I120" s="71"/>
      <c r="J120" s="71"/>
      <c r="K120" s="35" t="s">
        <v>65</v>
      </c>
      <c r="L120" s="78">
        <v>120</v>
      </c>
      <c r="M120" s="78"/>
      <c r="N120" s="73"/>
      <c r="O120" s="80" t="s">
        <v>178</v>
      </c>
      <c r="P120" s="82">
        <v>44460.188796296294</v>
      </c>
      <c r="Q120" s="80" t="s">
        <v>419</v>
      </c>
      <c r="R120" s="83" t="str">
        <f>HYPERLINK("https://www.youtube.com/watch?v=ItA1uxOf8TQ")</f>
        <v>https://www.youtube.com/watch?v=ItA1uxOf8TQ</v>
      </c>
      <c r="S120" s="80" t="s">
        <v>458</v>
      </c>
      <c r="T120" s="85" t="s">
        <v>492</v>
      </c>
      <c r="U120" s="80"/>
      <c r="V120" s="83" t="str">
        <f>HYPERLINK("https://pbs.twimg.com/profile_images/801805981537554432/FTgyH__A_normal.jpg")</f>
        <v>https://pbs.twimg.com/profile_images/801805981537554432/FTgyH__A_normal.jpg</v>
      </c>
      <c r="W120" s="82">
        <v>44460.188796296294</v>
      </c>
      <c r="X120" s="88">
        <v>44460</v>
      </c>
      <c r="Y120" s="85" t="s">
        <v>586</v>
      </c>
      <c r="Z120" s="83" t="str">
        <f>HYPERLINK("https://twitter.com/samuelspl/status/1440171900265648129")</f>
        <v>https://twitter.com/samuelspl/status/1440171900265648129</v>
      </c>
      <c r="AA120" s="80"/>
      <c r="AB120" s="80"/>
      <c r="AC120" s="85" t="s">
        <v>759</v>
      </c>
      <c r="AD120" s="80"/>
      <c r="AE120" s="80" t="b">
        <v>0</v>
      </c>
      <c r="AF120" s="80">
        <v>1</v>
      </c>
      <c r="AG120" s="85" t="s">
        <v>871</v>
      </c>
      <c r="AH120" s="80" t="b">
        <v>0</v>
      </c>
      <c r="AI120" s="80" t="s">
        <v>884</v>
      </c>
      <c r="AJ120" s="80"/>
      <c r="AK120" s="85" t="s">
        <v>871</v>
      </c>
      <c r="AL120" s="80" t="b">
        <v>0</v>
      </c>
      <c r="AM120" s="80">
        <v>0</v>
      </c>
      <c r="AN120" s="85" t="s">
        <v>871</v>
      </c>
      <c r="AO120" s="85" t="s">
        <v>891</v>
      </c>
      <c r="AP120" s="80" t="b">
        <v>0</v>
      </c>
      <c r="AQ120" s="85" t="s">
        <v>759</v>
      </c>
      <c r="AR120" s="80" t="s">
        <v>178</v>
      </c>
      <c r="AS120" s="80">
        <v>0</v>
      </c>
      <c r="AT120" s="80">
        <v>0</v>
      </c>
      <c r="AU120" s="80"/>
      <c r="AV120" s="80"/>
      <c r="AW120" s="80"/>
      <c r="AX120" s="80"/>
      <c r="AY120" s="80"/>
      <c r="AZ120" s="80"/>
      <c r="BA120" s="80"/>
      <c r="BB120" s="80"/>
      <c r="BC120">
        <v>1</v>
      </c>
      <c r="BD120" s="79" t="str">
        <f>REPLACE(INDEX(GroupVertices[Group],MATCH(Edges[[#This Row],[Vertex 1]],GroupVertices[Vertex],0)),1,1,"")</f>
        <v>4</v>
      </c>
      <c r="BE120" s="79" t="str">
        <f>REPLACE(INDEX(GroupVertices[Group],MATCH(Edges[[#This Row],[Vertex 2]],GroupVertices[Vertex],0)),1,1,"")</f>
        <v>4</v>
      </c>
      <c r="BF120" s="49">
        <v>0</v>
      </c>
      <c r="BG120" s="50">
        <v>0</v>
      </c>
      <c r="BH120" s="49">
        <v>0</v>
      </c>
      <c r="BI120" s="50">
        <v>0</v>
      </c>
      <c r="BJ120" s="49">
        <v>0</v>
      </c>
      <c r="BK120" s="50">
        <v>0</v>
      </c>
      <c r="BL120" s="49">
        <v>4</v>
      </c>
      <c r="BM120" s="50">
        <v>100</v>
      </c>
      <c r="BN120" s="49">
        <v>4</v>
      </c>
    </row>
    <row r="121" spans="1:66" ht="15">
      <c r="A121" s="65" t="s">
        <v>268</v>
      </c>
      <c r="B121" s="65" t="s">
        <v>269</v>
      </c>
      <c r="C121" s="66" t="s">
        <v>2698</v>
      </c>
      <c r="D121" s="67">
        <v>4</v>
      </c>
      <c r="E121" s="68" t="s">
        <v>132</v>
      </c>
      <c r="F121" s="69">
        <v>30</v>
      </c>
      <c r="G121" s="66"/>
      <c r="H121" s="70"/>
      <c r="I121" s="71"/>
      <c r="J121" s="71"/>
      <c r="K121" s="35" t="s">
        <v>66</v>
      </c>
      <c r="L121" s="78">
        <v>121</v>
      </c>
      <c r="M121" s="78"/>
      <c r="N121" s="73"/>
      <c r="O121" s="80" t="s">
        <v>383</v>
      </c>
      <c r="P121" s="82">
        <v>44457.24663194444</v>
      </c>
      <c r="Q121" s="80" t="s">
        <v>399</v>
      </c>
      <c r="R121" s="83" t="str">
        <f>HYPERLINK("https://www.meltingpot.org/Tapachula-frontiera-sud-del-Messico-migliaia-di-persone.html")</f>
        <v>https://www.meltingpot.org/Tapachula-frontiera-sud-del-Messico-migliaia-di-persone.html</v>
      </c>
      <c r="S121" s="80" t="s">
        <v>455</v>
      </c>
      <c r="T121" s="85" t="s">
        <v>479</v>
      </c>
      <c r="U121" s="80"/>
      <c r="V121" s="83" t="str">
        <f>HYPERLINK("https://pbs.twimg.com/profile_images/1375491056582729735/0YZmZkpo_normal.jpg")</f>
        <v>https://pbs.twimg.com/profile_images/1375491056582729735/0YZmZkpo_normal.jpg</v>
      </c>
      <c r="W121" s="82">
        <v>44457.24663194444</v>
      </c>
      <c r="X121" s="88">
        <v>44457</v>
      </c>
      <c r="Y121" s="85" t="s">
        <v>587</v>
      </c>
      <c r="Z121" s="83" t="str">
        <f>HYPERLINK("https://twitter.com/meltingpoteu/status/1439105692657496065")</f>
        <v>https://twitter.com/meltingpoteu/status/1439105692657496065</v>
      </c>
      <c r="AA121" s="80"/>
      <c r="AB121" s="80"/>
      <c r="AC121" s="85" t="s">
        <v>760</v>
      </c>
      <c r="AD121" s="80"/>
      <c r="AE121" s="80" t="b">
        <v>0</v>
      </c>
      <c r="AF121" s="80">
        <v>0</v>
      </c>
      <c r="AG121" s="85" t="s">
        <v>871</v>
      </c>
      <c r="AH121" s="80" t="b">
        <v>0</v>
      </c>
      <c r="AI121" s="80" t="s">
        <v>883</v>
      </c>
      <c r="AJ121" s="80"/>
      <c r="AK121" s="85" t="s">
        <v>871</v>
      </c>
      <c r="AL121" s="80" t="b">
        <v>0</v>
      </c>
      <c r="AM121" s="80">
        <v>3</v>
      </c>
      <c r="AN121" s="85" t="s">
        <v>761</v>
      </c>
      <c r="AO121" s="85" t="s">
        <v>889</v>
      </c>
      <c r="AP121" s="80" t="b">
        <v>0</v>
      </c>
      <c r="AQ121" s="85" t="s">
        <v>761</v>
      </c>
      <c r="AR121" s="80" t="s">
        <v>178</v>
      </c>
      <c r="AS121" s="80">
        <v>0</v>
      </c>
      <c r="AT121" s="80">
        <v>0</v>
      </c>
      <c r="AU121" s="80"/>
      <c r="AV121" s="80"/>
      <c r="AW121" s="80"/>
      <c r="AX121" s="80"/>
      <c r="AY121" s="80"/>
      <c r="AZ121" s="80"/>
      <c r="BA121" s="80"/>
      <c r="BB121" s="80"/>
      <c r="BC121">
        <v>1</v>
      </c>
      <c r="BD121" s="79" t="str">
        <f>REPLACE(INDEX(GroupVertices[Group],MATCH(Edges[[#This Row],[Vertex 1]],GroupVertices[Vertex],0)),1,1,"")</f>
        <v>3</v>
      </c>
      <c r="BE121" s="79" t="str">
        <f>REPLACE(INDEX(GroupVertices[Group],MATCH(Edges[[#This Row],[Vertex 2]],GroupVertices[Vertex],0)),1,1,"")</f>
        <v>3</v>
      </c>
      <c r="BF121" s="49">
        <v>0</v>
      </c>
      <c r="BG121" s="50">
        <v>0</v>
      </c>
      <c r="BH121" s="49">
        <v>0</v>
      </c>
      <c r="BI121" s="50">
        <v>0</v>
      </c>
      <c r="BJ121" s="49">
        <v>0</v>
      </c>
      <c r="BK121" s="50">
        <v>0</v>
      </c>
      <c r="BL121" s="49">
        <v>31</v>
      </c>
      <c r="BM121" s="50">
        <v>100</v>
      </c>
      <c r="BN121" s="49">
        <v>31</v>
      </c>
    </row>
    <row r="122" spans="1:66" ht="15">
      <c r="A122" s="65" t="s">
        <v>269</v>
      </c>
      <c r="B122" s="65" t="s">
        <v>268</v>
      </c>
      <c r="C122" s="66" t="s">
        <v>2699</v>
      </c>
      <c r="D122" s="67">
        <v>10</v>
      </c>
      <c r="E122" s="68" t="s">
        <v>132</v>
      </c>
      <c r="F122" s="69">
        <v>10</v>
      </c>
      <c r="G122" s="66"/>
      <c r="H122" s="70"/>
      <c r="I122" s="71"/>
      <c r="J122" s="71"/>
      <c r="K122" s="35" t="s">
        <v>66</v>
      </c>
      <c r="L122" s="78">
        <v>122</v>
      </c>
      <c r="M122" s="78"/>
      <c r="N122" s="73"/>
      <c r="O122" s="80" t="s">
        <v>384</v>
      </c>
      <c r="P122" s="82">
        <v>44456.88068287037</v>
      </c>
      <c r="Q122" s="80" t="s">
        <v>399</v>
      </c>
      <c r="R122" s="83" t="str">
        <f>HYPERLINK("https://www.meltingpot.org/Tapachula-frontiera-sud-del-Messico-migliaia-di-persone.html")</f>
        <v>https://www.meltingpot.org/Tapachula-frontiera-sud-del-Messico-migliaia-di-persone.html</v>
      </c>
      <c r="S122" s="80" t="s">
        <v>455</v>
      </c>
      <c r="T122" s="85" t="s">
        <v>479</v>
      </c>
      <c r="U122" s="80"/>
      <c r="V122" s="83" t="str">
        <f>HYPERLINK("https://pbs.twimg.com/profile_images/1290604044021637121/mkF_MKL3_normal.jpg")</f>
        <v>https://pbs.twimg.com/profile_images/1290604044021637121/mkF_MKL3_normal.jpg</v>
      </c>
      <c r="W122" s="82">
        <v>44456.88068287037</v>
      </c>
      <c r="X122" s="88">
        <v>44456</v>
      </c>
      <c r="Y122" s="85" t="s">
        <v>588</v>
      </c>
      <c r="Z122" s="83" t="str">
        <f>HYPERLINK("https://twitter.com/chrispeverieri/status/1438973080861356033")</f>
        <v>https://twitter.com/chrispeverieri/status/1438973080861356033</v>
      </c>
      <c r="AA122" s="80"/>
      <c r="AB122" s="80"/>
      <c r="AC122" s="85" t="s">
        <v>761</v>
      </c>
      <c r="AD122" s="80"/>
      <c r="AE122" s="80" t="b">
        <v>0</v>
      </c>
      <c r="AF122" s="80">
        <v>5</v>
      </c>
      <c r="AG122" s="85" t="s">
        <v>871</v>
      </c>
      <c r="AH122" s="80" t="b">
        <v>0</v>
      </c>
      <c r="AI122" s="80" t="s">
        <v>883</v>
      </c>
      <c r="AJ122" s="80"/>
      <c r="AK122" s="85" t="s">
        <v>871</v>
      </c>
      <c r="AL122" s="80" t="b">
        <v>0</v>
      </c>
      <c r="AM122" s="80">
        <v>3</v>
      </c>
      <c r="AN122" s="85" t="s">
        <v>871</v>
      </c>
      <c r="AO122" s="85" t="s">
        <v>890</v>
      </c>
      <c r="AP122" s="80" t="b">
        <v>0</v>
      </c>
      <c r="AQ122" s="85" t="s">
        <v>761</v>
      </c>
      <c r="AR122" s="80" t="s">
        <v>178</v>
      </c>
      <c r="AS122" s="80">
        <v>0</v>
      </c>
      <c r="AT122" s="80">
        <v>0</v>
      </c>
      <c r="AU122" s="80"/>
      <c r="AV122" s="80"/>
      <c r="AW122" s="80"/>
      <c r="AX122" s="80"/>
      <c r="AY122" s="80"/>
      <c r="AZ122" s="80"/>
      <c r="BA122" s="80"/>
      <c r="BB122" s="80"/>
      <c r="BC122">
        <v>4</v>
      </c>
      <c r="BD122" s="79" t="str">
        <f>REPLACE(INDEX(GroupVertices[Group],MATCH(Edges[[#This Row],[Vertex 1]],GroupVertices[Vertex],0)),1,1,"")</f>
        <v>3</v>
      </c>
      <c r="BE122" s="79" t="str">
        <f>REPLACE(INDEX(GroupVertices[Group],MATCH(Edges[[#This Row],[Vertex 2]],GroupVertices[Vertex],0)),1,1,"")</f>
        <v>3</v>
      </c>
      <c r="BF122" s="49">
        <v>0</v>
      </c>
      <c r="BG122" s="50">
        <v>0</v>
      </c>
      <c r="BH122" s="49">
        <v>0</v>
      </c>
      <c r="BI122" s="50">
        <v>0</v>
      </c>
      <c r="BJ122" s="49">
        <v>0</v>
      </c>
      <c r="BK122" s="50">
        <v>0</v>
      </c>
      <c r="BL122" s="49">
        <v>31</v>
      </c>
      <c r="BM122" s="50">
        <v>100</v>
      </c>
      <c r="BN122" s="49">
        <v>31</v>
      </c>
    </row>
    <row r="123" spans="1:66" ht="15">
      <c r="A123" s="65" t="s">
        <v>269</v>
      </c>
      <c r="B123" s="65" t="s">
        <v>268</v>
      </c>
      <c r="C123" s="66" t="s">
        <v>2699</v>
      </c>
      <c r="D123" s="67">
        <v>10</v>
      </c>
      <c r="E123" s="68" t="s">
        <v>132</v>
      </c>
      <c r="F123" s="69">
        <v>10</v>
      </c>
      <c r="G123" s="66"/>
      <c r="H123" s="70"/>
      <c r="I123" s="71"/>
      <c r="J123" s="71"/>
      <c r="K123" s="35" t="s">
        <v>66</v>
      </c>
      <c r="L123" s="78">
        <v>123</v>
      </c>
      <c r="M123" s="78"/>
      <c r="N123" s="73"/>
      <c r="O123" s="80" t="s">
        <v>384</v>
      </c>
      <c r="P123" s="82">
        <v>44458.338738425926</v>
      </c>
      <c r="Q123" s="80" t="s">
        <v>406</v>
      </c>
      <c r="R123" s="83" t="str">
        <f>HYPERLINK("https://www.meltingpot.org/Tapachula-frontiera-sud-del-Messico-migliaia-di-persone.html")</f>
        <v>https://www.meltingpot.org/Tapachula-frontiera-sud-del-Messico-migliaia-di-persone.html</v>
      </c>
      <c r="S123" s="80" t="s">
        <v>455</v>
      </c>
      <c r="T123" s="85" t="s">
        <v>479</v>
      </c>
      <c r="U123" s="80"/>
      <c r="V123" s="83" t="str">
        <f>HYPERLINK("https://pbs.twimg.com/profile_images/1290604044021637121/mkF_MKL3_normal.jpg")</f>
        <v>https://pbs.twimg.com/profile_images/1290604044021637121/mkF_MKL3_normal.jpg</v>
      </c>
      <c r="W123" s="82">
        <v>44458.338738425926</v>
      </c>
      <c r="X123" s="88">
        <v>44458</v>
      </c>
      <c r="Y123" s="85" t="s">
        <v>589</v>
      </c>
      <c r="Z123" s="83" t="str">
        <f>HYPERLINK("https://twitter.com/chrispeverieri/status/1439501459356360704")</f>
        <v>https://twitter.com/chrispeverieri/status/1439501459356360704</v>
      </c>
      <c r="AA123" s="80"/>
      <c r="AB123" s="80"/>
      <c r="AC123" s="85" t="s">
        <v>762</v>
      </c>
      <c r="AD123" s="80"/>
      <c r="AE123" s="80" t="b">
        <v>0</v>
      </c>
      <c r="AF123" s="80">
        <v>2</v>
      </c>
      <c r="AG123" s="85" t="s">
        <v>871</v>
      </c>
      <c r="AH123" s="80" t="b">
        <v>0</v>
      </c>
      <c r="AI123" s="80" t="s">
        <v>883</v>
      </c>
      <c r="AJ123" s="80"/>
      <c r="AK123" s="85" t="s">
        <v>871</v>
      </c>
      <c r="AL123" s="80" t="b">
        <v>0</v>
      </c>
      <c r="AM123" s="80">
        <v>3</v>
      </c>
      <c r="AN123" s="85" t="s">
        <v>871</v>
      </c>
      <c r="AO123" s="85" t="s">
        <v>890</v>
      </c>
      <c r="AP123" s="80" t="b">
        <v>0</v>
      </c>
      <c r="AQ123" s="85" t="s">
        <v>762</v>
      </c>
      <c r="AR123" s="80" t="s">
        <v>178</v>
      </c>
      <c r="AS123" s="80">
        <v>0</v>
      </c>
      <c r="AT123" s="80">
        <v>0</v>
      </c>
      <c r="AU123" s="80"/>
      <c r="AV123" s="80"/>
      <c r="AW123" s="80"/>
      <c r="AX123" s="80"/>
      <c r="AY123" s="80"/>
      <c r="AZ123" s="80"/>
      <c r="BA123" s="80"/>
      <c r="BB123" s="80"/>
      <c r="BC123">
        <v>4</v>
      </c>
      <c r="BD123" s="79" t="str">
        <f>REPLACE(INDEX(GroupVertices[Group],MATCH(Edges[[#This Row],[Vertex 1]],GroupVertices[Vertex],0)),1,1,"")</f>
        <v>3</v>
      </c>
      <c r="BE123" s="79" t="str">
        <f>REPLACE(INDEX(GroupVertices[Group],MATCH(Edges[[#This Row],[Vertex 2]],GroupVertices[Vertex],0)),1,1,"")</f>
        <v>3</v>
      </c>
      <c r="BF123" s="49">
        <v>0</v>
      </c>
      <c r="BG123" s="50">
        <v>0</v>
      </c>
      <c r="BH123" s="49">
        <v>0</v>
      </c>
      <c r="BI123" s="50">
        <v>0</v>
      </c>
      <c r="BJ123" s="49">
        <v>0</v>
      </c>
      <c r="BK123" s="50">
        <v>0</v>
      </c>
      <c r="BL123" s="49">
        <v>31</v>
      </c>
      <c r="BM123" s="50">
        <v>100</v>
      </c>
      <c r="BN123" s="49">
        <v>31</v>
      </c>
    </row>
    <row r="124" spans="1:66" ht="15">
      <c r="A124" s="65" t="s">
        <v>270</v>
      </c>
      <c r="B124" s="65" t="s">
        <v>269</v>
      </c>
      <c r="C124" s="66" t="s">
        <v>2698</v>
      </c>
      <c r="D124" s="67">
        <v>4</v>
      </c>
      <c r="E124" s="68" t="s">
        <v>132</v>
      </c>
      <c r="F124" s="69">
        <v>30</v>
      </c>
      <c r="G124" s="66"/>
      <c r="H124" s="70"/>
      <c r="I124" s="71"/>
      <c r="J124" s="71"/>
      <c r="K124" s="35" t="s">
        <v>65</v>
      </c>
      <c r="L124" s="78">
        <v>124</v>
      </c>
      <c r="M124" s="78"/>
      <c r="N124" s="73"/>
      <c r="O124" s="80" t="s">
        <v>383</v>
      </c>
      <c r="P124" s="82">
        <v>44460.50451388889</v>
      </c>
      <c r="Q124" s="80" t="s">
        <v>420</v>
      </c>
      <c r="R124" s="83" t="str">
        <f>HYPERLINK("https://www.diariodelsur.com.mx/local/migrantes-intentan-salir-de-chiapas-con-rumbo-a-veracruz-7237222.html")</f>
        <v>https://www.diariodelsur.com.mx/local/migrantes-intentan-salir-de-chiapas-con-rumbo-a-veracruz-7237222.html</v>
      </c>
      <c r="S124" s="80" t="s">
        <v>451</v>
      </c>
      <c r="T124" s="85" t="s">
        <v>493</v>
      </c>
      <c r="U124" s="80"/>
      <c r="V124" s="83" t="str">
        <f>HYPERLINK("https://abs.twimg.com/sticky/default_profile_images/default_profile_normal.png")</f>
        <v>https://abs.twimg.com/sticky/default_profile_images/default_profile_normal.png</v>
      </c>
      <c r="W124" s="82">
        <v>44460.50451388889</v>
      </c>
      <c r="X124" s="88">
        <v>44460</v>
      </c>
      <c r="Y124" s="85" t="s">
        <v>590</v>
      </c>
      <c r="Z124" s="83" t="str">
        <f>HYPERLINK("https://twitter.com/rodrigezthayri/status/1440286311869399050")</f>
        <v>https://twitter.com/rodrigezthayri/status/1440286311869399050</v>
      </c>
      <c r="AA124" s="80"/>
      <c r="AB124" s="80"/>
      <c r="AC124" s="85" t="s">
        <v>763</v>
      </c>
      <c r="AD124" s="80"/>
      <c r="AE124" s="80" t="b">
        <v>0</v>
      </c>
      <c r="AF124" s="80">
        <v>0</v>
      </c>
      <c r="AG124" s="85" t="s">
        <v>871</v>
      </c>
      <c r="AH124" s="80" t="b">
        <v>0</v>
      </c>
      <c r="AI124" s="80" t="s">
        <v>883</v>
      </c>
      <c r="AJ124" s="80"/>
      <c r="AK124" s="85" t="s">
        <v>871</v>
      </c>
      <c r="AL124" s="80" t="b">
        <v>0</v>
      </c>
      <c r="AM124" s="80">
        <v>3</v>
      </c>
      <c r="AN124" s="85" t="s">
        <v>795</v>
      </c>
      <c r="AO124" s="85" t="s">
        <v>890</v>
      </c>
      <c r="AP124" s="80" t="b">
        <v>0</v>
      </c>
      <c r="AQ124" s="85" t="s">
        <v>795</v>
      </c>
      <c r="AR124" s="80" t="s">
        <v>178</v>
      </c>
      <c r="AS124" s="80">
        <v>0</v>
      </c>
      <c r="AT124" s="80">
        <v>0</v>
      </c>
      <c r="AU124" s="80"/>
      <c r="AV124" s="80"/>
      <c r="AW124" s="80"/>
      <c r="AX124" s="80"/>
      <c r="AY124" s="80"/>
      <c r="AZ124" s="80"/>
      <c r="BA124" s="80"/>
      <c r="BB124" s="80"/>
      <c r="BC124">
        <v>1</v>
      </c>
      <c r="BD124" s="79" t="str">
        <f>REPLACE(INDEX(GroupVertices[Group],MATCH(Edges[[#This Row],[Vertex 1]],GroupVertices[Vertex],0)),1,1,"")</f>
        <v>3</v>
      </c>
      <c r="BE124" s="79" t="str">
        <f>REPLACE(INDEX(GroupVertices[Group],MATCH(Edges[[#This Row],[Vertex 2]],GroupVertices[Vertex],0)),1,1,"")</f>
        <v>3</v>
      </c>
      <c r="BF124" s="49">
        <v>0</v>
      </c>
      <c r="BG124" s="50">
        <v>0</v>
      </c>
      <c r="BH124" s="49">
        <v>0</v>
      </c>
      <c r="BI124" s="50">
        <v>0</v>
      </c>
      <c r="BJ124" s="49">
        <v>0</v>
      </c>
      <c r="BK124" s="50">
        <v>0</v>
      </c>
      <c r="BL124" s="49">
        <v>35</v>
      </c>
      <c r="BM124" s="50">
        <v>100</v>
      </c>
      <c r="BN124" s="49">
        <v>35</v>
      </c>
    </row>
    <row r="125" spans="1:66" ht="15">
      <c r="A125" s="65" t="s">
        <v>271</v>
      </c>
      <c r="B125" s="65" t="s">
        <v>368</v>
      </c>
      <c r="C125" s="66" t="s">
        <v>2698</v>
      </c>
      <c r="D125" s="67">
        <v>4</v>
      </c>
      <c r="E125" s="68" t="s">
        <v>132</v>
      </c>
      <c r="F125" s="69">
        <v>30</v>
      </c>
      <c r="G125" s="66"/>
      <c r="H125" s="70"/>
      <c r="I125" s="71"/>
      <c r="J125" s="71"/>
      <c r="K125" s="35" t="s">
        <v>65</v>
      </c>
      <c r="L125" s="78">
        <v>125</v>
      </c>
      <c r="M125" s="78"/>
      <c r="N125" s="73"/>
      <c r="O125" s="80" t="s">
        <v>382</v>
      </c>
      <c r="P125" s="82">
        <v>44460.53314814815</v>
      </c>
      <c r="Q125" s="80" t="s">
        <v>418</v>
      </c>
      <c r="R125" s="80"/>
      <c r="S125" s="80"/>
      <c r="T125" s="85" t="s">
        <v>491</v>
      </c>
      <c r="U125" s="83" t="str">
        <f>HYPERLINK("https://pbs.twimg.com/ext_tw_video_thumb/1440152056862441476/pu/img/RypVaHbX_jWL8ylr.jpg")</f>
        <v>https://pbs.twimg.com/ext_tw_video_thumb/1440152056862441476/pu/img/RypVaHbX_jWL8ylr.jpg</v>
      </c>
      <c r="V125" s="83" t="str">
        <f>HYPERLINK("https://pbs.twimg.com/ext_tw_video_thumb/1440152056862441476/pu/img/RypVaHbX_jWL8ylr.jpg")</f>
        <v>https://pbs.twimg.com/ext_tw_video_thumb/1440152056862441476/pu/img/RypVaHbX_jWL8ylr.jpg</v>
      </c>
      <c r="W125" s="82">
        <v>44460.53314814815</v>
      </c>
      <c r="X125" s="88">
        <v>44460</v>
      </c>
      <c r="Y125" s="85" t="s">
        <v>591</v>
      </c>
      <c r="Z125" s="83" t="str">
        <f>HYPERLINK("https://twitter.com/morgantux91/status/1440296686316703744")</f>
        <v>https://twitter.com/morgantux91/status/1440296686316703744</v>
      </c>
      <c r="AA125" s="80"/>
      <c r="AB125" s="80"/>
      <c r="AC125" s="85" t="s">
        <v>764</v>
      </c>
      <c r="AD125" s="80"/>
      <c r="AE125" s="80" t="b">
        <v>0</v>
      </c>
      <c r="AF125" s="80">
        <v>0</v>
      </c>
      <c r="AG125" s="85" t="s">
        <v>871</v>
      </c>
      <c r="AH125" s="80" t="b">
        <v>0</v>
      </c>
      <c r="AI125" s="80" t="s">
        <v>882</v>
      </c>
      <c r="AJ125" s="80"/>
      <c r="AK125" s="85" t="s">
        <v>871</v>
      </c>
      <c r="AL125" s="80" t="b">
        <v>0</v>
      </c>
      <c r="AM125" s="80">
        <v>13</v>
      </c>
      <c r="AN125" s="85" t="s">
        <v>835</v>
      </c>
      <c r="AO125" s="85" t="s">
        <v>891</v>
      </c>
      <c r="AP125" s="80" t="b">
        <v>0</v>
      </c>
      <c r="AQ125" s="85" t="s">
        <v>835</v>
      </c>
      <c r="AR125" s="80" t="s">
        <v>178</v>
      </c>
      <c r="AS125" s="80">
        <v>0</v>
      </c>
      <c r="AT125" s="80">
        <v>0</v>
      </c>
      <c r="AU125" s="80"/>
      <c r="AV125" s="80"/>
      <c r="AW125" s="80"/>
      <c r="AX125" s="80"/>
      <c r="AY125" s="80"/>
      <c r="AZ125" s="80"/>
      <c r="BA125" s="80"/>
      <c r="BB125" s="80"/>
      <c r="BC125">
        <v>1</v>
      </c>
      <c r="BD125" s="79" t="str">
        <f>REPLACE(INDEX(GroupVertices[Group],MATCH(Edges[[#This Row],[Vertex 1]],GroupVertices[Vertex],0)),1,1,"")</f>
        <v>2</v>
      </c>
      <c r="BE125" s="79" t="str">
        <f>REPLACE(INDEX(GroupVertices[Group],MATCH(Edges[[#This Row],[Vertex 2]],GroupVertices[Vertex],0)),1,1,"")</f>
        <v>2</v>
      </c>
      <c r="BF125" s="49"/>
      <c r="BG125" s="50"/>
      <c r="BH125" s="49"/>
      <c r="BI125" s="50"/>
      <c r="BJ125" s="49"/>
      <c r="BK125" s="50"/>
      <c r="BL125" s="49"/>
      <c r="BM125" s="50"/>
      <c r="BN125" s="49"/>
    </row>
    <row r="126" spans="1:66" ht="15">
      <c r="A126" s="65" t="s">
        <v>271</v>
      </c>
      <c r="B126" s="65" t="s">
        <v>370</v>
      </c>
      <c r="C126" s="66" t="s">
        <v>2698</v>
      </c>
      <c r="D126" s="67">
        <v>4</v>
      </c>
      <c r="E126" s="68" t="s">
        <v>132</v>
      </c>
      <c r="F126" s="69">
        <v>30</v>
      </c>
      <c r="G126" s="66"/>
      <c r="H126" s="70"/>
      <c r="I126" s="71"/>
      <c r="J126" s="71"/>
      <c r="K126" s="35" t="s">
        <v>65</v>
      </c>
      <c r="L126" s="78">
        <v>126</v>
      </c>
      <c r="M126" s="78"/>
      <c r="N126" s="73"/>
      <c r="O126" s="80" t="s">
        <v>382</v>
      </c>
      <c r="P126" s="82">
        <v>44460.53314814815</v>
      </c>
      <c r="Q126" s="80" t="s">
        <v>418</v>
      </c>
      <c r="R126" s="80"/>
      <c r="S126" s="80"/>
      <c r="T126" s="85" t="s">
        <v>491</v>
      </c>
      <c r="U126" s="83" t="str">
        <f>HYPERLINK("https://pbs.twimg.com/ext_tw_video_thumb/1440152056862441476/pu/img/RypVaHbX_jWL8ylr.jpg")</f>
        <v>https://pbs.twimg.com/ext_tw_video_thumb/1440152056862441476/pu/img/RypVaHbX_jWL8ylr.jpg</v>
      </c>
      <c r="V126" s="83" t="str">
        <f>HYPERLINK("https://pbs.twimg.com/ext_tw_video_thumb/1440152056862441476/pu/img/RypVaHbX_jWL8ylr.jpg")</f>
        <v>https://pbs.twimg.com/ext_tw_video_thumb/1440152056862441476/pu/img/RypVaHbX_jWL8ylr.jpg</v>
      </c>
      <c r="W126" s="82">
        <v>44460.53314814815</v>
      </c>
      <c r="X126" s="88">
        <v>44460</v>
      </c>
      <c r="Y126" s="85" t="s">
        <v>591</v>
      </c>
      <c r="Z126" s="83" t="str">
        <f>HYPERLINK("https://twitter.com/morgantux91/status/1440296686316703744")</f>
        <v>https://twitter.com/morgantux91/status/1440296686316703744</v>
      </c>
      <c r="AA126" s="80"/>
      <c r="AB126" s="80"/>
      <c r="AC126" s="85" t="s">
        <v>764</v>
      </c>
      <c r="AD126" s="80"/>
      <c r="AE126" s="80" t="b">
        <v>0</v>
      </c>
      <c r="AF126" s="80">
        <v>0</v>
      </c>
      <c r="AG126" s="85" t="s">
        <v>871</v>
      </c>
      <c r="AH126" s="80" t="b">
        <v>0</v>
      </c>
      <c r="AI126" s="80" t="s">
        <v>882</v>
      </c>
      <c r="AJ126" s="80"/>
      <c r="AK126" s="85" t="s">
        <v>871</v>
      </c>
      <c r="AL126" s="80" t="b">
        <v>0</v>
      </c>
      <c r="AM126" s="80">
        <v>13</v>
      </c>
      <c r="AN126" s="85" t="s">
        <v>835</v>
      </c>
      <c r="AO126" s="85" t="s">
        <v>891</v>
      </c>
      <c r="AP126" s="80" t="b">
        <v>0</v>
      </c>
      <c r="AQ126" s="85" t="s">
        <v>835</v>
      </c>
      <c r="AR126" s="80" t="s">
        <v>178</v>
      </c>
      <c r="AS126" s="80">
        <v>0</v>
      </c>
      <c r="AT126" s="80">
        <v>0</v>
      </c>
      <c r="AU126" s="80"/>
      <c r="AV126" s="80"/>
      <c r="AW126" s="80"/>
      <c r="AX126" s="80"/>
      <c r="AY126" s="80"/>
      <c r="AZ126" s="80"/>
      <c r="BA126" s="80"/>
      <c r="BB126" s="80"/>
      <c r="BC126">
        <v>1</v>
      </c>
      <c r="BD126" s="79" t="str">
        <f>REPLACE(INDEX(GroupVertices[Group],MATCH(Edges[[#This Row],[Vertex 1]],GroupVertices[Vertex],0)),1,1,"")</f>
        <v>2</v>
      </c>
      <c r="BE126" s="79" t="str">
        <f>REPLACE(INDEX(GroupVertices[Group],MATCH(Edges[[#This Row],[Vertex 2]],GroupVertices[Vertex],0)),1,1,"")</f>
        <v>2</v>
      </c>
      <c r="BF126" s="49"/>
      <c r="BG126" s="50"/>
      <c r="BH126" s="49"/>
      <c r="BI126" s="50"/>
      <c r="BJ126" s="49"/>
      <c r="BK126" s="50"/>
      <c r="BL126" s="49"/>
      <c r="BM126" s="50"/>
      <c r="BN126" s="49"/>
    </row>
    <row r="127" spans="1:66" ht="15">
      <c r="A127" s="65" t="s">
        <v>271</v>
      </c>
      <c r="B127" s="65" t="s">
        <v>337</v>
      </c>
      <c r="C127" s="66" t="s">
        <v>2698</v>
      </c>
      <c r="D127" s="67">
        <v>4</v>
      </c>
      <c r="E127" s="68" t="s">
        <v>132</v>
      </c>
      <c r="F127" s="69">
        <v>30</v>
      </c>
      <c r="G127" s="66"/>
      <c r="H127" s="70"/>
      <c r="I127" s="71"/>
      <c r="J127" s="71"/>
      <c r="K127" s="35" t="s">
        <v>65</v>
      </c>
      <c r="L127" s="78">
        <v>127</v>
      </c>
      <c r="M127" s="78"/>
      <c r="N127" s="73"/>
      <c r="O127" s="80" t="s">
        <v>383</v>
      </c>
      <c r="P127" s="82">
        <v>44460.53314814815</v>
      </c>
      <c r="Q127" s="80" t="s">
        <v>418</v>
      </c>
      <c r="R127" s="80"/>
      <c r="S127" s="80"/>
      <c r="T127" s="85" t="s">
        <v>491</v>
      </c>
      <c r="U127" s="83" t="str">
        <f>HYPERLINK("https://pbs.twimg.com/ext_tw_video_thumb/1440152056862441476/pu/img/RypVaHbX_jWL8ylr.jpg")</f>
        <v>https://pbs.twimg.com/ext_tw_video_thumb/1440152056862441476/pu/img/RypVaHbX_jWL8ylr.jpg</v>
      </c>
      <c r="V127" s="83" t="str">
        <f>HYPERLINK("https://pbs.twimg.com/ext_tw_video_thumb/1440152056862441476/pu/img/RypVaHbX_jWL8ylr.jpg")</f>
        <v>https://pbs.twimg.com/ext_tw_video_thumb/1440152056862441476/pu/img/RypVaHbX_jWL8ylr.jpg</v>
      </c>
      <c r="W127" s="82">
        <v>44460.53314814815</v>
      </c>
      <c r="X127" s="88">
        <v>44460</v>
      </c>
      <c r="Y127" s="85" t="s">
        <v>591</v>
      </c>
      <c r="Z127" s="83" t="str">
        <f>HYPERLINK("https://twitter.com/morgantux91/status/1440296686316703744")</f>
        <v>https://twitter.com/morgantux91/status/1440296686316703744</v>
      </c>
      <c r="AA127" s="80"/>
      <c r="AB127" s="80"/>
      <c r="AC127" s="85" t="s">
        <v>764</v>
      </c>
      <c r="AD127" s="80"/>
      <c r="AE127" s="80" t="b">
        <v>0</v>
      </c>
      <c r="AF127" s="80">
        <v>0</v>
      </c>
      <c r="AG127" s="85" t="s">
        <v>871</v>
      </c>
      <c r="AH127" s="80" t="b">
        <v>0</v>
      </c>
      <c r="AI127" s="80" t="s">
        <v>882</v>
      </c>
      <c r="AJ127" s="80"/>
      <c r="AK127" s="85" t="s">
        <v>871</v>
      </c>
      <c r="AL127" s="80" t="b">
        <v>0</v>
      </c>
      <c r="AM127" s="80">
        <v>13</v>
      </c>
      <c r="AN127" s="85" t="s">
        <v>835</v>
      </c>
      <c r="AO127" s="85" t="s">
        <v>891</v>
      </c>
      <c r="AP127" s="80" t="b">
        <v>0</v>
      </c>
      <c r="AQ127" s="85" t="s">
        <v>835</v>
      </c>
      <c r="AR127" s="80" t="s">
        <v>178</v>
      </c>
      <c r="AS127" s="80">
        <v>0</v>
      </c>
      <c r="AT127" s="80">
        <v>0</v>
      </c>
      <c r="AU127" s="80"/>
      <c r="AV127" s="80"/>
      <c r="AW127" s="80"/>
      <c r="AX127" s="80"/>
      <c r="AY127" s="80"/>
      <c r="AZ127" s="80"/>
      <c r="BA127" s="80"/>
      <c r="BB127" s="80"/>
      <c r="BC127">
        <v>1</v>
      </c>
      <c r="BD127" s="79" t="str">
        <f>REPLACE(INDEX(GroupVertices[Group],MATCH(Edges[[#This Row],[Vertex 1]],GroupVertices[Vertex],0)),1,1,"")</f>
        <v>2</v>
      </c>
      <c r="BE127" s="79" t="str">
        <f>REPLACE(INDEX(GroupVertices[Group],MATCH(Edges[[#This Row],[Vertex 2]],GroupVertices[Vertex],0)),1,1,"")</f>
        <v>2</v>
      </c>
      <c r="BF127" s="49">
        <v>0</v>
      </c>
      <c r="BG127" s="50">
        <v>0</v>
      </c>
      <c r="BH127" s="49">
        <v>0</v>
      </c>
      <c r="BI127" s="50">
        <v>0</v>
      </c>
      <c r="BJ127" s="49">
        <v>0</v>
      </c>
      <c r="BK127" s="50">
        <v>0</v>
      </c>
      <c r="BL127" s="49">
        <v>25</v>
      </c>
      <c r="BM127" s="50">
        <v>100</v>
      </c>
      <c r="BN127" s="49">
        <v>25</v>
      </c>
    </row>
    <row r="128" spans="1:66" ht="15">
      <c r="A128" s="65" t="s">
        <v>272</v>
      </c>
      <c r="B128" s="65" t="s">
        <v>272</v>
      </c>
      <c r="C128" s="66" t="s">
        <v>2698</v>
      </c>
      <c r="D128" s="67">
        <v>4</v>
      </c>
      <c r="E128" s="68" t="s">
        <v>132</v>
      </c>
      <c r="F128" s="69">
        <v>30</v>
      </c>
      <c r="G128" s="66"/>
      <c r="H128" s="70"/>
      <c r="I128" s="71"/>
      <c r="J128" s="71"/>
      <c r="K128" s="35" t="s">
        <v>65</v>
      </c>
      <c r="L128" s="78">
        <v>128</v>
      </c>
      <c r="M128" s="78"/>
      <c r="N128" s="73"/>
      <c r="O128" s="80" t="s">
        <v>178</v>
      </c>
      <c r="P128" s="82">
        <v>44460.63202546296</v>
      </c>
      <c r="Q128" s="80" t="s">
        <v>421</v>
      </c>
      <c r="R128" s="83" t="str">
        <f>HYPERLINK("https://pulsosur.com/2021/09/20/estados-unidos-cierra-su-frontera-para-frenar-el-cruce-de-mas-migrantes-haitianos/")</f>
        <v>https://pulsosur.com/2021/09/20/estados-unidos-cierra-su-frontera-para-frenar-el-cruce-de-mas-migrantes-haitianos/</v>
      </c>
      <c r="S128" s="80" t="s">
        <v>461</v>
      </c>
      <c r="T128" s="85" t="s">
        <v>494</v>
      </c>
      <c r="U128" s="80"/>
      <c r="V128" s="83" t="str">
        <f>HYPERLINK("https://pbs.twimg.com/profile_images/1348757759706202121/uqTtMs7E_normal.jpg")</f>
        <v>https://pbs.twimg.com/profile_images/1348757759706202121/uqTtMs7E_normal.jpg</v>
      </c>
      <c r="W128" s="82">
        <v>44460.63202546296</v>
      </c>
      <c r="X128" s="88">
        <v>44460</v>
      </c>
      <c r="Y128" s="85" t="s">
        <v>592</v>
      </c>
      <c r="Z128" s="83" t="str">
        <f>HYPERLINK("https://twitter.com/surpulso/status/1440332520634007566")</f>
        <v>https://twitter.com/surpulso/status/1440332520634007566</v>
      </c>
      <c r="AA128" s="80"/>
      <c r="AB128" s="80"/>
      <c r="AC128" s="85" t="s">
        <v>765</v>
      </c>
      <c r="AD128" s="80"/>
      <c r="AE128" s="80" t="b">
        <v>0</v>
      </c>
      <c r="AF128" s="80">
        <v>0</v>
      </c>
      <c r="AG128" s="85" t="s">
        <v>871</v>
      </c>
      <c r="AH128" s="80" t="b">
        <v>0</v>
      </c>
      <c r="AI128" s="80" t="s">
        <v>882</v>
      </c>
      <c r="AJ128" s="80"/>
      <c r="AK128" s="85" t="s">
        <v>871</v>
      </c>
      <c r="AL128" s="80" t="b">
        <v>0</v>
      </c>
      <c r="AM128" s="80">
        <v>0</v>
      </c>
      <c r="AN128" s="85" t="s">
        <v>871</v>
      </c>
      <c r="AO128" s="85" t="s">
        <v>891</v>
      </c>
      <c r="AP128" s="80" t="b">
        <v>0</v>
      </c>
      <c r="AQ128" s="85" t="s">
        <v>765</v>
      </c>
      <c r="AR128" s="80" t="s">
        <v>178</v>
      </c>
      <c r="AS128" s="80">
        <v>0</v>
      </c>
      <c r="AT128" s="80">
        <v>0</v>
      </c>
      <c r="AU128" s="80"/>
      <c r="AV128" s="80"/>
      <c r="AW128" s="80"/>
      <c r="AX128" s="80"/>
      <c r="AY128" s="80"/>
      <c r="AZ128" s="80"/>
      <c r="BA128" s="80"/>
      <c r="BB128" s="80"/>
      <c r="BC128">
        <v>1</v>
      </c>
      <c r="BD128" s="79" t="str">
        <f>REPLACE(INDEX(GroupVertices[Group],MATCH(Edges[[#This Row],[Vertex 1]],GroupVertices[Vertex],0)),1,1,"")</f>
        <v>4</v>
      </c>
      <c r="BE128" s="79" t="str">
        <f>REPLACE(INDEX(GroupVertices[Group],MATCH(Edges[[#This Row],[Vertex 2]],GroupVertices[Vertex],0)),1,1,"")</f>
        <v>4</v>
      </c>
      <c r="BF128" s="49">
        <v>0</v>
      </c>
      <c r="BG128" s="50">
        <v>0</v>
      </c>
      <c r="BH128" s="49">
        <v>0</v>
      </c>
      <c r="BI128" s="50">
        <v>0</v>
      </c>
      <c r="BJ128" s="49">
        <v>0</v>
      </c>
      <c r="BK128" s="50">
        <v>0</v>
      </c>
      <c r="BL128" s="49">
        <v>17</v>
      </c>
      <c r="BM128" s="50">
        <v>100</v>
      </c>
      <c r="BN128" s="49">
        <v>17</v>
      </c>
    </row>
    <row r="129" spans="1:66" ht="15">
      <c r="A129" s="65" t="s">
        <v>273</v>
      </c>
      <c r="B129" s="65" t="s">
        <v>368</v>
      </c>
      <c r="C129" s="66" t="s">
        <v>2698</v>
      </c>
      <c r="D129" s="67">
        <v>4</v>
      </c>
      <c r="E129" s="68" t="s">
        <v>132</v>
      </c>
      <c r="F129" s="69">
        <v>30</v>
      </c>
      <c r="G129" s="66"/>
      <c r="H129" s="70"/>
      <c r="I129" s="71"/>
      <c r="J129" s="71"/>
      <c r="K129" s="35" t="s">
        <v>65</v>
      </c>
      <c r="L129" s="78">
        <v>129</v>
      </c>
      <c r="M129" s="78"/>
      <c r="N129" s="73"/>
      <c r="O129" s="80" t="s">
        <v>382</v>
      </c>
      <c r="P129" s="82">
        <v>44460.74587962963</v>
      </c>
      <c r="Q129" s="80" t="s">
        <v>418</v>
      </c>
      <c r="R129" s="80"/>
      <c r="S129" s="80"/>
      <c r="T129" s="85" t="s">
        <v>491</v>
      </c>
      <c r="U129" s="83" t="str">
        <f>HYPERLINK("https://pbs.twimg.com/ext_tw_video_thumb/1440152056862441476/pu/img/RypVaHbX_jWL8ylr.jpg")</f>
        <v>https://pbs.twimg.com/ext_tw_video_thumb/1440152056862441476/pu/img/RypVaHbX_jWL8ylr.jpg</v>
      </c>
      <c r="V129" s="83" t="str">
        <f>HYPERLINK("https://pbs.twimg.com/ext_tw_video_thumb/1440152056862441476/pu/img/RypVaHbX_jWL8ylr.jpg")</f>
        <v>https://pbs.twimg.com/ext_tw_video_thumb/1440152056862441476/pu/img/RypVaHbX_jWL8ylr.jpg</v>
      </c>
      <c r="W129" s="82">
        <v>44460.74587962963</v>
      </c>
      <c r="X129" s="88">
        <v>44460</v>
      </c>
      <c r="Y129" s="85" t="s">
        <v>593</v>
      </c>
      <c r="Z129" s="83" t="str">
        <f>HYPERLINK("https://twitter.com/educhiapas/status/1440373779725635597")</f>
        <v>https://twitter.com/educhiapas/status/1440373779725635597</v>
      </c>
      <c r="AA129" s="80"/>
      <c r="AB129" s="80"/>
      <c r="AC129" s="85" t="s">
        <v>766</v>
      </c>
      <c r="AD129" s="80"/>
      <c r="AE129" s="80" t="b">
        <v>0</v>
      </c>
      <c r="AF129" s="80">
        <v>0</v>
      </c>
      <c r="AG129" s="85" t="s">
        <v>871</v>
      </c>
      <c r="AH129" s="80" t="b">
        <v>0</v>
      </c>
      <c r="AI129" s="80" t="s">
        <v>882</v>
      </c>
      <c r="AJ129" s="80"/>
      <c r="AK129" s="85" t="s">
        <v>871</v>
      </c>
      <c r="AL129" s="80" t="b">
        <v>0</v>
      </c>
      <c r="AM129" s="80">
        <v>13</v>
      </c>
      <c r="AN129" s="85" t="s">
        <v>835</v>
      </c>
      <c r="AO129" s="85" t="s">
        <v>890</v>
      </c>
      <c r="AP129" s="80" t="b">
        <v>0</v>
      </c>
      <c r="AQ129" s="85" t="s">
        <v>835</v>
      </c>
      <c r="AR129" s="80" t="s">
        <v>178</v>
      </c>
      <c r="AS129" s="80">
        <v>0</v>
      </c>
      <c r="AT129" s="80">
        <v>0</v>
      </c>
      <c r="AU129" s="80"/>
      <c r="AV129" s="80"/>
      <c r="AW129" s="80"/>
      <c r="AX129" s="80"/>
      <c r="AY129" s="80"/>
      <c r="AZ129" s="80"/>
      <c r="BA129" s="80"/>
      <c r="BB129" s="80"/>
      <c r="BC129">
        <v>1</v>
      </c>
      <c r="BD129" s="79" t="str">
        <f>REPLACE(INDEX(GroupVertices[Group],MATCH(Edges[[#This Row],[Vertex 1]],GroupVertices[Vertex],0)),1,1,"")</f>
        <v>2</v>
      </c>
      <c r="BE129" s="79" t="str">
        <f>REPLACE(INDEX(GroupVertices[Group],MATCH(Edges[[#This Row],[Vertex 2]],GroupVertices[Vertex],0)),1,1,"")</f>
        <v>2</v>
      </c>
      <c r="BF129" s="49"/>
      <c r="BG129" s="50"/>
      <c r="BH129" s="49"/>
      <c r="BI129" s="50"/>
      <c r="BJ129" s="49"/>
      <c r="BK129" s="50"/>
      <c r="BL129" s="49"/>
      <c r="BM129" s="50"/>
      <c r="BN129" s="49"/>
    </row>
    <row r="130" spans="1:66" ht="15">
      <c r="A130" s="65" t="s">
        <v>273</v>
      </c>
      <c r="B130" s="65" t="s">
        <v>370</v>
      </c>
      <c r="C130" s="66" t="s">
        <v>2698</v>
      </c>
      <c r="D130" s="67">
        <v>4</v>
      </c>
      <c r="E130" s="68" t="s">
        <v>132</v>
      </c>
      <c r="F130" s="69">
        <v>30</v>
      </c>
      <c r="G130" s="66"/>
      <c r="H130" s="70"/>
      <c r="I130" s="71"/>
      <c r="J130" s="71"/>
      <c r="K130" s="35" t="s">
        <v>65</v>
      </c>
      <c r="L130" s="78">
        <v>130</v>
      </c>
      <c r="M130" s="78"/>
      <c r="N130" s="73"/>
      <c r="O130" s="80" t="s">
        <v>382</v>
      </c>
      <c r="P130" s="82">
        <v>44460.74587962963</v>
      </c>
      <c r="Q130" s="80" t="s">
        <v>418</v>
      </c>
      <c r="R130" s="80"/>
      <c r="S130" s="80"/>
      <c r="T130" s="85" t="s">
        <v>491</v>
      </c>
      <c r="U130" s="83" t="str">
        <f>HYPERLINK("https://pbs.twimg.com/ext_tw_video_thumb/1440152056862441476/pu/img/RypVaHbX_jWL8ylr.jpg")</f>
        <v>https://pbs.twimg.com/ext_tw_video_thumb/1440152056862441476/pu/img/RypVaHbX_jWL8ylr.jpg</v>
      </c>
      <c r="V130" s="83" t="str">
        <f>HYPERLINK("https://pbs.twimg.com/ext_tw_video_thumb/1440152056862441476/pu/img/RypVaHbX_jWL8ylr.jpg")</f>
        <v>https://pbs.twimg.com/ext_tw_video_thumb/1440152056862441476/pu/img/RypVaHbX_jWL8ylr.jpg</v>
      </c>
      <c r="W130" s="82">
        <v>44460.74587962963</v>
      </c>
      <c r="X130" s="88">
        <v>44460</v>
      </c>
      <c r="Y130" s="85" t="s">
        <v>593</v>
      </c>
      <c r="Z130" s="83" t="str">
        <f>HYPERLINK("https://twitter.com/educhiapas/status/1440373779725635597")</f>
        <v>https://twitter.com/educhiapas/status/1440373779725635597</v>
      </c>
      <c r="AA130" s="80"/>
      <c r="AB130" s="80"/>
      <c r="AC130" s="85" t="s">
        <v>766</v>
      </c>
      <c r="AD130" s="80"/>
      <c r="AE130" s="80" t="b">
        <v>0</v>
      </c>
      <c r="AF130" s="80">
        <v>0</v>
      </c>
      <c r="AG130" s="85" t="s">
        <v>871</v>
      </c>
      <c r="AH130" s="80" t="b">
        <v>0</v>
      </c>
      <c r="AI130" s="80" t="s">
        <v>882</v>
      </c>
      <c r="AJ130" s="80"/>
      <c r="AK130" s="85" t="s">
        <v>871</v>
      </c>
      <c r="AL130" s="80" t="b">
        <v>0</v>
      </c>
      <c r="AM130" s="80">
        <v>13</v>
      </c>
      <c r="AN130" s="85" t="s">
        <v>835</v>
      </c>
      <c r="AO130" s="85" t="s">
        <v>890</v>
      </c>
      <c r="AP130" s="80" t="b">
        <v>0</v>
      </c>
      <c r="AQ130" s="85" t="s">
        <v>835</v>
      </c>
      <c r="AR130" s="80" t="s">
        <v>178</v>
      </c>
      <c r="AS130" s="80">
        <v>0</v>
      </c>
      <c r="AT130" s="80">
        <v>0</v>
      </c>
      <c r="AU130" s="80"/>
      <c r="AV130" s="80"/>
      <c r="AW130" s="80"/>
      <c r="AX130" s="80"/>
      <c r="AY130" s="80"/>
      <c r="AZ130" s="80"/>
      <c r="BA130" s="80"/>
      <c r="BB130" s="80"/>
      <c r="BC130">
        <v>1</v>
      </c>
      <c r="BD130" s="79" t="str">
        <f>REPLACE(INDEX(GroupVertices[Group],MATCH(Edges[[#This Row],[Vertex 1]],GroupVertices[Vertex],0)),1,1,"")</f>
        <v>2</v>
      </c>
      <c r="BE130" s="79" t="str">
        <f>REPLACE(INDEX(GroupVertices[Group],MATCH(Edges[[#This Row],[Vertex 2]],GroupVertices[Vertex],0)),1,1,"")</f>
        <v>2</v>
      </c>
      <c r="BF130" s="49"/>
      <c r="BG130" s="50"/>
      <c r="BH130" s="49"/>
      <c r="BI130" s="50"/>
      <c r="BJ130" s="49"/>
      <c r="BK130" s="50"/>
      <c r="BL130" s="49"/>
      <c r="BM130" s="50"/>
      <c r="BN130" s="49"/>
    </row>
    <row r="131" spans="1:66" ht="15">
      <c r="A131" s="65" t="s">
        <v>273</v>
      </c>
      <c r="B131" s="65" t="s">
        <v>337</v>
      </c>
      <c r="C131" s="66" t="s">
        <v>2698</v>
      </c>
      <c r="D131" s="67">
        <v>4</v>
      </c>
      <c r="E131" s="68" t="s">
        <v>132</v>
      </c>
      <c r="F131" s="69">
        <v>30</v>
      </c>
      <c r="G131" s="66"/>
      <c r="H131" s="70"/>
      <c r="I131" s="71"/>
      <c r="J131" s="71"/>
      <c r="K131" s="35" t="s">
        <v>65</v>
      </c>
      <c r="L131" s="78">
        <v>131</v>
      </c>
      <c r="M131" s="78"/>
      <c r="N131" s="73"/>
      <c r="O131" s="80" t="s">
        <v>383</v>
      </c>
      <c r="P131" s="82">
        <v>44460.74587962963</v>
      </c>
      <c r="Q131" s="80" t="s">
        <v>418</v>
      </c>
      <c r="R131" s="80"/>
      <c r="S131" s="80"/>
      <c r="T131" s="85" t="s">
        <v>491</v>
      </c>
      <c r="U131" s="83" t="str">
        <f>HYPERLINK("https://pbs.twimg.com/ext_tw_video_thumb/1440152056862441476/pu/img/RypVaHbX_jWL8ylr.jpg")</f>
        <v>https://pbs.twimg.com/ext_tw_video_thumb/1440152056862441476/pu/img/RypVaHbX_jWL8ylr.jpg</v>
      </c>
      <c r="V131" s="83" t="str">
        <f>HYPERLINK("https://pbs.twimg.com/ext_tw_video_thumb/1440152056862441476/pu/img/RypVaHbX_jWL8ylr.jpg")</f>
        <v>https://pbs.twimg.com/ext_tw_video_thumb/1440152056862441476/pu/img/RypVaHbX_jWL8ylr.jpg</v>
      </c>
      <c r="W131" s="82">
        <v>44460.74587962963</v>
      </c>
      <c r="X131" s="88">
        <v>44460</v>
      </c>
      <c r="Y131" s="85" t="s">
        <v>593</v>
      </c>
      <c r="Z131" s="83" t="str">
        <f>HYPERLINK("https://twitter.com/educhiapas/status/1440373779725635597")</f>
        <v>https://twitter.com/educhiapas/status/1440373779725635597</v>
      </c>
      <c r="AA131" s="80"/>
      <c r="AB131" s="80"/>
      <c r="AC131" s="85" t="s">
        <v>766</v>
      </c>
      <c r="AD131" s="80"/>
      <c r="AE131" s="80" t="b">
        <v>0</v>
      </c>
      <c r="AF131" s="80">
        <v>0</v>
      </c>
      <c r="AG131" s="85" t="s">
        <v>871</v>
      </c>
      <c r="AH131" s="80" t="b">
        <v>0</v>
      </c>
      <c r="AI131" s="80" t="s">
        <v>882</v>
      </c>
      <c r="AJ131" s="80"/>
      <c r="AK131" s="85" t="s">
        <v>871</v>
      </c>
      <c r="AL131" s="80" t="b">
        <v>0</v>
      </c>
      <c r="AM131" s="80">
        <v>13</v>
      </c>
      <c r="AN131" s="85" t="s">
        <v>835</v>
      </c>
      <c r="AO131" s="85" t="s">
        <v>890</v>
      </c>
      <c r="AP131" s="80" t="b">
        <v>0</v>
      </c>
      <c r="AQ131" s="85" t="s">
        <v>835</v>
      </c>
      <c r="AR131" s="80" t="s">
        <v>178</v>
      </c>
      <c r="AS131" s="80">
        <v>0</v>
      </c>
      <c r="AT131" s="80">
        <v>0</v>
      </c>
      <c r="AU131" s="80"/>
      <c r="AV131" s="80"/>
      <c r="AW131" s="80"/>
      <c r="AX131" s="80"/>
      <c r="AY131" s="80"/>
      <c r="AZ131" s="80"/>
      <c r="BA131" s="80"/>
      <c r="BB131" s="80"/>
      <c r="BC131">
        <v>1</v>
      </c>
      <c r="BD131" s="79" t="str">
        <f>REPLACE(INDEX(GroupVertices[Group],MATCH(Edges[[#This Row],[Vertex 1]],GroupVertices[Vertex],0)),1,1,"")</f>
        <v>2</v>
      </c>
      <c r="BE131" s="79" t="str">
        <f>REPLACE(INDEX(GroupVertices[Group],MATCH(Edges[[#This Row],[Vertex 2]],GroupVertices[Vertex],0)),1,1,"")</f>
        <v>2</v>
      </c>
      <c r="BF131" s="49">
        <v>0</v>
      </c>
      <c r="BG131" s="50">
        <v>0</v>
      </c>
      <c r="BH131" s="49">
        <v>0</v>
      </c>
      <c r="BI131" s="50">
        <v>0</v>
      </c>
      <c r="BJ131" s="49">
        <v>0</v>
      </c>
      <c r="BK131" s="50">
        <v>0</v>
      </c>
      <c r="BL131" s="49">
        <v>25</v>
      </c>
      <c r="BM131" s="50">
        <v>100</v>
      </c>
      <c r="BN131" s="49">
        <v>25</v>
      </c>
    </row>
    <row r="132" spans="1:66" ht="15">
      <c r="A132" s="65" t="s">
        <v>274</v>
      </c>
      <c r="B132" s="65" t="s">
        <v>274</v>
      </c>
      <c r="C132" s="66" t="s">
        <v>2698</v>
      </c>
      <c r="D132" s="67">
        <v>4</v>
      </c>
      <c r="E132" s="68" t="s">
        <v>132</v>
      </c>
      <c r="F132" s="69">
        <v>30</v>
      </c>
      <c r="G132" s="66"/>
      <c r="H132" s="70"/>
      <c r="I132" s="71"/>
      <c r="J132" s="71"/>
      <c r="K132" s="35" t="s">
        <v>65</v>
      </c>
      <c r="L132" s="78">
        <v>132</v>
      </c>
      <c r="M132" s="78"/>
      <c r="N132" s="73"/>
      <c r="O132" s="80" t="s">
        <v>178</v>
      </c>
      <c r="P132" s="82">
        <v>44460.75203703704</v>
      </c>
      <c r="Q132" s="80" t="s">
        <v>422</v>
      </c>
      <c r="R132" s="80"/>
      <c r="S132" s="80"/>
      <c r="T132" s="85" t="s">
        <v>495</v>
      </c>
      <c r="U132" s="83" t="str">
        <f>HYPERLINK("https://pbs.twimg.com/media/E_0-V_TVUAYqPM4.jpg")</f>
        <v>https://pbs.twimg.com/media/E_0-V_TVUAYqPM4.jpg</v>
      </c>
      <c r="V132" s="83" t="str">
        <f>HYPERLINK("https://pbs.twimg.com/media/E_0-V_TVUAYqPM4.jpg")</f>
        <v>https://pbs.twimg.com/media/E_0-V_TVUAYqPM4.jpg</v>
      </c>
      <c r="W132" s="82">
        <v>44460.75203703704</v>
      </c>
      <c r="X132" s="88">
        <v>44460</v>
      </c>
      <c r="Y132" s="85" t="s">
        <v>594</v>
      </c>
      <c r="Z132" s="83" t="str">
        <f>HYPERLINK("https://twitter.com/pirubruja/status/1440376009992257539")</f>
        <v>https://twitter.com/pirubruja/status/1440376009992257539</v>
      </c>
      <c r="AA132" s="80"/>
      <c r="AB132" s="80"/>
      <c r="AC132" s="85" t="s">
        <v>767</v>
      </c>
      <c r="AD132" s="80"/>
      <c r="AE132" s="80" t="b">
        <v>0</v>
      </c>
      <c r="AF132" s="80">
        <v>0</v>
      </c>
      <c r="AG132" s="85" t="s">
        <v>871</v>
      </c>
      <c r="AH132" s="80" t="b">
        <v>0</v>
      </c>
      <c r="AI132" s="80" t="s">
        <v>882</v>
      </c>
      <c r="AJ132" s="80"/>
      <c r="AK132" s="85" t="s">
        <v>871</v>
      </c>
      <c r="AL132" s="80" t="b">
        <v>0</v>
      </c>
      <c r="AM132" s="80">
        <v>0</v>
      </c>
      <c r="AN132" s="85" t="s">
        <v>871</v>
      </c>
      <c r="AO132" s="85" t="s">
        <v>890</v>
      </c>
      <c r="AP132" s="80" t="b">
        <v>0</v>
      </c>
      <c r="AQ132" s="85" t="s">
        <v>767</v>
      </c>
      <c r="AR132" s="80" t="s">
        <v>178</v>
      </c>
      <c r="AS132" s="80">
        <v>0</v>
      </c>
      <c r="AT132" s="80">
        <v>0</v>
      </c>
      <c r="AU132" s="80"/>
      <c r="AV132" s="80"/>
      <c r="AW132" s="80"/>
      <c r="AX132" s="80"/>
      <c r="AY132" s="80"/>
      <c r="AZ132" s="80"/>
      <c r="BA132" s="80"/>
      <c r="BB132" s="80"/>
      <c r="BC132">
        <v>1</v>
      </c>
      <c r="BD132" s="79" t="str">
        <f>REPLACE(INDEX(GroupVertices[Group],MATCH(Edges[[#This Row],[Vertex 1]],GroupVertices[Vertex],0)),1,1,"")</f>
        <v>4</v>
      </c>
      <c r="BE132" s="79" t="str">
        <f>REPLACE(INDEX(GroupVertices[Group],MATCH(Edges[[#This Row],[Vertex 2]],GroupVertices[Vertex],0)),1,1,"")</f>
        <v>4</v>
      </c>
      <c r="BF132" s="49">
        <v>0</v>
      </c>
      <c r="BG132" s="50">
        <v>0</v>
      </c>
      <c r="BH132" s="49">
        <v>0</v>
      </c>
      <c r="BI132" s="50">
        <v>0</v>
      </c>
      <c r="BJ132" s="49">
        <v>0</v>
      </c>
      <c r="BK132" s="50">
        <v>0</v>
      </c>
      <c r="BL132" s="49">
        <v>24</v>
      </c>
      <c r="BM132" s="50">
        <v>100</v>
      </c>
      <c r="BN132" s="49">
        <v>24</v>
      </c>
    </row>
    <row r="133" spans="1:66" ht="15">
      <c r="A133" s="65" t="s">
        <v>275</v>
      </c>
      <c r="B133" s="65" t="s">
        <v>368</v>
      </c>
      <c r="C133" s="66" t="s">
        <v>2698</v>
      </c>
      <c r="D133" s="67">
        <v>4</v>
      </c>
      <c r="E133" s="68" t="s">
        <v>132</v>
      </c>
      <c r="F133" s="69">
        <v>30</v>
      </c>
      <c r="G133" s="66"/>
      <c r="H133" s="70"/>
      <c r="I133" s="71"/>
      <c r="J133" s="71"/>
      <c r="K133" s="35" t="s">
        <v>65</v>
      </c>
      <c r="L133" s="78">
        <v>133</v>
      </c>
      <c r="M133" s="78"/>
      <c r="N133" s="73"/>
      <c r="O133" s="80" t="s">
        <v>382</v>
      </c>
      <c r="P133" s="82">
        <v>44460.79450231481</v>
      </c>
      <c r="Q133" s="80" t="s">
        <v>423</v>
      </c>
      <c r="R133" s="83" t="str">
        <f>HYPERLINK("https://www.jornada.com.mx/notas/2021/09/21/estados/inm-envia-por-avion-a-120-haitianos-a-chiapas-desde-coahuila/")</f>
        <v>https://www.jornada.com.mx/notas/2021/09/21/estados/inm-envia-por-avion-a-120-haitianos-a-chiapas-desde-coahuila/</v>
      </c>
      <c r="S133" s="80" t="s">
        <v>451</v>
      </c>
      <c r="T133" s="85" t="s">
        <v>496</v>
      </c>
      <c r="U133" s="80"/>
      <c r="V133" s="83" t="str">
        <f>HYPERLINK("https://pbs.twimg.com/profile_images/1216750479524294656/lDgQ18NW_normal.jpg")</f>
        <v>https://pbs.twimg.com/profile_images/1216750479524294656/lDgQ18NW_normal.jpg</v>
      </c>
      <c r="W133" s="82">
        <v>44460.79450231481</v>
      </c>
      <c r="X133" s="88">
        <v>44460</v>
      </c>
      <c r="Y133" s="85" t="s">
        <v>595</v>
      </c>
      <c r="Z133" s="83" t="str">
        <f>HYPERLINK("https://twitter.com/belicejp/status/1440391400944590865")</f>
        <v>https://twitter.com/belicejp/status/1440391400944590865</v>
      </c>
      <c r="AA133" s="80"/>
      <c r="AB133" s="80"/>
      <c r="AC133" s="85" t="s">
        <v>768</v>
      </c>
      <c r="AD133" s="80"/>
      <c r="AE133" s="80" t="b">
        <v>0</v>
      </c>
      <c r="AF133" s="80">
        <v>0</v>
      </c>
      <c r="AG133" s="85" t="s">
        <v>871</v>
      </c>
      <c r="AH133" s="80" t="b">
        <v>0</v>
      </c>
      <c r="AI133" s="80" t="s">
        <v>882</v>
      </c>
      <c r="AJ133" s="80"/>
      <c r="AK133" s="85" t="s">
        <v>871</v>
      </c>
      <c r="AL133" s="80" t="b">
        <v>0</v>
      </c>
      <c r="AM133" s="80">
        <v>6</v>
      </c>
      <c r="AN133" s="85" t="s">
        <v>811</v>
      </c>
      <c r="AO133" s="85" t="s">
        <v>889</v>
      </c>
      <c r="AP133" s="80" t="b">
        <v>0</v>
      </c>
      <c r="AQ133" s="85" t="s">
        <v>811</v>
      </c>
      <c r="AR133" s="80" t="s">
        <v>178</v>
      </c>
      <c r="AS133" s="80">
        <v>0</v>
      </c>
      <c r="AT133" s="80">
        <v>0</v>
      </c>
      <c r="AU133" s="80"/>
      <c r="AV133" s="80"/>
      <c r="AW133" s="80"/>
      <c r="AX133" s="80"/>
      <c r="AY133" s="80"/>
      <c r="AZ133" s="80"/>
      <c r="BA133" s="80"/>
      <c r="BB133" s="80"/>
      <c r="BC133">
        <v>1</v>
      </c>
      <c r="BD133" s="79" t="str">
        <f>REPLACE(INDEX(GroupVertices[Group],MATCH(Edges[[#This Row],[Vertex 1]],GroupVertices[Vertex],0)),1,1,"")</f>
        <v>2</v>
      </c>
      <c r="BE133" s="79" t="str">
        <f>REPLACE(INDEX(GroupVertices[Group],MATCH(Edges[[#This Row],[Vertex 2]],GroupVertices[Vertex],0)),1,1,"")</f>
        <v>2</v>
      </c>
      <c r="BF133" s="49"/>
      <c r="BG133" s="50"/>
      <c r="BH133" s="49"/>
      <c r="BI133" s="50"/>
      <c r="BJ133" s="49"/>
      <c r="BK133" s="50"/>
      <c r="BL133" s="49"/>
      <c r="BM133" s="50"/>
      <c r="BN133" s="49"/>
    </row>
    <row r="134" spans="1:66" ht="15">
      <c r="A134" s="65" t="s">
        <v>275</v>
      </c>
      <c r="B134" s="65" t="s">
        <v>314</v>
      </c>
      <c r="C134" s="66" t="s">
        <v>2698</v>
      </c>
      <c r="D134" s="67">
        <v>4</v>
      </c>
      <c r="E134" s="68" t="s">
        <v>132</v>
      </c>
      <c r="F134" s="69">
        <v>30</v>
      </c>
      <c r="G134" s="66"/>
      <c r="H134" s="70"/>
      <c r="I134" s="71"/>
      <c r="J134" s="71"/>
      <c r="K134" s="35" t="s">
        <v>65</v>
      </c>
      <c r="L134" s="78">
        <v>134</v>
      </c>
      <c r="M134" s="78"/>
      <c r="N134" s="73"/>
      <c r="O134" s="80" t="s">
        <v>383</v>
      </c>
      <c r="P134" s="82">
        <v>44460.79450231481</v>
      </c>
      <c r="Q134" s="80" t="s">
        <v>423</v>
      </c>
      <c r="R134" s="83" t="str">
        <f>HYPERLINK("https://www.jornada.com.mx/notas/2021/09/21/estados/inm-envia-por-avion-a-120-haitianos-a-chiapas-desde-coahuila/")</f>
        <v>https://www.jornada.com.mx/notas/2021/09/21/estados/inm-envia-por-avion-a-120-haitianos-a-chiapas-desde-coahuila/</v>
      </c>
      <c r="S134" s="80" t="s">
        <v>451</v>
      </c>
      <c r="T134" s="85" t="s">
        <v>496</v>
      </c>
      <c r="U134" s="80"/>
      <c r="V134" s="83" t="str">
        <f>HYPERLINK("https://pbs.twimg.com/profile_images/1216750479524294656/lDgQ18NW_normal.jpg")</f>
        <v>https://pbs.twimg.com/profile_images/1216750479524294656/lDgQ18NW_normal.jpg</v>
      </c>
      <c r="W134" s="82">
        <v>44460.79450231481</v>
      </c>
      <c r="X134" s="88">
        <v>44460</v>
      </c>
      <c r="Y134" s="85" t="s">
        <v>595</v>
      </c>
      <c r="Z134" s="83" t="str">
        <f>HYPERLINK("https://twitter.com/belicejp/status/1440391400944590865")</f>
        <v>https://twitter.com/belicejp/status/1440391400944590865</v>
      </c>
      <c r="AA134" s="80"/>
      <c r="AB134" s="80"/>
      <c r="AC134" s="85" t="s">
        <v>768</v>
      </c>
      <c r="AD134" s="80"/>
      <c r="AE134" s="80" t="b">
        <v>0</v>
      </c>
      <c r="AF134" s="80">
        <v>0</v>
      </c>
      <c r="AG134" s="85" t="s">
        <v>871</v>
      </c>
      <c r="AH134" s="80" t="b">
        <v>0</v>
      </c>
      <c r="AI134" s="80" t="s">
        <v>882</v>
      </c>
      <c r="AJ134" s="80"/>
      <c r="AK134" s="85" t="s">
        <v>871</v>
      </c>
      <c r="AL134" s="80" t="b">
        <v>0</v>
      </c>
      <c r="AM134" s="80">
        <v>6</v>
      </c>
      <c r="AN134" s="85" t="s">
        <v>811</v>
      </c>
      <c r="AO134" s="85" t="s">
        <v>889</v>
      </c>
      <c r="AP134" s="80" t="b">
        <v>0</v>
      </c>
      <c r="AQ134" s="85" t="s">
        <v>811</v>
      </c>
      <c r="AR134" s="80" t="s">
        <v>178</v>
      </c>
      <c r="AS134" s="80">
        <v>0</v>
      </c>
      <c r="AT134" s="80">
        <v>0</v>
      </c>
      <c r="AU134" s="80"/>
      <c r="AV134" s="80"/>
      <c r="AW134" s="80"/>
      <c r="AX134" s="80"/>
      <c r="AY134" s="80"/>
      <c r="AZ134" s="80"/>
      <c r="BA134" s="80"/>
      <c r="BB134" s="80"/>
      <c r="BC134">
        <v>1</v>
      </c>
      <c r="BD134" s="79" t="str">
        <f>REPLACE(INDEX(GroupVertices[Group],MATCH(Edges[[#This Row],[Vertex 1]],GroupVertices[Vertex],0)),1,1,"")</f>
        <v>2</v>
      </c>
      <c r="BE134" s="79" t="str">
        <f>REPLACE(INDEX(GroupVertices[Group],MATCH(Edges[[#This Row],[Vertex 2]],GroupVertices[Vertex],0)),1,1,"")</f>
        <v>2</v>
      </c>
      <c r="BF134" s="49">
        <v>0</v>
      </c>
      <c r="BG134" s="50">
        <v>0</v>
      </c>
      <c r="BH134" s="49">
        <v>0</v>
      </c>
      <c r="BI134" s="50">
        <v>0</v>
      </c>
      <c r="BJ134" s="49">
        <v>0</v>
      </c>
      <c r="BK134" s="50">
        <v>0</v>
      </c>
      <c r="BL134" s="49">
        <v>38</v>
      </c>
      <c r="BM134" s="50">
        <v>100</v>
      </c>
      <c r="BN134" s="49">
        <v>38</v>
      </c>
    </row>
    <row r="135" spans="1:66" ht="15">
      <c r="A135" s="65" t="s">
        <v>276</v>
      </c>
      <c r="B135" s="65" t="s">
        <v>368</v>
      </c>
      <c r="C135" s="66" t="s">
        <v>2698</v>
      </c>
      <c r="D135" s="67">
        <v>4</v>
      </c>
      <c r="E135" s="68" t="s">
        <v>132</v>
      </c>
      <c r="F135" s="69">
        <v>30</v>
      </c>
      <c r="G135" s="66"/>
      <c r="H135" s="70"/>
      <c r="I135" s="71"/>
      <c r="J135" s="71"/>
      <c r="K135" s="35" t="s">
        <v>65</v>
      </c>
      <c r="L135" s="78">
        <v>135</v>
      </c>
      <c r="M135" s="78"/>
      <c r="N135" s="73"/>
      <c r="O135" s="80" t="s">
        <v>382</v>
      </c>
      <c r="P135" s="82">
        <v>44460.79474537037</v>
      </c>
      <c r="Q135" s="80" t="s">
        <v>423</v>
      </c>
      <c r="R135" s="83" t="str">
        <f>HYPERLINK("https://www.jornada.com.mx/notas/2021/09/21/estados/inm-envia-por-avion-a-120-haitianos-a-chiapas-desde-coahuila/")</f>
        <v>https://www.jornada.com.mx/notas/2021/09/21/estados/inm-envia-por-avion-a-120-haitianos-a-chiapas-desde-coahuila/</v>
      </c>
      <c r="S135" s="80" t="s">
        <v>451</v>
      </c>
      <c r="T135" s="85" t="s">
        <v>496</v>
      </c>
      <c r="U135" s="80"/>
      <c r="V135" s="83" t="str">
        <f>HYPERLINK("https://pbs.twimg.com/profile_images/1291206854274699265/3zG5dGq-_normal.jpg")</f>
        <v>https://pbs.twimg.com/profile_images/1291206854274699265/3zG5dGq-_normal.jpg</v>
      </c>
      <c r="W135" s="82">
        <v>44460.79474537037</v>
      </c>
      <c r="X135" s="88">
        <v>44460</v>
      </c>
      <c r="Y135" s="85" t="s">
        <v>596</v>
      </c>
      <c r="Z135" s="83" t="str">
        <f>HYPERLINK("https://twitter.com/antonio69111557/status/1440391487183679488")</f>
        <v>https://twitter.com/antonio69111557/status/1440391487183679488</v>
      </c>
      <c r="AA135" s="80"/>
      <c r="AB135" s="80"/>
      <c r="AC135" s="85" t="s">
        <v>769</v>
      </c>
      <c r="AD135" s="80"/>
      <c r="AE135" s="80" t="b">
        <v>0</v>
      </c>
      <c r="AF135" s="80">
        <v>0</v>
      </c>
      <c r="AG135" s="85" t="s">
        <v>871</v>
      </c>
      <c r="AH135" s="80" t="b">
        <v>0</v>
      </c>
      <c r="AI135" s="80" t="s">
        <v>882</v>
      </c>
      <c r="AJ135" s="80"/>
      <c r="AK135" s="85" t="s">
        <v>871</v>
      </c>
      <c r="AL135" s="80" t="b">
        <v>0</v>
      </c>
      <c r="AM135" s="80">
        <v>6</v>
      </c>
      <c r="AN135" s="85" t="s">
        <v>811</v>
      </c>
      <c r="AO135" s="85" t="s">
        <v>889</v>
      </c>
      <c r="AP135" s="80" t="b">
        <v>0</v>
      </c>
      <c r="AQ135" s="85" t="s">
        <v>811</v>
      </c>
      <c r="AR135" s="80" t="s">
        <v>178</v>
      </c>
      <c r="AS135" s="80">
        <v>0</v>
      </c>
      <c r="AT135" s="80">
        <v>0</v>
      </c>
      <c r="AU135" s="80"/>
      <c r="AV135" s="80"/>
      <c r="AW135" s="80"/>
      <c r="AX135" s="80"/>
      <c r="AY135" s="80"/>
      <c r="AZ135" s="80"/>
      <c r="BA135" s="80"/>
      <c r="BB135" s="80"/>
      <c r="BC135">
        <v>1</v>
      </c>
      <c r="BD135" s="79" t="str">
        <f>REPLACE(INDEX(GroupVertices[Group],MATCH(Edges[[#This Row],[Vertex 1]],GroupVertices[Vertex],0)),1,1,"")</f>
        <v>2</v>
      </c>
      <c r="BE135" s="79" t="str">
        <f>REPLACE(INDEX(GroupVertices[Group],MATCH(Edges[[#This Row],[Vertex 2]],GroupVertices[Vertex],0)),1,1,"")</f>
        <v>2</v>
      </c>
      <c r="BF135" s="49"/>
      <c r="BG135" s="50"/>
      <c r="BH135" s="49"/>
      <c r="BI135" s="50"/>
      <c r="BJ135" s="49"/>
      <c r="BK135" s="50"/>
      <c r="BL135" s="49"/>
      <c r="BM135" s="50"/>
      <c r="BN135" s="49"/>
    </row>
    <row r="136" spans="1:66" ht="15">
      <c r="A136" s="65" t="s">
        <v>276</v>
      </c>
      <c r="B136" s="65" t="s">
        <v>314</v>
      </c>
      <c r="C136" s="66" t="s">
        <v>2698</v>
      </c>
      <c r="D136" s="67">
        <v>4</v>
      </c>
      <c r="E136" s="68" t="s">
        <v>132</v>
      </c>
      <c r="F136" s="69">
        <v>30</v>
      </c>
      <c r="G136" s="66"/>
      <c r="H136" s="70"/>
      <c r="I136" s="71"/>
      <c r="J136" s="71"/>
      <c r="K136" s="35" t="s">
        <v>65</v>
      </c>
      <c r="L136" s="78">
        <v>136</v>
      </c>
      <c r="M136" s="78"/>
      <c r="N136" s="73"/>
      <c r="O136" s="80" t="s">
        <v>383</v>
      </c>
      <c r="P136" s="82">
        <v>44460.79474537037</v>
      </c>
      <c r="Q136" s="80" t="s">
        <v>423</v>
      </c>
      <c r="R136" s="83" t="str">
        <f>HYPERLINK("https://www.jornada.com.mx/notas/2021/09/21/estados/inm-envia-por-avion-a-120-haitianos-a-chiapas-desde-coahuila/")</f>
        <v>https://www.jornada.com.mx/notas/2021/09/21/estados/inm-envia-por-avion-a-120-haitianos-a-chiapas-desde-coahuila/</v>
      </c>
      <c r="S136" s="80" t="s">
        <v>451</v>
      </c>
      <c r="T136" s="85" t="s">
        <v>496</v>
      </c>
      <c r="U136" s="80"/>
      <c r="V136" s="83" t="str">
        <f>HYPERLINK("https://pbs.twimg.com/profile_images/1291206854274699265/3zG5dGq-_normal.jpg")</f>
        <v>https://pbs.twimg.com/profile_images/1291206854274699265/3zG5dGq-_normal.jpg</v>
      </c>
      <c r="W136" s="82">
        <v>44460.79474537037</v>
      </c>
      <c r="X136" s="88">
        <v>44460</v>
      </c>
      <c r="Y136" s="85" t="s">
        <v>596</v>
      </c>
      <c r="Z136" s="83" t="str">
        <f>HYPERLINK("https://twitter.com/antonio69111557/status/1440391487183679488")</f>
        <v>https://twitter.com/antonio69111557/status/1440391487183679488</v>
      </c>
      <c r="AA136" s="80"/>
      <c r="AB136" s="80"/>
      <c r="AC136" s="85" t="s">
        <v>769</v>
      </c>
      <c r="AD136" s="80"/>
      <c r="AE136" s="80" t="b">
        <v>0</v>
      </c>
      <c r="AF136" s="80">
        <v>0</v>
      </c>
      <c r="AG136" s="85" t="s">
        <v>871</v>
      </c>
      <c r="AH136" s="80" t="b">
        <v>0</v>
      </c>
      <c r="AI136" s="80" t="s">
        <v>882</v>
      </c>
      <c r="AJ136" s="80"/>
      <c r="AK136" s="85" t="s">
        <v>871</v>
      </c>
      <c r="AL136" s="80" t="b">
        <v>0</v>
      </c>
      <c r="AM136" s="80">
        <v>6</v>
      </c>
      <c r="AN136" s="85" t="s">
        <v>811</v>
      </c>
      <c r="AO136" s="85" t="s">
        <v>889</v>
      </c>
      <c r="AP136" s="80" t="b">
        <v>0</v>
      </c>
      <c r="AQ136" s="85" t="s">
        <v>811</v>
      </c>
      <c r="AR136" s="80" t="s">
        <v>178</v>
      </c>
      <c r="AS136" s="80">
        <v>0</v>
      </c>
      <c r="AT136" s="80">
        <v>0</v>
      </c>
      <c r="AU136" s="80"/>
      <c r="AV136" s="80"/>
      <c r="AW136" s="80"/>
      <c r="AX136" s="80"/>
      <c r="AY136" s="80"/>
      <c r="AZ136" s="80"/>
      <c r="BA136" s="80"/>
      <c r="BB136" s="80"/>
      <c r="BC136">
        <v>1</v>
      </c>
      <c r="BD136" s="79" t="str">
        <f>REPLACE(INDEX(GroupVertices[Group],MATCH(Edges[[#This Row],[Vertex 1]],GroupVertices[Vertex],0)),1,1,"")</f>
        <v>2</v>
      </c>
      <c r="BE136" s="79" t="str">
        <f>REPLACE(INDEX(GroupVertices[Group],MATCH(Edges[[#This Row],[Vertex 2]],GroupVertices[Vertex],0)),1,1,"")</f>
        <v>2</v>
      </c>
      <c r="BF136" s="49">
        <v>0</v>
      </c>
      <c r="BG136" s="50">
        <v>0</v>
      </c>
      <c r="BH136" s="49">
        <v>0</v>
      </c>
      <c r="BI136" s="50">
        <v>0</v>
      </c>
      <c r="BJ136" s="49">
        <v>0</v>
      </c>
      <c r="BK136" s="50">
        <v>0</v>
      </c>
      <c r="BL136" s="49">
        <v>38</v>
      </c>
      <c r="BM136" s="50">
        <v>100</v>
      </c>
      <c r="BN136" s="49">
        <v>38</v>
      </c>
    </row>
    <row r="137" spans="1:66" ht="15">
      <c r="A137" s="65" t="s">
        <v>277</v>
      </c>
      <c r="B137" s="65" t="s">
        <v>368</v>
      </c>
      <c r="C137" s="66" t="s">
        <v>2698</v>
      </c>
      <c r="D137" s="67">
        <v>4</v>
      </c>
      <c r="E137" s="68" t="s">
        <v>132</v>
      </c>
      <c r="F137" s="69">
        <v>30</v>
      </c>
      <c r="G137" s="66"/>
      <c r="H137" s="70"/>
      <c r="I137" s="71"/>
      <c r="J137" s="71"/>
      <c r="K137" s="35" t="s">
        <v>65</v>
      </c>
      <c r="L137" s="78">
        <v>137</v>
      </c>
      <c r="M137" s="78"/>
      <c r="N137" s="73"/>
      <c r="O137" s="80" t="s">
        <v>382</v>
      </c>
      <c r="P137" s="82">
        <v>44460.795324074075</v>
      </c>
      <c r="Q137" s="80" t="s">
        <v>423</v>
      </c>
      <c r="R137" s="83" t="str">
        <f>HYPERLINK("https://www.jornada.com.mx/notas/2021/09/21/estados/inm-envia-por-avion-a-120-haitianos-a-chiapas-desde-coahuila/")</f>
        <v>https://www.jornada.com.mx/notas/2021/09/21/estados/inm-envia-por-avion-a-120-haitianos-a-chiapas-desde-coahuila/</v>
      </c>
      <c r="S137" s="80" t="s">
        <v>451</v>
      </c>
      <c r="T137" s="85" t="s">
        <v>496</v>
      </c>
      <c r="U137" s="80"/>
      <c r="V137" s="83" t="str">
        <f>HYPERLINK("https://pbs.twimg.com/profile_images/1437905246462758913/8XTelcEC_normal.jpg")</f>
        <v>https://pbs.twimg.com/profile_images/1437905246462758913/8XTelcEC_normal.jpg</v>
      </c>
      <c r="W137" s="82">
        <v>44460.795324074075</v>
      </c>
      <c r="X137" s="88">
        <v>44460</v>
      </c>
      <c r="Y137" s="85" t="s">
        <v>597</v>
      </c>
      <c r="Z137" s="83" t="str">
        <f>HYPERLINK("https://twitter.com/joel_fm_/status/1440391699428102144")</f>
        <v>https://twitter.com/joel_fm_/status/1440391699428102144</v>
      </c>
      <c r="AA137" s="80"/>
      <c r="AB137" s="80"/>
      <c r="AC137" s="85" t="s">
        <v>770</v>
      </c>
      <c r="AD137" s="80"/>
      <c r="AE137" s="80" t="b">
        <v>0</v>
      </c>
      <c r="AF137" s="80">
        <v>0</v>
      </c>
      <c r="AG137" s="85" t="s">
        <v>871</v>
      </c>
      <c r="AH137" s="80" t="b">
        <v>0</v>
      </c>
      <c r="AI137" s="80" t="s">
        <v>882</v>
      </c>
      <c r="AJ137" s="80"/>
      <c r="AK137" s="85" t="s">
        <v>871</v>
      </c>
      <c r="AL137" s="80" t="b">
        <v>0</v>
      </c>
      <c r="AM137" s="80">
        <v>6</v>
      </c>
      <c r="AN137" s="85" t="s">
        <v>811</v>
      </c>
      <c r="AO137" s="85" t="s">
        <v>891</v>
      </c>
      <c r="AP137" s="80" t="b">
        <v>0</v>
      </c>
      <c r="AQ137" s="85" t="s">
        <v>811</v>
      </c>
      <c r="AR137" s="80" t="s">
        <v>178</v>
      </c>
      <c r="AS137" s="80">
        <v>0</v>
      </c>
      <c r="AT137" s="80">
        <v>0</v>
      </c>
      <c r="AU137" s="80"/>
      <c r="AV137" s="80"/>
      <c r="AW137" s="80"/>
      <c r="AX137" s="80"/>
      <c r="AY137" s="80"/>
      <c r="AZ137" s="80"/>
      <c r="BA137" s="80"/>
      <c r="BB137" s="80"/>
      <c r="BC137">
        <v>1</v>
      </c>
      <c r="BD137" s="79" t="str">
        <f>REPLACE(INDEX(GroupVertices[Group],MATCH(Edges[[#This Row],[Vertex 1]],GroupVertices[Vertex],0)),1,1,"")</f>
        <v>2</v>
      </c>
      <c r="BE137" s="79" t="str">
        <f>REPLACE(INDEX(GroupVertices[Group],MATCH(Edges[[#This Row],[Vertex 2]],GroupVertices[Vertex],0)),1,1,"")</f>
        <v>2</v>
      </c>
      <c r="BF137" s="49"/>
      <c r="BG137" s="50"/>
      <c r="BH137" s="49"/>
      <c r="BI137" s="50"/>
      <c r="BJ137" s="49"/>
      <c r="BK137" s="50"/>
      <c r="BL137" s="49"/>
      <c r="BM137" s="50"/>
      <c r="BN137" s="49"/>
    </row>
    <row r="138" spans="1:66" ht="15">
      <c r="A138" s="65" t="s">
        <v>277</v>
      </c>
      <c r="B138" s="65" t="s">
        <v>314</v>
      </c>
      <c r="C138" s="66" t="s">
        <v>2698</v>
      </c>
      <c r="D138" s="67">
        <v>4</v>
      </c>
      <c r="E138" s="68" t="s">
        <v>132</v>
      </c>
      <c r="F138" s="69">
        <v>30</v>
      </c>
      <c r="G138" s="66"/>
      <c r="H138" s="70"/>
      <c r="I138" s="71"/>
      <c r="J138" s="71"/>
      <c r="K138" s="35" t="s">
        <v>65</v>
      </c>
      <c r="L138" s="78">
        <v>138</v>
      </c>
      <c r="M138" s="78"/>
      <c r="N138" s="73"/>
      <c r="O138" s="80" t="s">
        <v>383</v>
      </c>
      <c r="P138" s="82">
        <v>44460.795324074075</v>
      </c>
      <c r="Q138" s="80" t="s">
        <v>423</v>
      </c>
      <c r="R138" s="83" t="str">
        <f>HYPERLINK("https://www.jornada.com.mx/notas/2021/09/21/estados/inm-envia-por-avion-a-120-haitianos-a-chiapas-desde-coahuila/")</f>
        <v>https://www.jornada.com.mx/notas/2021/09/21/estados/inm-envia-por-avion-a-120-haitianos-a-chiapas-desde-coahuila/</v>
      </c>
      <c r="S138" s="80" t="s">
        <v>451</v>
      </c>
      <c r="T138" s="85" t="s">
        <v>496</v>
      </c>
      <c r="U138" s="80"/>
      <c r="V138" s="83" t="str">
        <f>HYPERLINK("https://pbs.twimg.com/profile_images/1437905246462758913/8XTelcEC_normal.jpg")</f>
        <v>https://pbs.twimg.com/profile_images/1437905246462758913/8XTelcEC_normal.jpg</v>
      </c>
      <c r="W138" s="82">
        <v>44460.795324074075</v>
      </c>
      <c r="X138" s="88">
        <v>44460</v>
      </c>
      <c r="Y138" s="85" t="s">
        <v>597</v>
      </c>
      <c r="Z138" s="83" t="str">
        <f>HYPERLINK("https://twitter.com/joel_fm_/status/1440391699428102144")</f>
        <v>https://twitter.com/joel_fm_/status/1440391699428102144</v>
      </c>
      <c r="AA138" s="80"/>
      <c r="AB138" s="80"/>
      <c r="AC138" s="85" t="s">
        <v>770</v>
      </c>
      <c r="AD138" s="80"/>
      <c r="AE138" s="80" t="b">
        <v>0</v>
      </c>
      <c r="AF138" s="80">
        <v>0</v>
      </c>
      <c r="AG138" s="85" t="s">
        <v>871</v>
      </c>
      <c r="AH138" s="80" t="b">
        <v>0</v>
      </c>
      <c r="AI138" s="80" t="s">
        <v>882</v>
      </c>
      <c r="AJ138" s="80"/>
      <c r="AK138" s="85" t="s">
        <v>871</v>
      </c>
      <c r="AL138" s="80" t="b">
        <v>0</v>
      </c>
      <c r="AM138" s="80">
        <v>6</v>
      </c>
      <c r="AN138" s="85" t="s">
        <v>811</v>
      </c>
      <c r="AO138" s="85" t="s">
        <v>891</v>
      </c>
      <c r="AP138" s="80" t="b">
        <v>0</v>
      </c>
      <c r="AQ138" s="85" t="s">
        <v>811</v>
      </c>
      <c r="AR138" s="80" t="s">
        <v>178</v>
      </c>
      <c r="AS138" s="80">
        <v>0</v>
      </c>
      <c r="AT138" s="80">
        <v>0</v>
      </c>
      <c r="AU138" s="80"/>
      <c r="AV138" s="80"/>
      <c r="AW138" s="80"/>
      <c r="AX138" s="80"/>
      <c r="AY138" s="80"/>
      <c r="AZ138" s="80"/>
      <c r="BA138" s="80"/>
      <c r="BB138" s="80"/>
      <c r="BC138">
        <v>1</v>
      </c>
      <c r="BD138" s="79" t="str">
        <f>REPLACE(INDEX(GroupVertices[Group],MATCH(Edges[[#This Row],[Vertex 1]],GroupVertices[Vertex],0)),1,1,"")</f>
        <v>2</v>
      </c>
      <c r="BE138" s="79" t="str">
        <f>REPLACE(INDEX(GroupVertices[Group],MATCH(Edges[[#This Row],[Vertex 2]],GroupVertices[Vertex],0)),1,1,"")</f>
        <v>2</v>
      </c>
      <c r="BF138" s="49">
        <v>0</v>
      </c>
      <c r="BG138" s="50">
        <v>0</v>
      </c>
      <c r="BH138" s="49">
        <v>0</v>
      </c>
      <c r="BI138" s="50">
        <v>0</v>
      </c>
      <c r="BJ138" s="49">
        <v>0</v>
      </c>
      <c r="BK138" s="50">
        <v>0</v>
      </c>
      <c r="BL138" s="49">
        <v>38</v>
      </c>
      <c r="BM138" s="50">
        <v>100</v>
      </c>
      <c r="BN138" s="49">
        <v>38</v>
      </c>
    </row>
    <row r="139" spans="1:66" ht="15">
      <c r="A139" s="65" t="s">
        <v>278</v>
      </c>
      <c r="B139" s="65" t="s">
        <v>368</v>
      </c>
      <c r="C139" s="66" t="s">
        <v>2698</v>
      </c>
      <c r="D139" s="67">
        <v>4</v>
      </c>
      <c r="E139" s="68" t="s">
        <v>132</v>
      </c>
      <c r="F139" s="69">
        <v>30</v>
      </c>
      <c r="G139" s="66"/>
      <c r="H139" s="70"/>
      <c r="I139" s="71"/>
      <c r="J139" s="71"/>
      <c r="K139" s="35" t="s">
        <v>65</v>
      </c>
      <c r="L139" s="78">
        <v>139</v>
      </c>
      <c r="M139" s="78"/>
      <c r="N139" s="73"/>
      <c r="O139" s="80" t="s">
        <v>382</v>
      </c>
      <c r="P139" s="82">
        <v>44460.80021990741</v>
      </c>
      <c r="Q139" s="80" t="s">
        <v>423</v>
      </c>
      <c r="R139" s="83" t="str">
        <f>HYPERLINK("https://www.jornada.com.mx/notas/2021/09/21/estados/inm-envia-por-avion-a-120-haitianos-a-chiapas-desde-coahuila/")</f>
        <v>https://www.jornada.com.mx/notas/2021/09/21/estados/inm-envia-por-avion-a-120-haitianos-a-chiapas-desde-coahuila/</v>
      </c>
      <c r="S139" s="80" t="s">
        <v>451</v>
      </c>
      <c r="T139" s="85" t="s">
        <v>496</v>
      </c>
      <c r="U139" s="80"/>
      <c r="V139" s="83" t="str">
        <f>HYPERLINK("https://pbs.twimg.com/profile_images/829554306554671105/BK3Ns23e_normal.jpg")</f>
        <v>https://pbs.twimg.com/profile_images/829554306554671105/BK3Ns23e_normal.jpg</v>
      </c>
      <c r="W139" s="82">
        <v>44460.80021990741</v>
      </c>
      <c r="X139" s="88">
        <v>44460</v>
      </c>
      <c r="Y139" s="85" t="s">
        <v>598</v>
      </c>
      <c r="Z139" s="83" t="str">
        <f>HYPERLINK("https://twitter.com/artemioac/status/1440393471257288706")</f>
        <v>https://twitter.com/artemioac/status/1440393471257288706</v>
      </c>
      <c r="AA139" s="80"/>
      <c r="AB139" s="80"/>
      <c r="AC139" s="85" t="s">
        <v>771</v>
      </c>
      <c r="AD139" s="80"/>
      <c r="AE139" s="80" t="b">
        <v>0</v>
      </c>
      <c r="AF139" s="80">
        <v>0</v>
      </c>
      <c r="AG139" s="85" t="s">
        <v>871</v>
      </c>
      <c r="AH139" s="80" t="b">
        <v>0</v>
      </c>
      <c r="AI139" s="80" t="s">
        <v>882</v>
      </c>
      <c r="AJ139" s="80"/>
      <c r="AK139" s="85" t="s">
        <v>871</v>
      </c>
      <c r="AL139" s="80" t="b">
        <v>0</v>
      </c>
      <c r="AM139" s="80">
        <v>6</v>
      </c>
      <c r="AN139" s="85" t="s">
        <v>811</v>
      </c>
      <c r="AO139" s="85" t="s">
        <v>890</v>
      </c>
      <c r="AP139" s="80" t="b">
        <v>0</v>
      </c>
      <c r="AQ139" s="85" t="s">
        <v>811</v>
      </c>
      <c r="AR139" s="80" t="s">
        <v>178</v>
      </c>
      <c r="AS139" s="80">
        <v>0</v>
      </c>
      <c r="AT139" s="80">
        <v>0</v>
      </c>
      <c r="AU139" s="80"/>
      <c r="AV139" s="80"/>
      <c r="AW139" s="80"/>
      <c r="AX139" s="80"/>
      <c r="AY139" s="80"/>
      <c r="AZ139" s="80"/>
      <c r="BA139" s="80"/>
      <c r="BB139" s="80"/>
      <c r="BC139">
        <v>1</v>
      </c>
      <c r="BD139" s="79" t="str">
        <f>REPLACE(INDEX(GroupVertices[Group],MATCH(Edges[[#This Row],[Vertex 1]],GroupVertices[Vertex],0)),1,1,"")</f>
        <v>2</v>
      </c>
      <c r="BE139" s="79" t="str">
        <f>REPLACE(INDEX(GroupVertices[Group],MATCH(Edges[[#This Row],[Vertex 2]],GroupVertices[Vertex],0)),1,1,"")</f>
        <v>2</v>
      </c>
      <c r="BF139" s="49"/>
      <c r="BG139" s="50"/>
      <c r="BH139" s="49"/>
      <c r="BI139" s="50"/>
      <c r="BJ139" s="49"/>
      <c r="BK139" s="50"/>
      <c r="BL139" s="49"/>
      <c r="BM139" s="50"/>
      <c r="BN139" s="49"/>
    </row>
    <row r="140" spans="1:66" ht="15">
      <c r="A140" s="65" t="s">
        <v>278</v>
      </c>
      <c r="B140" s="65" t="s">
        <v>314</v>
      </c>
      <c r="C140" s="66" t="s">
        <v>2698</v>
      </c>
      <c r="D140" s="67">
        <v>4</v>
      </c>
      <c r="E140" s="68" t="s">
        <v>132</v>
      </c>
      <c r="F140" s="69">
        <v>30</v>
      </c>
      <c r="G140" s="66"/>
      <c r="H140" s="70"/>
      <c r="I140" s="71"/>
      <c r="J140" s="71"/>
      <c r="K140" s="35" t="s">
        <v>65</v>
      </c>
      <c r="L140" s="78">
        <v>140</v>
      </c>
      <c r="M140" s="78"/>
      <c r="N140" s="73"/>
      <c r="O140" s="80" t="s">
        <v>383</v>
      </c>
      <c r="P140" s="82">
        <v>44460.80021990741</v>
      </c>
      <c r="Q140" s="80" t="s">
        <v>423</v>
      </c>
      <c r="R140" s="83" t="str">
        <f>HYPERLINK("https://www.jornada.com.mx/notas/2021/09/21/estados/inm-envia-por-avion-a-120-haitianos-a-chiapas-desde-coahuila/")</f>
        <v>https://www.jornada.com.mx/notas/2021/09/21/estados/inm-envia-por-avion-a-120-haitianos-a-chiapas-desde-coahuila/</v>
      </c>
      <c r="S140" s="80" t="s">
        <v>451</v>
      </c>
      <c r="T140" s="85" t="s">
        <v>496</v>
      </c>
      <c r="U140" s="80"/>
      <c r="V140" s="83" t="str">
        <f>HYPERLINK("https://pbs.twimg.com/profile_images/829554306554671105/BK3Ns23e_normal.jpg")</f>
        <v>https://pbs.twimg.com/profile_images/829554306554671105/BK3Ns23e_normal.jpg</v>
      </c>
      <c r="W140" s="82">
        <v>44460.80021990741</v>
      </c>
      <c r="X140" s="88">
        <v>44460</v>
      </c>
      <c r="Y140" s="85" t="s">
        <v>598</v>
      </c>
      <c r="Z140" s="83" t="str">
        <f>HYPERLINK("https://twitter.com/artemioac/status/1440393471257288706")</f>
        <v>https://twitter.com/artemioac/status/1440393471257288706</v>
      </c>
      <c r="AA140" s="80"/>
      <c r="AB140" s="80"/>
      <c r="AC140" s="85" t="s">
        <v>771</v>
      </c>
      <c r="AD140" s="80"/>
      <c r="AE140" s="80" t="b">
        <v>0</v>
      </c>
      <c r="AF140" s="80">
        <v>0</v>
      </c>
      <c r="AG140" s="85" t="s">
        <v>871</v>
      </c>
      <c r="AH140" s="80" t="b">
        <v>0</v>
      </c>
      <c r="AI140" s="80" t="s">
        <v>882</v>
      </c>
      <c r="AJ140" s="80"/>
      <c r="AK140" s="85" t="s">
        <v>871</v>
      </c>
      <c r="AL140" s="80" t="b">
        <v>0</v>
      </c>
      <c r="AM140" s="80">
        <v>6</v>
      </c>
      <c r="AN140" s="85" t="s">
        <v>811</v>
      </c>
      <c r="AO140" s="85" t="s">
        <v>890</v>
      </c>
      <c r="AP140" s="80" t="b">
        <v>0</v>
      </c>
      <c r="AQ140" s="85" t="s">
        <v>811</v>
      </c>
      <c r="AR140" s="80" t="s">
        <v>178</v>
      </c>
      <c r="AS140" s="80">
        <v>0</v>
      </c>
      <c r="AT140" s="80">
        <v>0</v>
      </c>
      <c r="AU140" s="80"/>
      <c r="AV140" s="80"/>
      <c r="AW140" s="80"/>
      <c r="AX140" s="80"/>
      <c r="AY140" s="80"/>
      <c r="AZ140" s="80"/>
      <c r="BA140" s="80"/>
      <c r="BB140" s="80"/>
      <c r="BC140">
        <v>1</v>
      </c>
      <c r="BD140" s="79" t="str">
        <f>REPLACE(INDEX(GroupVertices[Group],MATCH(Edges[[#This Row],[Vertex 1]],GroupVertices[Vertex],0)),1,1,"")</f>
        <v>2</v>
      </c>
      <c r="BE140" s="79" t="str">
        <f>REPLACE(INDEX(GroupVertices[Group],MATCH(Edges[[#This Row],[Vertex 2]],GroupVertices[Vertex],0)),1,1,"")</f>
        <v>2</v>
      </c>
      <c r="BF140" s="49">
        <v>0</v>
      </c>
      <c r="BG140" s="50">
        <v>0</v>
      </c>
      <c r="BH140" s="49">
        <v>0</v>
      </c>
      <c r="BI140" s="50">
        <v>0</v>
      </c>
      <c r="BJ140" s="49">
        <v>0</v>
      </c>
      <c r="BK140" s="50">
        <v>0</v>
      </c>
      <c r="BL140" s="49">
        <v>38</v>
      </c>
      <c r="BM140" s="50">
        <v>100</v>
      </c>
      <c r="BN140" s="49">
        <v>38</v>
      </c>
    </row>
    <row r="141" spans="1:66" ht="15">
      <c r="A141" s="65" t="s">
        <v>279</v>
      </c>
      <c r="B141" s="65" t="s">
        <v>269</v>
      </c>
      <c r="C141" s="66" t="s">
        <v>2699</v>
      </c>
      <c r="D141" s="67">
        <v>10</v>
      </c>
      <c r="E141" s="68" t="s">
        <v>132</v>
      </c>
      <c r="F141" s="69">
        <v>10</v>
      </c>
      <c r="G141" s="66"/>
      <c r="H141" s="70"/>
      <c r="I141" s="71"/>
      <c r="J141" s="71"/>
      <c r="K141" s="35" t="s">
        <v>65</v>
      </c>
      <c r="L141" s="78">
        <v>141</v>
      </c>
      <c r="M141" s="78"/>
      <c r="N141" s="73"/>
      <c r="O141" s="80" t="s">
        <v>383</v>
      </c>
      <c r="P141" s="82">
        <v>44456.56652777778</v>
      </c>
      <c r="Q141" s="80" t="s">
        <v>389</v>
      </c>
      <c r="R141" s="83" t="str">
        <f>HYPERLINK("https://www.diariodelsur.com.mx/local/activa-guardia-nacional-busqueda-de-migrantes-en-taxis-7222717.html")</f>
        <v>https://www.diariodelsur.com.mx/local/activa-guardia-nacional-busqueda-de-migrantes-en-taxis-7222717.html</v>
      </c>
      <c r="S141" s="80" t="s">
        <v>451</v>
      </c>
      <c r="T141" s="85" t="s">
        <v>470</v>
      </c>
      <c r="U141" s="80"/>
      <c r="V141" s="83" t="str">
        <f>HYPERLINK("https://pbs.twimg.com/profile_images/3482387200/56210e7c0dec246575b9c9b373fcd599_normal.jpeg")</f>
        <v>https://pbs.twimg.com/profile_images/3482387200/56210e7c0dec246575b9c9b373fcd599_normal.jpeg</v>
      </c>
      <c r="W141" s="82">
        <v>44456.56652777778</v>
      </c>
      <c r="X141" s="88">
        <v>44456</v>
      </c>
      <c r="Y141" s="85" t="s">
        <v>599</v>
      </c>
      <c r="Z141" s="83" t="str">
        <f>HYPERLINK("https://twitter.com/amerigospot/status/1438859233165025280")</f>
        <v>https://twitter.com/amerigospot/status/1438859233165025280</v>
      </c>
      <c r="AA141" s="80"/>
      <c r="AB141" s="80"/>
      <c r="AC141" s="85" t="s">
        <v>772</v>
      </c>
      <c r="AD141" s="80"/>
      <c r="AE141" s="80" t="b">
        <v>0</v>
      </c>
      <c r="AF141" s="80">
        <v>0</v>
      </c>
      <c r="AG141" s="85" t="s">
        <v>871</v>
      </c>
      <c r="AH141" s="80" t="b">
        <v>0</v>
      </c>
      <c r="AI141" s="80" t="s">
        <v>883</v>
      </c>
      <c r="AJ141" s="80"/>
      <c r="AK141" s="85" t="s">
        <v>871</v>
      </c>
      <c r="AL141" s="80" t="b">
        <v>0</v>
      </c>
      <c r="AM141" s="80">
        <v>4</v>
      </c>
      <c r="AN141" s="85" t="s">
        <v>793</v>
      </c>
      <c r="AO141" s="85" t="s">
        <v>890</v>
      </c>
      <c r="AP141" s="80" t="b">
        <v>0</v>
      </c>
      <c r="AQ141" s="85" t="s">
        <v>793</v>
      </c>
      <c r="AR141" s="80" t="s">
        <v>178</v>
      </c>
      <c r="AS141" s="80">
        <v>0</v>
      </c>
      <c r="AT141" s="80">
        <v>0</v>
      </c>
      <c r="AU141" s="80"/>
      <c r="AV141" s="80"/>
      <c r="AW141" s="80"/>
      <c r="AX141" s="80"/>
      <c r="AY141" s="80"/>
      <c r="AZ141" s="80"/>
      <c r="BA141" s="80"/>
      <c r="BB141" s="80"/>
      <c r="BC141">
        <v>4</v>
      </c>
      <c r="BD141" s="79" t="str">
        <f>REPLACE(INDEX(GroupVertices[Group],MATCH(Edges[[#This Row],[Vertex 1]],GroupVertices[Vertex],0)),1,1,"")</f>
        <v>3</v>
      </c>
      <c r="BE141" s="79" t="str">
        <f>REPLACE(INDEX(GroupVertices[Group],MATCH(Edges[[#This Row],[Vertex 2]],GroupVertices[Vertex],0)),1,1,"")</f>
        <v>3</v>
      </c>
      <c r="BF141" s="49">
        <v>1</v>
      </c>
      <c r="BG141" s="50">
        <v>2.5</v>
      </c>
      <c r="BH141" s="49">
        <v>0</v>
      </c>
      <c r="BI141" s="50">
        <v>0</v>
      </c>
      <c r="BJ141" s="49">
        <v>0</v>
      </c>
      <c r="BK141" s="50">
        <v>0</v>
      </c>
      <c r="BL141" s="49">
        <v>39</v>
      </c>
      <c r="BM141" s="50">
        <v>97.5</v>
      </c>
      <c r="BN141" s="49">
        <v>40</v>
      </c>
    </row>
    <row r="142" spans="1:66" ht="15">
      <c r="A142" s="65" t="s">
        <v>279</v>
      </c>
      <c r="B142" s="65" t="s">
        <v>269</v>
      </c>
      <c r="C142" s="66" t="s">
        <v>2699</v>
      </c>
      <c r="D142" s="67">
        <v>10</v>
      </c>
      <c r="E142" s="68" t="s">
        <v>132</v>
      </c>
      <c r="F142" s="69">
        <v>10</v>
      </c>
      <c r="G142" s="66"/>
      <c r="H142" s="70"/>
      <c r="I142" s="71"/>
      <c r="J142" s="71"/>
      <c r="K142" s="35" t="s">
        <v>65</v>
      </c>
      <c r="L142" s="78">
        <v>142</v>
      </c>
      <c r="M142" s="78"/>
      <c r="N142" s="73"/>
      <c r="O142" s="80" t="s">
        <v>383</v>
      </c>
      <c r="P142" s="82">
        <v>44460.80118055556</v>
      </c>
      <c r="Q142" s="80" t="s">
        <v>420</v>
      </c>
      <c r="R142" s="83" t="str">
        <f>HYPERLINK("https://www.diariodelsur.com.mx/local/migrantes-intentan-salir-de-chiapas-con-rumbo-a-veracruz-7237222.html")</f>
        <v>https://www.diariodelsur.com.mx/local/migrantes-intentan-salir-de-chiapas-con-rumbo-a-veracruz-7237222.html</v>
      </c>
      <c r="S142" s="80" t="s">
        <v>451</v>
      </c>
      <c r="T142" s="85" t="s">
        <v>493</v>
      </c>
      <c r="U142" s="80"/>
      <c r="V142" s="83" t="str">
        <f>HYPERLINK("https://pbs.twimg.com/profile_images/3482387200/56210e7c0dec246575b9c9b373fcd599_normal.jpeg")</f>
        <v>https://pbs.twimg.com/profile_images/3482387200/56210e7c0dec246575b9c9b373fcd599_normal.jpeg</v>
      </c>
      <c r="W142" s="82">
        <v>44460.80118055556</v>
      </c>
      <c r="X142" s="88">
        <v>44460</v>
      </c>
      <c r="Y142" s="85" t="s">
        <v>600</v>
      </c>
      <c r="Z142" s="83" t="str">
        <f>HYPERLINK("https://twitter.com/amerigospot/status/1440393819866894348")</f>
        <v>https://twitter.com/amerigospot/status/1440393819866894348</v>
      </c>
      <c r="AA142" s="80"/>
      <c r="AB142" s="80"/>
      <c r="AC142" s="85" t="s">
        <v>773</v>
      </c>
      <c r="AD142" s="80"/>
      <c r="AE142" s="80" t="b">
        <v>0</v>
      </c>
      <c r="AF142" s="80">
        <v>0</v>
      </c>
      <c r="AG142" s="85" t="s">
        <v>871</v>
      </c>
      <c r="AH142" s="80" t="b">
        <v>0</v>
      </c>
      <c r="AI142" s="80" t="s">
        <v>883</v>
      </c>
      <c r="AJ142" s="80"/>
      <c r="AK142" s="85" t="s">
        <v>871</v>
      </c>
      <c r="AL142" s="80" t="b">
        <v>0</v>
      </c>
      <c r="AM142" s="80">
        <v>3</v>
      </c>
      <c r="AN142" s="85" t="s">
        <v>795</v>
      </c>
      <c r="AO142" s="85" t="s">
        <v>890</v>
      </c>
      <c r="AP142" s="80" t="b">
        <v>0</v>
      </c>
      <c r="AQ142" s="85" t="s">
        <v>795</v>
      </c>
      <c r="AR142" s="80" t="s">
        <v>178</v>
      </c>
      <c r="AS142" s="80">
        <v>0</v>
      </c>
      <c r="AT142" s="80">
        <v>0</v>
      </c>
      <c r="AU142" s="80"/>
      <c r="AV142" s="80"/>
      <c r="AW142" s="80"/>
      <c r="AX142" s="80"/>
      <c r="AY142" s="80"/>
      <c r="AZ142" s="80"/>
      <c r="BA142" s="80"/>
      <c r="BB142" s="80"/>
      <c r="BC142">
        <v>4</v>
      </c>
      <c r="BD142" s="79" t="str">
        <f>REPLACE(INDEX(GroupVertices[Group],MATCH(Edges[[#This Row],[Vertex 1]],GroupVertices[Vertex],0)),1,1,"")</f>
        <v>3</v>
      </c>
      <c r="BE142" s="79" t="str">
        <f>REPLACE(INDEX(GroupVertices[Group],MATCH(Edges[[#This Row],[Vertex 2]],GroupVertices[Vertex],0)),1,1,"")</f>
        <v>3</v>
      </c>
      <c r="BF142" s="49">
        <v>0</v>
      </c>
      <c r="BG142" s="50">
        <v>0</v>
      </c>
      <c r="BH142" s="49">
        <v>0</v>
      </c>
      <c r="BI142" s="50">
        <v>0</v>
      </c>
      <c r="BJ142" s="49">
        <v>0</v>
      </c>
      <c r="BK142" s="50">
        <v>0</v>
      </c>
      <c r="BL142" s="49">
        <v>35</v>
      </c>
      <c r="BM142" s="50">
        <v>100</v>
      </c>
      <c r="BN142" s="49">
        <v>35</v>
      </c>
    </row>
    <row r="143" spans="1:66" ht="15">
      <c r="A143" s="65" t="s">
        <v>280</v>
      </c>
      <c r="B143" s="65" t="s">
        <v>371</v>
      </c>
      <c r="C143" s="66" t="s">
        <v>2698</v>
      </c>
      <c r="D143" s="67">
        <v>4</v>
      </c>
      <c r="E143" s="68" t="s">
        <v>132</v>
      </c>
      <c r="F143" s="69">
        <v>30</v>
      </c>
      <c r="G143" s="66"/>
      <c r="H143" s="70"/>
      <c r="I143" s="71"/>
      <c r="J143" s="71"/>
      <c r="K143" s="35" t="s">
        <v>65</v>
      </c>
      <c r="L143" s="78">
        <v>143</v>
      </c>
      <c r="M143" s="78"/>
      <c r="N143" s="73"/>
      <c r="O143" s="80" t="s">
        <v>384</v>
      </c>
      <c r="P143" s="82">
        <v>44460.817407407405</v>
      </c>
      <c r="Q143" s="80" t="s">
        <v>424</v>
      </c>
      <c r="R143" s="80"/>
      <c r="S143" s="80"/>
      <c r="T143" s="85" t="s">
        <v>497</v>
      </c>
      <c r="U143" s="80"/>
      <c r="V143" s="83" t="str">
        <f>HYPERLINK("https://abs.twimg.com/sticky/default_profile_images/default_profile_normal.png")</f>
        <v>https://abs.twimg.com/sticky/default_profile_images/default_profile_normal.png</v>
      </c>
      <c r="W143" s="82">
        <v>44460.817407407405</v>
      </c>
      <c r="X143" s="88">
        <v>44460</v>
      </c>
      <c r="Y143" s="85" t="s">
        <v>601</v>
      </c>
      <c r="Z143" s="83" t="str">
        <f>HYPERLINK("https://twitter.com/jay00291440/status/1440399700444672001")</f>
        <v>https://twitter.com/jay00291440/status/1440399700444672001</v>
      </c>
      <c r="AA143" s="80"/>
      <c r="AB143" s="80"/>
      <c r="AC143" s="85" t="s">
        <v>774</v>
      </c>
      <c r="AD143" s="80"/>
      <c r="AE143" s="80" t="b">
        <v>0</v>
      </c>
      <c r="AF143" s="80">
        <v>0</v>
      </c>
      <c r="AG143" s="85" t="s">
        <v>876</v>
      </c>
      <c r="AH143" s="80" t="b">
        <v>0</v>
      </c>
      <c r="AI143" s="80" t="s">
        <v>881</v>
      </c>
      <c r="AJ143" s="80"/>
      <c r="AK143" s="85" t="s">
        <v>871</v>
      </c>
      <c r="AL143" s="80" t="b">
        <v>0</v>
      </c>
      <c r="AM143" s="80">
        <v>0</v>
      </c>
      <c r="AN143" s="85" t="s">
        <v>871</v>
      </c>
      <c r="AO143" s="85" t="s">
        <v>889</v>
      </c>
      <c r="AP143" s="80" t="b">
        <v>0</v>
      </c>
      <c r="AQ143" s="85" t="s">
        <v>774</v>
      </c>
      <c r="AR143" s="80" t="s">
        <v>178</v>
      </c>
      <c r="AS143" s="80">
        <v>0</v>
      </c>
      <c r="AT143" s="80">
        <v>0</v>
      </c>
      <c r="AU143" s="80"/>
      <c r="AV143" s="80"/>
      <c r="AW143" s="80"/>
      <c r="AX143" s="80"/>
      <c r="AY143" s="80"/>
      <c r="AZ143" s="80"/>
      <c r="BA143" s="80"/>
      <c r="BB143" s="80"/>
      <c r="BC143">
        <v>1</v>
      </c>
      <c r="BD143" s="79" t="str">
        <f>REPLACE(INDEX(GroupVertices[Group],MATCH(Edges[[#This Row],[Vertex 1]],GroupVertices[Vertex],0)),1,1,"")</f>
        <v>9</v>
      </c>
      <c r="BE143" s="79" t="str">
        <f>REPLACE(INDEX(GroupVertices[Group],MATCH(Edges[[#This Row],[Vertex 2]],GroupVertices[Vertex],0)),1,1,"")</f>
        <v>9</v>
      </c>
      <c r="BF143" s="49"/>
      <c r="BG143" s="50"/>
      <c r="BH143" s="49"/>
      <c r="BI143" s="50"/>
      <c r="BJ143" s="49"/>
      <c r="BK143" s="50"/>
      <c r="BL143" s="49"/>
      <c r="BM143" s="50"/>
      <c r="BN143" s="49"/>
    </row>
    <row r="144" spans="1:66" ht="15">
      <c r="A144" s="65" t="s">
        <v>280</v>
      </c>
      <c r="B144" s="65" t="s">
        <v>372</v>
      </c>
      <c r="C144" s="66" t="s">
        <v>2698</v>
      </c>
      <c r="D144" s="67">
        <v>4</v>
      </c>
      <c r="E144" s="68" t="s">
        <v>132</v>
      </c>
      <c r="F144" s="69">
        <v>30</v>
      </c>
      <c r="G144" s="66"/>
      <c r="H144" s="70"/>
      <c r="I144" s="71"/>
      <c r="J144" s="71"/>
      <c r="K144" s="35" t="s">
        <v>65</v>
      </c>
      <c r="L144" s="78">
        <v>144</v>
      </c>
      <c r="M144" s="78"/>
      <c r="N144" s="73"/>
      <c r="O144" s="80" t="s">
        <v>384</v>
      </c>
      <c r="P144" s="82">
        <v>44460.817407407405</v>
      </c>
      <c r="Q144" s="80" t="s">
        <v>424</v>
      </c>
      <c r="R144" s="80"/>
      <c r="S144" s="80"/>
      <c r="T144" s="85" t="s">
        <v>497</v>
      </c>
      <c r="U144" s="80"/>
      <c r="V144" s="83" t="str">
        <f>HYPERLINK("https://abs.twimg.com/sticky/default_profile_images/default_profile_normal.png")</f>
        <v>https://abs.twimg.com/sticky/default_profile_images/default_profile_normal.png</v>
      </c>
      <c r="W144" s="82">
        <v>44460.817407407405</v>
      </c>
      <c r="X144" s="88">
        <v>44460</v>
      </c>
      <c r="Y144" s="85" t="s">
        <v>601</v>
      </c>
      <c r="Z144" s="83" t="str">
        <f>HYPERLINK("https://twitter.com/jay00291440/status/1440399700444672001")</f>
        <v>https://twitter.com/jay00291440/status/1440399700444672001</v>
      </c>
      <c r="AA144" s="80"/>
      <c r="AB144" s="80"/>
      <c r="AC144" s="85" t="s">
        <v>774</v>
      </c>
      <c r="AD144" s="80"/>
      <c r="AE144" s="80" t="b">
        <v>0</v>
      </c>
      <c r="AF144" s="80">
        <v>0</v>
      </c>
      <c r="AG144" s="85" t="s">
        <v>876</v>
      </c>
      <c r="AH144" s="80" t="b">
        <v>0</v>
      </c>
      <c r="AI144" s="80" t="s">
        <v>881</v>
      </c>
      <c r="AJ144" s="80"/>
      <c r="AK144" s="85" t="s">
        <v>871</v>
      </c>
      <c r="AL144" s="80" t="b">
        <v>0</v>
      </c>
      <c r="AM144" s="80">
        <v>0</v>
      </c>
      <c r="AN144" s="85" t="s">
        <v>871</v>
      </c>
      <c r="AO144" s="85" t="s">
        <v>889</v>
      </c>
      <c r="AP144" s="80" t="b">
        <v>0</v>
      </c>
      <c r="AQ144" s="85" t="s">
        <v>774</v>
      </c>
      <c r="AR144" s="80" t="s">
        <v>178</v>
      </c>
      <c r="AS144" s="80">
        <v>0</v>
      </c>
      <c r="AT144" s="80">
        <v>0</v>
      </c>
      <c r="AU144" s="80"/>
      <c r="AV144" s="80"/>
      <c r="AW144" s="80"/>
      <c r="AX144" s="80"/>
      <c r="AY144" s="80"/>
      <c r="AZ144" s="80"/>
      <c r="BA144" s="80"/>
      <c r="BB144" s="80"/>
      <c r="BC144">
        <v>1</v>
      </c>
      <c r="BD144" s="79" t="str">
        <f>REPLACE(INDEX(GroupVertices[Group],MATCH(Edges[[#This Row],[Vertex 1]],GroupVertices[Vertex],0)),1,1,"")</f>
        <v>9</v>
      </c>
      <c r="BE144" s="79" t="str">
        <f>REPLACE(INDEX(GroupVertices[Group],MATCH(Edges[[#This Row],[Vertex 2]],GroupVertices[Vertex],0)),1,1,"")</f>
        <v>9</v>
      </c>
      <c r="BF144" s="49"/>
      <c r="BG144" s="50"/>
      <c r="BH144" s="49"/>
      <c r="BI144" s="50"/>
      <c r="BJ144" s="49"/>
      <c r="BK144" s="50"/>
      <c r="BL144" s="49"/>
      <c r="BM144" s="50"/>
      <c r="BN144" s="49"/>
    </row>
    <row r="145" spans="1:66" ht="15">
      <c r="A145" s="65" t="s">
        <v>280</v>
      </c>
      <c r="B145" s="65" t="s">
        <v>373</v>
      </c>
      <c r="C145" s="66" t="s">
        <v>2698</v>
      </c>
      <c r="D145" s="67">
        <v>4</v>
      </c>
      <c r="E145" s="68" t="s">
        <v>132</v>
      </c>
      <c r="F145" s="69">
        <v>30</v>
      </c>
      <c r="G145" s="66"/>
      <c r="H145" s="70"/>
      <c r="I145" s="71"/>
      <c r="J145" s="71"/>
      <c r="K145" s="35" t="s">
        <v>65</v>
      </c>
      <c r="L145" s="78">
        <v>145</v>
      </c>
      <c r="M145" s="78"/>
      <c r="N145" s="73"/>
      <c r="O145" s="80" t="s">
        <v>384</v>
      </c>
      <c r="P145" s="82">
        <v>44460.817407407405</v>
      </c>
      <c r="Q145" s="80" t="s">
        <v>424</v>
      </c>
      <c r="R145" s="80"/>
      <c r="S145" s="80"/>
      <c r="T145" s="85" t="s">
        <v>497</v>
      </c>
      <c r="U145" s="80"/>
      <c r="V145" s="83" t="str">
        <f>HYPERLINK("https://abs.twimg.com/sticky/default_profile_images/default_profile_normal.png")</f>
        <v>https://abs.twimg.com/sticky/default_profile_images/default_profile_normal.png</v>
      </c>
      <c r="W145" s="82">
        <v>44460.817407407405</v>
      </c>
      <c r="X145" s="88">
        <v>44460</v>
      </c>
      <c r="Y145" s="85" t="s">
        <v>601</v>
      </c>
      <c r="Z145" s="83" t="str">
        <f>HYPERLINK("https://twitter.com/jay00291440/status/1440399700444672001")</f>
        <v>https://twitter.com/jay00291440/status/1440399700444672001</v>
      </c>
      <c r="AA145" s="80"/>
      <c r="AB145" s="80"/>
      <c r="AC145" s="85" t="s">
        <v>774</v>
      </c>
      <c r="AD145" s="80"/>
      <c r="AE145" s="80" t="b">
        <v>0</v>
      </c>
      <c r="AF145" s="80">
        <v>0</v>
      </c>
      <c r="AG145" s="85" t="s">
        <v>876</v>
      </c>
      <c r="AH145" s="80" t="b">
        <v>0</v>
      </c>
      <c r="AI145" s="80" t="s">
        <v>881</v>
      </c>
      <c r="AJ145" s="80"/>
      <c r="AK145" s="85" t="s">
        <v>871</v>
      </c>
      <c r="AL145" s="80" t="b">
        <v>0</v>
      </c>
      <c r="AM145" s="80">
        <v>0</v>
      </c>
      <c r="AN145" s="85" t="s">
        <v>871</v>
      </c>
      <c r="AO145" s="85" t="s">
        <v>889</v>
      </c>
      <c r="AP145" s="80" t="b">
        <v>0</v>
      </c>
      <c r="AQ145" s="85" t="s">
        <v>774</v>
      </c>
      <c r="AR145" s="80" t="s">
        <v>178</v>
      </c>
      <c r="AS145" s="80">
        <v>0</v>
      </c>
      <c r="AT145" s="80">
        <v>0</v>
      </c>
      <c r="AU145" s="80"/>
      <c r="AV145" s="80"/>
      <c r="AW145" s="80"/>
      <c r="AX145" s="80"/>
      <c r="AY145" s="80"/>
      <c r="AZ145" s="80"/>
      <c r="BA145" s="80"/>
      <c r="BB145" s="80"/>
      <c r="BC145">
        <v>1</v>
      </c>
      <c r="BD145" s="79" t="str">
        <f>REPLACE(INDEX(GroupVertices[Group],MATCH(Edges[[#This Row],[Vertex 1]],GroupVertices[Vertex],0)),1,1,"")</f>
        <v>9</v>
      </c>
      <c r="BE145" s="79" t="str">
        <f>REPLACE(INDEX(GroupVertices[Group],MATCH(Edges[[#This Row],[Vertex 2]],GroupVertices[Vertex],0)),1,1,"")</f>
        <v>9</v>
      </c>
      <c r="BF145" s="49"/>
      <c r="BG145" s="50"/>
      <c r="BH145" s="49"/>
      <c r="BI145" s="50"/>
      <c r="BJ145" s="49"/>
      <c r="BK145" s="50"/>
      <c r="BL145" s="49"/>
      <c r="BM145" s="50"/>
      <c r="BN145" s="49"/>
    </row>
    <row r="146" spans="1:66" ht="15">
      <c r="A146" s="65" t="s">
        <v>280</v>
      </c>
      <c r="B146" s="65" t="s">
        <v>374</v>
      </c>
      <c r="C146" s="66" t="s">
        <v>2698</v>
      </c>
      <c r="D146" s="67">
        <v>4</v>
      </c>
      <c r="E146" s="68" t="s">
        <v>132</v>
      </c>
      <c r="F146" s="69">
        <v>30</v>
      </c>
      <c r="G146" s="66"/>
      <c r="H146" s="70"/>
      <c r="I146" s="71"/>
      <c r="J146" s="71"/>
      <c r="K146" s="35" t="s">
        <v>65</v>
      </c>
      <c r="L146" s="78">
        <v>146</v>
      </c>
      <c r="M146" s="78"/>
      <c r="N146" s="73"/>
      <c r="O146" s="80" t="s">
        <v>384</v>
      </c>
      <c r="P146" s="82">
        <v>44460.817407407405</v>
      </c>
      <c r="Q146" s="80" t="s">
        <v>424</v>
      </c>
      <c r="R146" s="80"/>
      <c r="S146" s="80"/>
      <c r="T146" s="85" t="s">
        <v>497</v>
      </c>
      <c r="U146" s="80"/>
      <c r="V146" s="83" t="str">
        <f>HYPERLINK("https://abs.twimg.com/sticky/default_profile_images/default_profile_normal.png")</f>
        <v>https://abs.twimg.com/sticky/default_profile_images/default_profile_normal.png</v>
      </c>
      <c r="W146" s="82">
        <v>44460.817407407405</v>
      </c>
      <c r="X146" s="88">
        <v>44460</v>
      </c>
      <c r="Y146" s="85" t="s">
        <v>601</v>
      </c>
      <c r="Z146" s="83" t="str">
        <f>HYPERLINK("https://twitter.com/jay00291440/status/1440399700444672001")</f>
        <v>https://twitter.com/jay00291440/status/1440399700444672001</v>
      </c>
      <c r="AA146" s="80"/>
      <c r="AB146" s="80"/>
      <c r="AC146" s="85" t="s">
        <v>774</v>
      </c>
      <c r="AD146" s="80"/>
      <c r="AE146" s="80" t="b">
        <v>0</v>
      </c>
      <c r="AF146" s="80">
        <v>0</v>
      </c>
      <c r="AG146" s="85" t="s">
        <v>876</v>
      </c>
      <c r="AH146" s="80" t="b">
        <v>0</v>
      </c>
      <c r="AI146" s="80" t="s">
        <v>881</v>
      </c>
      <c r="AJ146" s="80"/>
      <c r="AK146" s="85" t="s">
        <v>871</v>
      </c>
      <c r="AL146" s="80" t="b">
        <v>0</v>
      </c>
      <c r="AM146" s="80">
        <v>0</v>
      </c>
      <c r="AN146" s="85" t="s">
        <v>871</v>
      </c>
      <c r="AO146" s="85" t="s">
        <v>889</v>
      </c>
      <c r="AP146" s="80" t="b">
        <v>0</v>
      </c>
      <c r="AQ146" s="85" t="s">
        <v>774</v>
      </c>
      <c r="AR146" s="80" t="s">
        <v>178</v>
      </c>
      <c r="AS146" s="80">
        <v>0</v>
      </c>
      <c r="AT146" s="80">
        <v>0</v>
      </c>
      <c r="AU146" s="80"/>
      <c r="AV146" s="80"/>
      <c r="AW146" s="80"/>
      <c r="AX146" s="80"/>
      <c r="AY146" s="80"/>
      <c r="AZ146" s="80"/>
      <c r="BA146" s="80"/>
      <c r="BB146" s="80"/>
      <c r="BC146">
        <v>1</v>
      </c>
      <c r="BD146" s="79" t="str">
        <f>REPLACE(INDEX(GroupVertices[Group],MATCH(Edges[[#This Row],[Vertex 1]],GroupVertices[Vertex],0)),1,1,"")</f>
        <v>9</v>
      </c>
      <c r="BE146" s="79" t="str">
        <f>REPLACE(INDEX(GroupVertices[Group],MATCH(Edges[[#This Row],[Vertex 2]],GroupVertices[Vertex],0)),1,1,"")</f>
        <v>9</v>
      </c>
      <c r="BF146" s="49"/>
      <c r="BG146" s="50"/>
      <c r="BH146" s="49"/>
      <c r="BI146" s="50"/>
      <c r="BJ146" s="49"/>
      <c r="BK146" s="50"/>
      <c r="BL146" s="49"/>
      <c r="BM146" s="50"/>
      <c r="BN146" s="49"/>
    </row>
    <row r="147" spans="1:66" ht="15">
      <c r="A147" s="65" t="s">
        <v>280</v>
      </c>
      <c r="B147" s="65" t="s">
        <v>375</v>
      </c>
      <c r="C147" s="66" t="s">
        <v>2698</v>
      </c>
      <c r="D147" s="67">
        <v>4</v>
      </c>
      <c r="E147" s="68" t="s">
        <v>132</v>
      </c>
      <c r="F147" s="69">
        <v>30</v>
      </c>
      <c r="G147" s="66"/>
      <c r="H147" s="70"/>
      <c r="I147" s="71"/>
      <c r="J147" s="71"/>
      <c r="K147" s="35" t="s">
        <v>65</v>
      </c>
      <c r="L147" s="78">
        <v>147</v>
      </c>
      <c r="M147" s="78"/>
      <c r="N147" s="73"/>
      <c r="O147" s="80" t="s">
        <v>385</v>
      </c>
      <c r="P147" s="82">
        <v>44460.817407407405</v>
      </c>
      <c r="Q147" s="80" t="s">
        <v>424</v>
      </c>
      <c r="R147" s="80"/>
      <c r="S147" s="80"/>
      <c r="T147" s="85" t="s">
        <v>497</v>
      </c>
      <c r="U147" s="80"/>
      <c r="V147" s="83" t="str">
        <f>HYPERLINK("https://abs.twimg.com/sticky/default_profile_images/default_profile_normal.png")</f>
        <v>https://abs.twimg.com/sticky/default_profile_images/default_profile_normal.png</v>
      </c>
      <c r="W147" s="82">
        <v>44460.817407407405</v>
      </c>
      <c r="X147" s="88">
        <v>44460</v>
      </c>
      <c r="Y147" s="85" t="s">
        <v>601</v>
      </c>
      <c r="Z147" s="83" t="str">
        <f>HYPERLINK("https://twitter.com/jay00291440/status/1440399700444672001")</f>
        <v>https://twitter.com/jay00291440/status/1440399700444672001</v>
      </c>
      <c r="AA147" s="80"/>
      <c r="AB147" s="80"/>
      <c r="AC147" s="85" t="s">
        <v>774</v>
      </c>
      <c r="AD147" s="80"/>
      <c r="AE147" s="80" t="b">
        <v>0</v>
      </c>
      <c r="AF147" s="80">
        <v>0</v>
      </c>
      <c r="AG147" s="85" t="s">
        <v>876</v>
      </c>
      <c r="AH147" s="80" t="b">
        <v>0</v>
      </c>
      <c r="AI147" s="80" t="s">
        <v>881</v>
      </c>
      <c r="AJ147" s="80"/>
      <c r="AK147" s="85" t="s">
        <v>871</v>
      </c>
      <c r="AL147" s="80" t="b">
        <v>0</v>
      </c>
      <c r="AM147" s="80">
        <v>0</v>
      </c>
      <c r="AN147" s="85" t="s">
        <v>871</v>
      </c>
      <c r="AO147" s="85" t="s">
        <v>889</v>
      </c>
      <c r="AP147" s="80" t="b">
        <v>0</v>
      </c>
      <c r="AQ147" s="85" t="s">
        <v>774</v>
      </c>
      <c r="AR147" s="80" t="s">
        <v>178</v>
      </c>
      <c r="AS147" s="80">
        <v>0</v>
      </c>
      <c r="AT147" s="80">
        <v>0</v>
      </c>
      <c r="AU147" s="80"/>
      <c r="AV147" s="80"/>
      <c r="AW147" s="80"/>
      <c r="AX147" s="80"/>
      <c r="AY147" s="80"/>
      <c r="AZ147" s="80"/>
      <c r="BA147" s="80"/>
      <c r="BB147" s="80"/>
      <c r="BC147">
        <v>1</v>
      </c>
      <c r="BD147" s="79" t="str">
        <f>REPLACE(INDEX(GroupVertices[Group],MATCH(Edges[[#This Row],[Vertex 1]],GroupVertices[Vertex],0)),1,1,"")</f>
        <v>9</v>
      </c>
      <c r="BE147" s="79" t="str">
        <f>REPLACE(INDEX(GroupVertices[Group],MATCH(Edges[[#This Row],[Vertex 2]],GroupVertices[Vertex],0)),1,1,"")</f>
        <v>9</v>
      </c>
      <c r="BF147" s="49">
        <v>0</v>
      </c>
      <c r="BG147" s="50">
        <v>0</v>
      </c>
      <c r="BH147" s="49">
        <v>3</v>
      </c>
      <c r="BI147" s="50">
        <v>8.333333333333334</v>
      </c>
      <c r="BJ147" s="49">
        <v>0</v>
      </c>
      <c r="BK147" s="50">
        <v>0</v>
      </c>
      <c r="BL147" s="49">
        <v>33</v>
      </c>
      <c r="BM147" s="50">
        <v>91.66666666666667</v>
      </c>
      <c r="BN147" s="49">
        <v>36</v>
      </c>
    </row>
    <row r="148" spans="1:66" ht="15">
      <c r="A148" s="65" t="s">
        <v>281</v>
      </c>
      <c r="B148" s="65" t="s">
        <v>332</v>
      </c>
      <c r="C148" s="66" t="s">
        <v>2698</v>
      </c>
      <c r="D148" s="67">
        <v>4</v>
      </c>
      <c r="E148" s="68" t="s">
        <v>132</v>
      </c>
      <c r="F148" s="69">
        <v>30</v>
      </c>
      <c r="G148" s="66"/>
      <c r="H148" s="70"/>
      <c r="I148" s="71"/>
      <c r="J148" s="71"/>
      <c r="K148" s="35" t="s">
        <v>65</v>
      </c>
      <c r="L148" s="78">
        <v>148</v>
      </c>
      <c r="M148" s="78"/>
      <c r="N148" s="73"/>
      <c r="O148" s="80" t="s">
        <v>383</v>
      </c>
      <c r="P148" s="82">
        <v>44460.82400462963</v>
      </c>
      <c r="Q148" s="80" t="s">
        <v>425</v>
      </c>
      <c r="R148" s="80"/>
      <c r="S148" s="80"/>
      <c r="T148" s="85" t="s">
        <v>498</v>
      </c>
      <c r="U148" s="83" t="str">
        <f>HYPERLINK("https://pbs.twimg.com/media/E_1U1pPVEAImP5O.jpg")</f>
        <v>https://pbs.twimg.com/media/E_1U1pPVEAImP5O.jpg</v>
      </c>
      <c r="V148" s="83" t="str">
        <f>HYPERLINK("https://pbs.twimg.com/media/E_1U1pPVEAImP5O.jpg")</f>
        <v>https://pbs.twimg.com/media/E_1U1pPVEAImP5O.jpg</v>
      </c>
      <c r="W148" s="82">
        <v>44460.82400462963</v>
      </c>
      <c r="X148" s="88">
        <v>44460</v>
      </c>
      <c r="Y148" s="85" t="s">
        <v>602</v>
      </c>
      <c r="Z148" s="83" t="str">
        <f>HYPERLINK("https://twitter.com/irvin_212/status/1440402092129017859")</f>
        <v>https://twitter.com/irvin_212/status/1440402092129017859</v>
      </c>
      <c r="AA148" s="80"/>
      <c r="AB148" s="80"/>
      <c r="AC148" s="85" t="s">
        <v>775</v>
      </c>
      <c r="AD148" s="80"/>
      <c r="AE148" s="80" t="b">
        <v>0</v>
      </c>
      <c r="AF148" s="80">
        <v>0</v>
      </c>
      <c r="AG148" s="85" t="s">
        <v>871</v>
      </c>
      <c r="AH148" s="80" t="b">
        <v>0</v>
      </c>
      <c r="AI148" s="80" t="s">
        <v>882</v>
      </c>
      <c r="AJ148" s="80"/>
      <c r="AK148" s="85" t="s">
        <v>871</v>
      </c>
      <c r="AL148" s="80" t="b">
        <v>0</v>
      </c>
      <c r="AM148" s="80">
        <v>36</v>
      </c>
      <c r="AN148" s="85" t="s">
        <v>830</v>
      </c>
      <c r="AO148" s="85" t="s">
        <v>890</v>
      </c>
      <c r="AP148" s="80" t="b">
        <v>0</v>
      </c>
      <c r="AQ148" s="85" t="s">
        <v>830</v>
      </c>
      <c r="AR148" s="80" t="s">
        <v>178</v>
      </c>
      <c r="AS148" s="80">
        <v>0</v>
      </c>
      <c r="AT148" s="80">
        <v>0</v>
      </c>
      <c r="AU148" s="80"/>
      <c r="AV148" s="80"/>
      <c r="AW148" s="80"/>
      <c r="AX148" s="80"/>
      <c r="AY148" s="80"/>
      <c r="AZ148" s="80"/>
      <c r="BA148" s="80"/>
      <c r="BB148" s="80"/>
      <c r="BC148">
        <v>1</v>
      </c>
      <c r="BD148" s="79" t="str">
        <f>REPLACE(INDEX(GroupVertices[Group],MATCH(Edges[[#This Row],[Vertex 1]],GroupVertices[Vertex],0)),1,1,"")</f>
        <v>1</v>
      </c>
      <c r="BE148" s="79" t="str">
        <f>REPLACE(INDEX(GroupVertices[Group],MATCH(Edges[[#This Row],[Vertex 2]],GroupVertices[Vertex],0)),1,1,"")</f>
        <v>1</v>
      </c>
      <c r="BF148" s="49">
        <v>0</v>
      </c>
      <c r="BG148" s="50">
        <v>0</v>
      </c>
      <c r="BH148" s="49">
        <v>0</v>
      </c>
      <c r="BI148" s="50">
        <v>0</v>
      </c>
      <c r="BJ148" s="49">
        <v>0</v>
      </c>
      <c r="BK148" s="50">
        <v>0</v>
      </c>
      <c r="BL148" s="49">
        <v>38</v>
      </c>
      <c r="BM148" s="50">
        <v>100</v>
      </c>
      <c r="BN148" s="49">
        <v>38</v>
      </c>
    </row>
    <row r="149" spans="1:66" ht="15">
      <c r="A149" s="65" t="s">
        <v>282</v>
      </c>
      <c r="B149" s="65" t="s">
        <v>376</v>
      </c>
      <c r="C149" s="66" t="s">
        <v>2698</v>
      </c>
      <c r="D149" s="67">
        <v>4</v>
      </c>
      <c r="E149" s="68" t="s">
        <v>132</v>
      </c>
      <c r="F149" s="69">
        <v>30</v>
      </c>
      <c r="G149" s="66"/>
      <c r="H149" s="70"/>
      <c r="I149" s="71"/>
      <c r="J149" s="71"/>
      <c r="K149" s="35" t="s">
        <v>65</v>
      </c>
      <c r="L149" s="78">
        <v>149</v>
      </c>
      <c r="M149" s="78"/>
      <c r="N149" s="73"/>
      <c r="O149" s="80" t="s">
        <v>382</v>
      </c>
      <c r="P149" s="82">
        <v>44460.82434027778</v>
      </c>
      <c r="Q149" s="80" t="s">
        <v>426</v>
      </c>
      <c r="R149" s="80"/>
      <c r="S149" s="80"/>
      <c r="T149" s="85" t="s">
        <v>499</v>
      </c>
      <c r="U149" s="83" t="str">
        <f>HYPERLINK("https://pbs.twimg.com/media/E_1Ow97UUAYV0Is.jpg")</f>
        <v>https://pbs.twimg.com/media/E_1Ow97UUAYV0Is.jpg</v>
      </c>
      <c r="V149" s="83" t="str">
        <f>HYPERLINK("https://pbs.twimg.com/media/E_1Ow97UUAYV0Is.jpg")</f>
        <v>https://pbs.twimg.com/media/E_1Ow97UUAYV0Is.jpg</v>
      </c>
      <c r="W149" s="82">
        <v>44460.82434027778</v>
      </c>
      <c r="X149" s="88">
        <v>44460</v>
      </c>
      <c r="Y149" s="85" t="s">
        <v>603</v>
      </c>
      <c r="Z149" s="83" t="str">
        <f>HYPERLINK("https://twitter.com/prensagiff/status/1440402214074281996")</f>
        <v>https://twitter.com/prensagiff/status/1440402214074281996</v>
      </c>
      <c r="AA149" s="80"/>
      <c r="AB149" s="80"/>
      <c r="AC149" s="85" t="s">
        <v>776</v>
      </c>
      <c r="AD149" s="80"/>
      <c r="AE149" s="80" t="b">
        <v>0</v>
      </c>
      <c r="AF149" s="80">
        <v>0</v>
      </c>
      <c r="AG149" s="85" t="s">
        <v>871</v>
      </c>
      <c r="AH149" s="80" t="b">
        <v>0</v>
      </c>
      <c r="AI149" s="80" t="s">
        <v>882</v>
      </c>
      <c r="AJ149" s="80"/>
      <c r="AK149" s="85" t="s">
        <v>871</v>
      </c>
      <c r="AL149" s="80" t="b">
        <v>0</v>
      </c>
      <c r="AM149" s="80">
        <v>3</v>
      </c>
      <c r="AN149" s="85" t="s">
        <v>857</v>
      </c>
      <c r="AO149" s="85" t="s">
        <v>889</v>
      </c>
      <c r="AP149" s="80" t="b">
        <v>0</v>
      </c>
      <c r="AQ149" s="85" t="s">
        <v>857</v>
      </c>
      <c r="AR149" s="80" t="s">
        <v>178</v>
      </c>
      <c r="AS149" s="80">
        <v>0</v>
      </c>
      <c r="AT149" s="80">
        <v>0</v>
      </c>
      <c r="AU149" s="80"/>
      <c r="AV149" s="80"/>
      <c r="AW149" s="80"/>
      <c r="AX149" s="80"/>
      <c r="AY149" s="80"/>
      <c r="AZ149" s="80"/>
      <c r="BA149" s="80"/>
      <c r="BB149" s="80"/>
      <c r="BC149">
        <v>1</v>
      </c>
      <c r="BD149" s="79" t="str">
        <f>REPLACE(INDEX(GroupVertices[Group],MATCH(Edges[[#This Row],[Vertex 1]],GroupVertices[Vertex],0)),1,1,"")</f>
        <v>7</v>
      </c>
      <c r="BE149" s="79" t="str">
        <f>REPLACE(INDEX(GroupVertices[Group],MATCH(Edges[[#This Row],[Vertex 2]],GroupVertices[Vertex],0)),1,1,"")</f>
        <v>7</v>
      </c>
      <c r="BF149" s="49"/>
      <c r="BG149" s="50"/>
      <c r="BH149" s="49"/>
      <c r="BI149" s="50"/>
      <c r="BJ149" s="49"/>
      <c r="BK149" s="50"/>
      <c r="BL149" s="49"/>
      <c r="BM149" s="50"/>
      <c r="BN149" s="49"/>
    </row>
    <row r="150" spans="1:66" ht="15">
      <c r="A150" s="65" t="s">
        <v>282</v>
      </c>
      <c r="B150" s="65" t="s">
        <v>355</v>
      </c>
      <c r="C150" s="66" t="s">
        <v>2698</v>
      </c>
      <c r="D150" s="67">
        <v>4</v>
      </c>
      <c r="E150" s="68" t="s">
        <v>132</v>
      </c>
      <c r="F150" s="69">
        <v>30</v>
      </c>
      <c r="G150" s="66"/>
      <c r="H150" s="70"/>
      <c r="I150" s="71"/>
      <c r="J150" s="71"/>
      <c r="K150" s="35" t="s">
        <v>65</v>
      </c>
      <c r="L150" s="78">
        <v>150</v>
      </c>
      <c r="M150" s="78"/>
      <c r="N150" s="73"/>
      <c r="O150" s="80" t="s">
        <v>383</v>
      </c>
      <c r="P150" s="82">
        <v>44460.82434027778</v>
      </c>
      <c r="Q150" s="80" t="s">
        <v>426</v>
      </c>
      <c r="R150" s="80"/>
      <c r="S150" s="80"/>
      <c r="T150" s="85" t="s">
        <v>499</v>
      </c>
      <c r="U150" s="83" t="str">
        <f>HYPERLINK("https://pbs.twimg.com/media/E_1Ow97UUAYV0Is.jpg")</f>
        <v>https://pbs.twimg.com/media/E_1Ow97UUAYV0Is.jpg</v>
      </c>
      <c r="V150" s="83" t="str">
        <f>HYPERLINK("https://pbs.twimg.com/media/E_1Ow97UUAYV0Is.jpg")</f>
        <v>https://pbs.twimg.com/media/E_1Ow97UUAYV0Is.jpg</v>
      </c>
      <c r="W150" s="82">
        <v>44460.82434027778</v>
      </c>
      <c r="X150" s="88">
        <v>44460</v>
      </c>
      <c r="Y150" s="85" t="s">
        <v>603</v>
      </c>
      <c r="Z150" s="83" t="str">
        <f>HYPERLINK("https://twitter.com/prensagiff/status/1440402214074281996")</f>
        <v>https://twitter.com/prensagiff/status/1440402214074281996</v>
      </c>
      <c r="AA150" s="80"/>
      <c r="AB150" s="80"/>
      <c r="AC150" s="85" t="s">
        <v>776</v>
      </c>
      <c r="AD150" s="80"/>
      <c r="AE150" s="80" t="b">
        <v>0</v>
      </c>
      <c r="AF150" s="80">
        <v>0</v>
      </c>
      <c r="AG150" s="85" t="s">
        <v>871</v>
      </c>
      <c r="AH150" s="80" t="b">
        <v>0</v>
      </c>
      <c r="AI150" s="80" t="s">
        <v>882</v>
      </c>
      <c r="AJ150" s="80"/>
      <c r="AK150" s="85" t="s">
        <v>871</v>
      </c>
      <c r="AL150" s="80" t="b">
        <v>0</v>
      </c>
      <c r="AM150" s="80">
        <v>3</v>
      </c>
      <c r="AN150" s="85" t="s">
        <v>857</v>
      </c>
      <c r="AO150" s="85" t="s">
        <v>889</v>
      </c>
      <c r="AP150" s="80" t="b">
        <v>0</v>
      </c>
      <c r="AQ150" s="85" t="s">
        <v>857</v>
      </c>
      <c r="AR150" s="80" t="s">
        <v>178</v>
      </c>
      <c r="AS150" s="80">
        <v>0</v>
      </c>
      <c r="AT150" s="80">
        <v>0</v>
      </c>
      <c r="AU150" s="80"/>
      <c r="AV150" s="80"/>
      <c r="AW150" s="80"/>
      <c r="AX150" s="80"/>
      <c r="AY150" s="80"/>
      <c r="AZ150" s="80"/>
      <c r="BA150" s="80"/>
      <c r="BB150" s="80"/>
      <c r="BC150">
        <v>1</v>
      </c>
      <c r="BD150" s="79" t="str">
        <f>REPLACE(INDEX(GroupVertices[Group],MATCH(Edges[[#This Row],[Vertex 1]],GroupVertices[Vertex],0)),1,1,"")</f>
        <v>7</v>
      </c>
      <c r="BE150" s="79" t="str">
        <f>REPLACE(INDEX(GroupVertices[Group],MATCH(Edges[[#This Row],[Vertex 2]],GroupVertices[Vertex],0)),1,1,"")</f>
        <v>7</v>
      </c>
      <c r="BF150" s="49">
        <v>0</v>
      </c>
      <c r="BG150" s="50">
        <v>0</v>
      </c>
      <c r="BH150" s="49">
        <v>0</v>
      </c>
      <c r="BI150" s="50">
        <v>0</v>
      </c>
      <c r="BJ150" s="49">
        <v>0</v>
      </c>
      <c r="BK150" s="50">
        <v>0</v>
      </c>
      <c r="BL150" s="49">
        <v>22</v>
      </c>
      <c r="BM150" s="50">
        <v>100</v>
      </c>
      <c r="BN150" s="49">
        <v>22</v>
      </c>
    </row>
    <row r="151" spans="1:66" ht="15">
      <c r="A151" s="65" t="s">
        <v>283</v>
      </c>
      <c r="B151" s="65" t="s">
        <v>332</v>
      </c>
      <c r="C151" s="66" t="s">
        <v>2698</v>
      </c>
      <c r="D151" s="67">
        <v>4</v>
      </c>
      <c r="E151" s="68" t="s">
        <v>132</v>
      </c>
      <c r="F151" s="69">
        <v>30</v>
      </c>
      <c r="G151" s="66"/>
      <c r="H151" s="70"/>
      <c r="I151" s="71"/>
      <c r="J151" s="71"/>
      <c r="K151" s="35" t="s">
        <v>65</v>
      </c>
      <c r="L151" s="78">
        <v>151</v>
      </c>
      <c r="M151" s="78"/>
      <c r="N151" s="73"/>
      <c r="O151" s="80" t="s">
        <v>383</v>
      </c>
      <c r="P151" s="82">
        <v>44460.82714120371</v>
      </c>
      <c r="Q151" s="80" t="s">
        <v>425</v>
      </c>
      <c r="R151" s="80"/>
      <c r="S151" s="80"/>
      <c r="T151" s="85" t="s">
        <v>498</v>
      </c>
      <c r="U151" s="83" t="str">
        <f>HYPERLINK("https://pbs.twimg.com/media/E_1U1pPVEAImP5O.jpg")</f>
        <v>https://pbs.twimg.com/media/E_1U1pPVEAImP5O.jpg</v>
      </c>
      <c r="V151" s="83" t="str">
        <f>HYPERLINK("https://pbs.twimg.com/media/E_1U1pPVEAImP5O.jpg")</f>
        <v>https://pbs.twimg.com/media/E_1U1pPVEAImP5O.jpg</v>
      </c>
      <c r="W151" s="82">
        <v>44460.82714120371</v>
      </c>
      <c r="X151" s="88">
        <v>44460</v>
      </c>
      <c r="Y151" s="85" t="s">
        <v>604</v>
      </c>
      <c r="Z151" s="83" t="str">
        <f>HYPERLINK("https://twitter.com/est_bian/status/1440403226726043664")</f>
        <v>https://twitter.com/est_bian/status/1440403226726043664</v>
      </c>
      <c r="AA151" s="80"/>
      <c r="AB151" s="80"/>
      <c r="AC151" s="85" t="s">
        <v>777</v>
      </c>
      <c r="AD151" s="80"/>
      <c r="AE151" s="80" t="b">
        <v>0</v>
      </c>
      <c r="AF151" s="80">
        <v>0</v>
      </c>
      <c r="AG151" s="85" t="s">
        <v>871</v>
      </c>
      <c r="AH151" s="80" t="b">
        <v>0</v>
      </c>
      <c r="AI151" s="80" t="s">
        <v>882</v>
      </c>
      <c r="AJ151" s="80"/>
      <c r="AK151" s="85" t="s">
        <v>871</v>
      </c>
      <c r="AL151" s="80" t="b">
        <v>0</v>
      </c>
      <c r="AM151" s="80">
        <v>36</v>
      </c>
      <c r="AN151" s="85" t="s">
        <v>830</v>
      </c>
      <c r="AO151" s="85" t="s">
        <v>890</v>
      </c>
      <c r="AP151" s="80" t="b">
        <v>0</v>
      </c>
      <c r="AQ151" s="85" t="s">
        <v>830</v>
      </c>
      <c r="AR151" s="80" t="s">
        <v>178</v>
      </c>
      <c r="AS151" s="80">
        <v>0</v>
      </c>
      <c r="AT151" s="80">
        <v>0</v>
      </c>
      <c r="AU151" s="80"/>
      <c r="AV151" s="80"/>
      <c r="AW151" s="80"/>
      <c r="AX151" s="80"/>
      <c r="AY151" s="80"/>
      <c r="AZ151" s="80"/>
      <c r="BA151" s="80"/>
      <c r="BB151" s="80"/>
      <c r="BC151">
        <v>1</v>
      </c>
      <c r="BD151" s="79" t="str">
        <f>REPLACE(INDEX(GroupVertices[Group],MATCH(Edges[[#This Row],[Vertex 1]],GroupVertices[Vertex],0)),1,1,"")</f>
        <v>1</v>
      </c>
      <c r="BE151" s="79" t="str">
        <f>REPLACE(INDEX(GroupVertices[Group],MATCH(Edges[[#This Row],[Vertex 2]],GroupVertices[Vertex],0)),1,1,"")</f>
        <v>1</v>
      </c>
      <c r="BF151" s="49">
        <v>0</v>
      </c>
      <c r="BG151" s="50">
        <v>0</v>
      </c>
      <c r="BH151" s="49">
        <v>0</v>
      </c>
      <c r="BI151" s="50">
        <v>0</v>
      </c>
      <c r="BJ151" s="49">
        <v>0</v>
      </c>
      <c r="BK151" s="50">
        <v>0</v>
      </c>
      <c r="BL151" s="49">
        <v>38</v>
      </c>
      <c r="BM151" s="50">
        <v>100</v>
      </c>
      <c r="BN151" s="49">
        <v>38</v>
      </c>
    </row>
    <row r="152" spans="1:66" ht="15">
      <c r="A152" s="65" t="s">
        <v>284</v>
      </c>
      <c r="B152" s="65" t="s">
        <v>332</v>
      </c>
      <c r="C152" s="66" t="s">
        <v>2698</v>
      </c>
      <c r="D152" s="67">
        <v>4</v>
      </c>
      <c r="E152" s="68" t="s">
        <v>132</v>
      </c>
      <c r="F152" s="69">
        <v>30</v>
      </c>
      <c r="G152" s="66"/>
      <c r="H152" s="70"/>
      <c r="I152" s="71"/>
      <c r="J152" s="71"/>
      <c r="K152" s="35" t="s">
        <v>65</v>
      </c>
      <c r="L152" s="78">
        <v>152</v>
      </c>
      <c r="M152" s="78"/>
      <c r="N152" s="73"/>
      <c r="O152" s="80" t="s">
        <v>383</v>
      </c>
      <c r="P152" s="82">
        <v>44460.83299768518</v>
      </c>
      <c r="Q152" s="80" t="s">
        <v>425</v>
      </c>
      <c r="R152" s="80"/>
      <c r="S152" s="80"/>
      <c r="T152" s="85" t="s">
        <v>498</v>
      </c>
      <c r="U152" s="83" t="str">
        <f>HYPERLINK("https://pbs.twimg.com/media/E_1U1pPVEAImP5O.jpg")</f>
        <v>https://pbs.twimg.com/media/E_1U1pPVEAImP5O.jpg</v>
      </c>
      <c r="V152" s="83" t="str">
        <f>HYPERLINK("https://pbs.twimg.com/media/E_1U1pPVEAImP5O.jpg")</f>
        <v>https://pbs.twimg.com/media/E_1U1pPVEAImP5O.jpg</v>
      </c>
      <c r="W152" s="82">
        <v>44460.83299768518</v>
      </c>
      <c r="X152" s="88">
        <v>44460</v>
      </c>
      <c r="Y152" s="85" t="s">
        <v>605</v>
      </c>
      <c r="Z152" s="83" t="str">
        <f>HYPERLINK("https://twitter.com/rebekgonzalez/status/1440405347940716552")</f>
        <v>https://twitter.com/rebekgonzalez/status/1440405347940716552</v>
      </c>
      <c r="AA152" s="80"/>
      <c r="AB152" s="80"/>
      <c r="AC152" s="85" t="s">
        <v>778</v>
      </c>
      <c r="AD152" s="80"/>
      <c r="AE152" s="80" t="b">
        <v>0</v>
      </c>
      <c r="AF152" s="80">
        <v>0</v>
      </c>
      <c r="AG152" s="85" t="s">
        <v>871</v>
      </c>
      <c r="AH152" s="80" t="b">
        <v>0</v>
      </c>
      <c r="AI152" s="80" t="s">
        <v>882</v>
      </c>
      <c r="AJ152" s="80"/>
      <c r="AK152" s="85" t="s">
        <v>871</v>
      </c>
      <c r="AL152" s="80" t="b">
        <v>0</v>
      </c>
      <c r="AM152" s="80">
        <v>36</v>
      </c>
      <c r="AN152" s="85" t="s">
        <v>830</v>
      </c>
      <c r="AO152" s="85" t="s">
        <v>890</v>
      </c>
      <c r="AP152" s="80" t="b">
        <v>0</v>
      </c>
      <c r="AQ152" s="85" t="s">
        <v>830</v>
      </c>
      <c r="AR152" s="80" t="s">
        <v>178</v>
      </c>
      <c r="AS152" s="80">
        <v>0</v>
      </c>
      <c r="AT152" s="80">
        <v>0</v>
      </c>
      <c r="AU152" s="80"/>
      <c r="AV152" s="80"/>
      <c r="AW152" s="80"/>
      <c r="AX152" s="80"/>
      <c r="AY152" s="80"/>
      <c r="AZ152" s="80"/>
      <c r="BA152" s="80"/>
      <c r="BB152" s="80"/>
      <c r="BC152">
        <v>1</v>
      </c>
      <c r="BD152" s="79" t="str">
        <f>REPLACE(INDEX(GroupVertices[Group],MATCH(Edges[[#This Row],[Vertex 1]],GroupVertices[Vertex],0)),1,1,"")</f>
        <v>1</v>
      </c>
      <c r="BE152" s="79" t="str">
        <f>REPLACE(INDEX(GroupVertices[Group],MATCH(Edges[[#This Row],[Vertex 2]],GroupVertices[Vertex],0)),1,1,"")</f>
        <v>1</v>
      </c>
      <c r="BF152" s="49">
        <v>0</v>
      </c>
      <c r="BG152" s="50">
        <v>0</v>
      </c>
      <c r="BH152" s="49">
        <v>0</v>
      </c>
      <c r="BI152" s="50">
        <v>0</v>
      </c>
      <c r="BJ152" s="49">
        <v>0</v>
      </c>
      <c r="BK152" s="50">
        <v>0</v>
      </c>
      <c r="BL152" s="49">
        <v>38</v>
      </c>
      <c r="BM152" s="50">
        <v>100</v>
      </c>
      <c r="BN152" s="49">
        <v>38</v>
      </c>
    </row>
    <row r="153" spans="1:66" ht="15">
      <c r="A153" s="65" t="s">
        <v>285</v>
      </c>
      <c r="B153" s="65" t="s">
        <v>332</v>
      </c>
      <c r="C153" s="66" t="s">
        <v>2698</v>
      </c>
      <c r="D153" s="67">
        <v>4</v>
      </c>
      <c r="E153" s="68" t="s">
        <v>132</v>
      </c>
      <c r="F153" s="69">
        <v>30</v>
      </c>
      <c r="G153" s="66"/>
      <c r="H153" s="70"/>
      <c r="I153" s="71"/>
      <c r="J153" s="71"/>
      <c r="K153" s="35" t="s">
        <v>65</v>
      </c>
      <c r="L153" s="78">
        <v>153</v>
      </c>
      <c r="M153" s="78"/>
      <c r="N153" s="73"/>
      <c r="O153" s="80" t="s">
        <v>383</v>
      </c>
      <c r="P153" s="82">
        <v>44460.833333333336</v>
      </c>
      <c r="Q153" s="80" t="s">
        <v>425</v>
      </c>
      <c r="R153" s="80"/>
      <c r="S153" s="80"/>
      <c r="T153" s="85" t="s">
        <v>498</v>
      </c>
      <c r="U153" s="83" t="str">
        <f>HYPERLINK("https://pbs.twimg.com/media/E_1U1pPVEAImP5O.jpg")</f>
        <v>https://pbs.twimg.com/media/E_1U1pPVEAImP5O.jpg</v>
      </c>
      <c r="V153" s="83" t="str">
        <f>HYPERLINK("https://pbs.twimg.com/media/E_1U1pPVEAImP5O.jpg")</f>
        <v>https://pbs.twimg.com/media/E_1U1pPVEAImP5O.jpg</v>
      </c>
      <c r="W153" s="82">
        <v>44460.833333333336</v>
      </c>
      <c r="X153" s="88">
        <v>44460</v>
      </c>
      <c r="Y153" s="85" t="s">
        <v>606</v>
      </c>
      <c r="Z153" s="83" t="str">
        <f>HYPERLINK("https://twitter.com/jorge_navarro/status/1440405472675127297")</f>
        <v>https://twitter.com/jorge_navarro/status/1440405472675127297</v>
      </c>
      <c r="AA153" s="80"/>
      <c r="AB153" s="80"/>
      <c r="AC153" s="85" t="s">
        <v>779</v>
      </c>
      <c r="AD153" s="80"/>
      <c r="AE153" s="80" t="b">
        <v>0</v>
      </c>
      <c r="AF153" s="80">
        <v>0</v>
      </c>
      <c r="AG153" s="85" t="s">
        <v>871</v>
      </c>
      <c r="AH153" s="80" t="b">
        <v>0</v>
      </c>
      <c r="AI153" s="80" t="s">
        <v>882</v>
      </c>
      <c r="AJ153" s="80"/>
      <c r="AK153" s="85" t="s">
        <v>871</v>
      </c>
      <c r="AL153" s="80" t="b">
        <v>0</v>
      </c>
      <c r="AM153" s="80">
        <v>36</v>
      </c>
      <c r="AN153" s="85" t="s">
        <v>830</v>
      </c>
      <c r="AO153" s="85" t="s">
        <v>889</v>
      </c>
      <c r="AP153" s="80" t="b">
        <v>0</v>
      </c>
      <c r="AQ153" s="85" t="s">
        <v>830</v>
      </c>
      <c r="AR153" s="80" t="s">
        <v>178</v>
      </c>
      <c r="AS153" s="80">
        <v>0</v>
      </c>
      <c r="AT153" s="80">
        <v>0</v>
      </c>
      <c r="AU153" s="80"/>
      <c r="AV153" s="80"/>
      <c r="AW153" s="80"/>
      <c r="AX153" s="80"/>
      <c r="AY153" s="80"/>
      <c r="AZ153" s="80"/>
      <c r="BA153" s="80"/>
      <c r="BB153" s="80"/>
      <c r="BC153">
        <v>1</v>
      </c>
      <c r="BD153" s="79" t="str">
        <f>REPLACE(INDEX(GroupVertices[Group],MATCH(Edges[[#This Row],[Vertex 1]],GroupVertices[Vertex],0)),1,1,"")</f>
        <v>1</v>
      </c>
      <c r="BE153" s="79" t="str">
        <f>REPLACE(INDEX(GroupVertices[Group],MATCH(Edges[[#This Row],[Vertex 2]],GroupVertices[Vertex],0)),1,1,"")</f>
        <v>1</v>
      </c>
      <c r="BF153" s="49">
        <v>0</v>
      </c>
      <c r="BG153" s="50">
        <v>0</v>
      </c>
      <c r="BH153" s="49">
        <v>0</v>
      </c>
      <c r="BI153" s="50">
        <v>0</v>
      </c>
      <c r="BJ153" s="49">
        <v>0</v>
      </c>
      <c r="BK153" s="50">
        <v>0</v>
      </c>
      <c r="BL153" s="49">
        <v>38</v>
      </c>
      <c r="BM153" s="50">
        <v>100</v>
      </c>
      <c r="BN153" s="49">
        <v>38</v>
      </c>
    </row>
    <row r="154" spans="1:66" ht="15">
      <c r="A154" s="65" t="s">
        <v>286</v>
      </c>
      <c r="B154" s="65" t="s">
        <v>332</v>
      </c>
      <c r="C154" s="66" t="s">
        <v>2698</v>
      </c>
      <c r="D154" s="67">
        <v>4</v>
      </c>
      <c r="E154" s="68" t="s">
        <v>132</v>
      </c>
      <c r="F154" s="69">
        <v>30</v>
      </c>
      <c r="G154" s="66"/>
      <c r="H154" s="70"/>
      <c r="I154" s="71"/>
      <c r="J154" s="71"/>
      <c r="K154" s="35" t="s">
        <v>65</v>
      </c>
      <c r="L154" s="78">
        <v>154</v>
      </c>
      <c r="M154" s="78"/>
      <c r="N154" s="73"/>
      <c r="O154" s="80" t="s">
        <v>383</v>
      </c>
      <c r="P154" s="82">
        <v>44460.83443287037</v>
      </c>
      <c r="Q154" s="80" t="s">
        <v>425</v>
      </c>
      <c r="R154" s="80"/>
      <c r="S154" s="80"/>
      <c r="T154" s="85" t="s">
        <v>498</v>
      </c>
      <c r="U154" s="83" t="str">
        <f>HYPERLINK("https://pbs.twimg.com/media/E_1U1pPVEAImP5O.jpg")</f>
        <v>https://pbs.twimg.com/media/E_1U1pPVEAImP5O.jpg</v>
      </c>
      <c r="V154" s="83" t="str">
        <f>HYPERLINK("https://pbs.twimg.com/media/E_1U1pPVEAImP5O.jpg")</f>
        <v>https://pbs.twimg.com/media/E_1U1pPVEAImP5O.jpg</v>
      </c>
      <c r="W154" s="82">
        <v>44460.83443287037</v>
      </c>
      <c r="X154" s="88">
        <v>44460</v>
      </c>
      <c r="Y154" s="85" t="s">
        <v>607</v>
      </c>
      <c r="Z154" s="83" t="str">
        <f>HYPERLINK("https://twitter.com/isela_mr/status/1440405869129134083")</f>
        <v>https://twitter.com/isela_mr/status/1440405869129134083</v>
      </c>
      <c r="AA154" s="80"/>
      <c r="AB154" s="80"/>
      <c r="AC154" s="85" t="s">
        <v>780</v>
      </c>
      <c r="AD154" s="80"/>
      <c r="AE154" s="80" t="b">
        <v>0</v>
      </c>
      <c r="AF154" s="80">
        <v>0</v>
      </c>
      <c r="AG154" s="85" t="s">
        <v>871</v>
      </c>
      <c r="AH154" s="80" t="b">
        <v>0</v>
      </c>
      <c r="AI154" s="80" t="s">
        <v>882</v>
      </c>
      <c r="AJ154" s="80"/>
      <c r="AK154" s="85" t="s">
        <v>871</v>
      </c>
      <c r="AL154" s="80" t="b">
        <v>0</v>
      </c>
      <c r="AM154" s="80">
        <v>36</v>
      </c>
      <c r="AN154" s="85" t="s">
        <v>830</v>
      </c>
      <c r="AO154" s="85" t="s">
        <v>889</v>
      </c>
      <c r="AP154" s="80" t="b">
        <v>0</v>
      </c>
      <c r="AQ154" s="85" t="s">
        <v>830</v>
      </c>
      <c r="AR154" s="80" t="s">
        <v>178</v>
      </c>
      <c r="AS154" s="80">
        <v>0</v>
      </c>
      <c r="AT154" s="80">
        <v>0</v>
      </c>
      <c r="AU154" s="80"/>
      <c r="AV154" s="80"/>
      <c r="AW154" s="80"/>
      <c r="AX154" s="80"/>
      <c r="AY154" s="80"/>
      <c r="AZ154" s="80"/>
      <c r="BA154" s="80"/>
      <c r="BB154" s="80"/>
      <c r="BC154">
        <v>1</v>
      </c>
      <c r="BD154" s="79" t="str">
        <f>REPLACE(INDEX(GroupVertices[Group],MATCH(Edges[[#This Row],[Vertex 1]],GroupVertices[Vertex],0)),1,1,"")</f>
        <v>1</v>
      </c>
      <c r="BE154" s="79" t="str">
        <f>REPLACE(INDEX(GroupVertices[Group],MATCH(Edges[[#This Row],[Vertex 2]],GroupVertices[Vertex],0)),1,1,"")</f>
        <v>1</v>
      </c>
      <c r="BF154" s="49">
        <v>0</v>
      </c>
      <c r="BG154" s="50">
        <v>0</v>
      </c>
      <c r="BH154" s="49">
        <v>0</v>
      </c>
      <c r="BI154" s="50">
        <v>0</v>
      </c>
      <c r="BJ154" s="49">
        <v>0</v>
      </c>
      <c r="BK154" s="50">
        <v>0</v>
      </c>
      <c r="BL154" s="49">
        <v>38</v>
      </c>
      <c r="BM154" s="50">
        <v>100</v>
      </c>
      <c r="BN154" s="49">
        <v>38</v>
      </c>
    </row>
    <row r="155" spans="1:66" ht="15">
      <c r="A155" s="65" t="s">
        <v>287</v>
      </c>
      <c r="B155" s="65" t="s">
        <v>332</v>
      </c>
      <c r="C155" s="66" t="s">
        <v>2698</v>
      </c>
      <c r="D155" s="67">
        <v>4</v>
      </c>
      <c r="E155" s="68" t="s">
        <v>132</v>
      </c>
      <c r="F155" s="69">
        <v>30</v>
      </c>
      <c r="G155" s="66"/>
      <c r="H155" s="70"/>
      <c r="I155" s="71"/>
      <c r="J155" s="71"/>
      <c r="K155" s="35" t="s">
        <v>65</v>
      </c>
      <c r="L155" s="78">
        <v>155</v>
      </c>
      <c r="M155" s="78"/>
      <c r="N155" s="73"/>
      <c r="O155" s="80" t="s">
        <v>383</v>
      </c>
      <c r="P155" s="82">
        <v>44460.83493055555</v>
      </c>
      <c r="Q155" s="80" t="s">
        <v>425</v>
      </c>
      <c r="R155" s="80"/>
      <c r="S155" s="80"/>
      <c r="T155" s="85" t="s">
        <v>498</v>
      </c>
      <c r="U155" s="83" t="str">
        <f>HYPERLINK("https://pbs.twimg.com/media/E_1U1pPVEAImP5O.jpg")</f>
        <v>https://pbs.twimg.com/media/E_1U1pPVEAImP5O.jpg</v>
      </c>
      <c r="V155" s="83" t="str">
        <f>HYPERLINK("https://pbs.twimg.com/media/E_1U1pPVEAImP5O.jpg")</f>
        <v>https://pbs.twimg.com/media/E_1U1pPVEAImP5O.jpg</v>
      </c>
      <c r="W155" s="82">
        <v>44460.83493055555</v>
      </c>
      <c r="X155" s="88">
        <v>44460</v>
      </c>
      <c r="Y155" s="85" t="s">
        <v>608</v>
      </c>
      <c r="Z155" s="83" t="str">
        <f>HYPERLINK("https://twitter.com/acquadragon/status/1440406051233226753")</f>
        <v>https://twitter.com/acquadragon/status/1440406051233226753</v>
      </c>
      <c r="AA155" s="80"/>
      <c r="AB155" s="80"/>
      <c r="AC155" s="85" t="s">
        <v>781</v>
      </c>
      <c r="AD155" s="80"/>
      <c r="AE155" s="80" t="b">
        <v>0</v>
      </c>
      <c r="AF155" s="80">
        <v>0</v>
      </c>
      <c r="AG155" s="85" t="s">
        <v>871</v>
      </c>
      <c r="AH155" s="80" t="b">
        <v>0</v>
      </c>
      <c r="AI155" s="80" t="s">
        <v>882</v>
      </c>
      <c r="AJ155" s="80"/>
      <c r="AK155" s="85" t="s">
        <v>871</v>
      </c>
      <c r="AL155" s="80" t="b">
        <v>0</v>
      </c>
      <c r="AM155" s="80">
        <v>36</v>
      </c>
      <c r="AN155" s="85" t="s">
        <v>830</v>
      </c>
      <c r="AO155" s="85" t="s">
        <v>890</v>
      </c>
      <c r="AP155" s="80" t="b">
        <v>0</v>
      </c>
      <c r="AQ155" s="85" t="s">
        <v>830</v>
      </c>
      <c r="AR155" s="80" t="s">
        <v>178</v>
      </c>
      <c r="AS155" s="80">
        <v>0</v>
      </c>
      <c r="AT155" s="80">
        <v>0</v>
      </c>
      <c r="AU155" s="80"/>
      <c r="AV155" s="80"/>
      <c r="AW155" s="80"/>
      <c r="AX155" s="80"/>
      <c r="AY155" s="80"/>
      <c r="AZ155" s="80"/>
      <c r="BA155" s="80"/>
      <c r="BB155" s="80"/>
      <c r="BC155">
        <v>1</v>
      </c>
      <c r="BD155" s="79" t="str">
        <f>REPLACE(INDEX(GroupVertices[Group],MATCH(Edges[[#This Row],[Vertex 1]],GroupVertices[Vertex],0)),1,1,"")</f>
        <v>1</v>
      </c>
      <c r="BE155" s="79" t="str">
        <f>REPLACE(INDEX(GroupVertices[Group],MATCH(Edges[[#This Row],[Vertex 2]],GroupVertices[Vertex],0)),1,1,"")</f>
        <v>1</v>
      </c>
      <c r="BF155" s="49">
        <v>0</v>
      </c>
      <c r="BG155" s="50">
        <v>0</v>
      </c>
      <c r="BH155" s="49">
        <v>0</v>
      </c>
      <c r="BI155" s="50">
        <v>0</v>
      </c>
      <c r="BJ155" s="49">
        <v>0</v>
      </c>
      <c r="BK155" s="50">
        <v>0</v>
      </c>
      <c r="BL155" s="49">
        <v>38</v>
      </c>
      <c r="BM155" s="50">
        <v>100</v>
      </c>
      <c r="BN155" s="49">
        <v>38</v>
      </c>
    </row>
    <row r="156" spans="1:66" ht="15">
      <c r="A156" s="65" t="s">
        <v>288</v>
      </c>
      <c r="B156" s="65" t="s">
        <v>332</v>
      </c>
      <c r="C156" s="66" t="s">
        <v>2698</v>
      </c>
      <c r="D156" s="67">
        <v>4</v>
      </c>
      <c r="E156" s="68" t="s">
        <v>132</v>
      </c>
      <c r="F156" s="69">
        <v>30</v>
      </c>
      <c r="G156" s="66"/>
      <c r="H156" s="70"/>
      <c r="I156" s="71"/>
      <c r="J156" s="71"/>
      <c r="K156" s="35" t="s">
        <v>65</v>
      </c>
      <c r="L156" s="78">
        <v>156</v>
      </c>
      <c r="M156" s="78"/>
      <c r="N156" s="73"/>
      <c r="O156" s="80" t="s">
        <v>383</v>
      </c>
      <c r="P156" s="82">
        <v>44460.838738425926</v>
      </c>
      <c r="Q156" s="80" t="s">
        <v>425</v>
      </c>
      <c r="R156" s="80"/>
      <c r="S156" s="80"/>
      <c r="T156" s="85" t="s">
        <v>498</v>
      </c>
      <c r="U156" s="83" t="str">
        <f>HYPERLINK("https://pbs.twimg.com/media/E_1U1pPVEAImP5O.jpg")</f>
        <v>https://pbs.twimg.com/media/E_1U1pPVEAImP5O.jpg</v>
      </c>
      <c r="V156" s="83" t="str">
        <f>HYPERLINK("https://pbs.twimg.com/media/E_1U1pPVEAImP5O.jpg")</f>
        <v>https://pbs.twimg.com/media/E_1U1pPVEAImP5O.jpg</v>
      </c>
      <c r="W156" s="82">
        <v>44460.838738425926</v>
      </c>
      <c r="X156" s="88">
        <v>44460</v>
      </c>
      <c r="Y156" s="85" t="s">
        <v>609</v>
      </c>
      <c r="Z156" s="83" t="str">
        <f>HYPERLINK("https://twitter.com/pasillasmmtv/status/1440407431310311430")</f>
        <v>https://twitter.com/pasillasmmtv/status/1440407431310311430</v>
      </c>
      <c r="AA156" s="80"/>
      <c r="AB156" s="80"/>
      <c r="AC156" s="85" t="s">
        <v>782</v>
      </c>
      <c r="AD156" s="80"/>
      <c r="AE156" s="80" t="b">
        <v>0</v>
      </c>
      <c r="AF156" s="80">
        <v>0</v>
      </c>
      <c r="AG156" s="85" t="s">
        <v>871</v>
      </c>
      <c r="AH156" s="80" t="b">
        <v>0</v>
      </c>
      <c r="AI156" s="80" t="s">
        <v>882</v>
      </c>
      <c r="AJ156" s="80"/>
      <c r="AK156" s="85" t="s">
        <v>871</v>
      </c>
      <c r="AL156" s="80" t="b">
        <v>0</v>
      </c>
      <c r="AM156" s="80">
        <v>36</v>
      </c>
      <c r="AN156" s="85" t="s">
        <v>830</v>
      </c>
      <c r="AO156" s="85" t="s">
        <v>891</v>
      </c>
      <c r="AP156" s="80" t="b">
        <v>0</v>
      </c>
      <c r="AQ156" s="85" t="s">
        <v>830</v>
      </c>
      <c r="AR156" s="80" t="s">
        <v>178</v>
      </c>
      <c r="AS156" s="80">
        <v>0</v>
      </c>
      <c r="AT156" s="80">
        <v>0</v>
      </c>
      <c r="AU156" s="80"/>
      <c r="AV156" s="80"/>
      <c r="AW156" s="80"/>
      <c r="AX156" s="80"/>
      <c r="AY156" s="80"/>
      <c r="AZ156" s="80"/>
      <c r="BA156" s="80"/>
      <c r="BB156" s="80"/>
      <c r="BC156">
        <v>1</v>
      </c>
      <c r="BD156" s="79" t="str">
        <f>REPLACE(INDEX(GroupVertices[Group],MATCH(Edges[[#This Row],[Vertex 1]],GroupVertices[Vertex],0)),1,1,"")</f>
        <v>1</v>
      </c>
      <c r="BE156" s="79" t="str">
        <f>REPLACE(INDEX(GroupVertices[Group],MATCH(Edges[[#This Row],[Vertex 2]],GroupVertices[Vertex],0)),1,1,"")</f>
        <v>1</v>
      </c>
      <c r="BF156" s="49">
        <v>0</v>
      </c>
      <c r="BG156" s="50">
        <v>0</v>
      </c>
      <c r="BH156" s="49">
        <v>0</v>
      </c>
      <c r="BI156" s="50">
        <v>0</v>
      </c>
      <c r="BJ156" s="49">
        <v>0</v>
      </c>
      <c r="BK156" s="50">
        <v>0</v>
      </c>
      <c r="BL156" s="49">
        <v>38</v>
      </c>
      <c r="BM156" s="50">
        <v>100</v>
      </c>
      <c r="BN156" s="49">
        <v>38</v>
      </c>
    </row>
    <row r="157" spans="1:66" ht="15">
      <c r="A157" s="65" t="s">
        <v>289</v>
      </c>
      <c r="B157" s="65" t="s">
        <v>332</v>
      </c>
      <c r="C157" s="66" t="s">
        <v>2698</v>
      </c>
      <c r="D157" s="67">
        <v>4</v>
      </c>
      <c r="E157" s="68" t="s">
        <v>132</v>
      </c>
      <c r="F157" s="69">
        <v>30</v>
      </c>
      <c r="G157" s="66"/>
      <c r="H157" s="70"/>
      <c r="I157" s="71"/>
      <c r="J157" s="71"/>
      <c r="K157" s="35" t="s">
        <v>65</v>
      </c>
      <c r="L157" s="78">
        <v>157</v>
      </c>
      <c r="M157" s="78"/>
      <c r="N157" s="73"/>
      <c r="O157" s="80" t="s">
        <v>383</v>
      </c>
      <c r="P157" s="82">
        <v>44460.83902777778</v>
      </c>
      <c r="Q157" s="80" t="s">
        <v>425</v>
      </c>
      <c r="R157" s="80"/>
      <c r="S157" s="80"/>
      <c r="T157" s="85" t="s">
        <v>498</v>
      </c>
      <c r="U157" s="83" t="str">
        <f>HYPERLINK("https://pbs.twimg.com/media/E_1U1pPVEAImP5O.jpg")</f>
        <v>https://pbs.twimg.com/media/E_1U1pPVEAImP5O.jpg</v>
      </c>
      <c r="V157" s="83" t="str">
        <f>HYPERLINK("https://pbs.twimg.com/media/E_1U1pPVEAImP5O.jpg")</f>
        <v>https://pbs.twimg.com/media/E_1U1pPVEAImP5O.jpg</v>
      </c>
      <c r="W157" s="82">
        <v>44460.83902777778</v>
      </c>
      <c r="X157" s="88">
        <v>44460</v>
      </c>
      <c r="Y157" s="85" t="s">
        <v>610</v>
      </c>
      <c r="Z157" s="83" t="str">
        <f>HYPERLINK("https://twitter.com/gallofuego/status/1440407536390205441")</f>
        <v>https://twitter.com/gallofuego/status/1440407536390205441</v>
      </c>
      <c r="AA157" s="80"/>
      <c r="AB157" s="80"/>
      <c r="AC157" s="85" t="s">
        <v>783</v>
      </c>
      <c r="AD157" s="80"/>
      <c r="AE157" s="80" t="b">
        <v>0</v>
      </c>
      <c r="AF157" s="80">
        <v>0</v>
      </c>
      <c r="AG157" s="85" t="s">
        <v>871</v>
      </c>
      <c r="AH157" s="80" t="b">
        <v>0</v>
      </c>
      <c r="AI157" s="80" t="s">
        <v>882</v>
      </c>
      <c r="AJ157" s="80"/>
      <c r="AK157" s="85" t="s">
        <v>871</v>
      </c>
      <c r="AL157" s="80" t="b">
        <v>0</v>
      </c>
      <c r="AM157" s="80">
        <v>36</v>
      </c>
      <c r="AN157" s="85" t="s">
        <v>830</v>
      </c>
      <c r="AO157" s="85" t="s">
        <v>889</v>
      </c>
      <c r="AP157" s="80" t="b">
        <v>0</v>
      </c>
      <c r="AQ157" s="85" t="s">
        <v>830</v>
      </c>
      <c r="AR157" s="80" t="s">
        <v>178</v>
      </c>
      <c r="AS157" s="80">
        <v>0</v>
      </c>
      <c r="AT157" s="80">
        <v>0</v>
      </c>
      <c r="AU157" s="80"/>
      <c r="AV157" s="80"/>
      <c r="AW157" s="80"/>
      <c r="AX157" s="80"/>
      <c r="AY157" s="80"/>
      <c r="AZ157" s="80"/>
      <c r="BA157" s="80"/>
      <c r="BB157" s="80"/>
      <c r="BC157">
        <v>1</v>
      </c>
      <c r="BD157" s="79" t="str">
        <f>REPLACE(INDEX(GroupVertices[Group],MATCH(Edges[[#This Row],[Vertex 1]],GroupVertices[Vertex],0)),1,1,"")</f>
        <v>1</v>
      </c>
      <c r="BE157" s="79" t="str">
        <f>REPLACE(INDEX(GroupVertices[Group],MATCH(Edges[[#This Row],[Vertex 2]],GroupVertices[Vertex],0)),1,1,"")</f>
        <v>1</v>
      </c>
      <c r="BF157" s="49">
        <v>0</v>
      </c>
      <c r="BG157" s="50">
        <v>0</v>
      </c>
      <c r="BH157" s="49">
        <v>0</v>
      </c>
      <c r="BI157" s="50">
        <v>0</v>
      </c>
      <c r="BJ157" s="49">
        <v>0</v>
      </c>
      <c r="BK157" s="50">
        <v>0</v>
      </c>
      <c r="BL157" s="49">
        <v>38</v>
      </c>
      <c r="BM157" s="50">
        <v>100</v>
      </c>
      <c r="BN157" s="49">
        <v>38</v>
      </c>
    </row>
    <row r="158" spans="1:66" ht="15">
      <c r="A158" s="65" t="s">
        <v>290</v>
      </c>
      <c r="B158" s="65" t="s">
        <v>332</v>
      </c>
      <c r="C158" s="66" t="s">
        <v>2698</v>
      </c>
      <c r="D158" s="67">
        <v>4</v>
      </c>
      <c r="E158" s="68" t="s">
        <v>132</v>
      </c>
      <c r="F158" s="69">
        <v>30</v>
      </c>
      <c r="G158" s="66"/>
      <c r="H158" s="70"/>
      <c r="I158" s="71"/>
      <c r="J158" s="71"/>
      <c r="K158" s="35" t="s">
        <v>65</v>
      </c>
      <c r="L158" s="78">
        <v>158</v>
      </c>
      <c r="M158" s="78"/>
      <c r="N158" s="73"/>
      <c r="O158" s="80" t="s">
        <v>383</v>
      </c>
      <c r="P158" s="82">
        <v>44460.8396875</v>
      </c>
      <c r="Q158" s="80" t="s">
        <v>425</v>
      </c>
      <c r="R158" s="80"/>
      <c r="S158" s="80"/>
      <c r="T158" s="85" t="s">
        <v>498</v>
      </c>
      <c r="U158" s="83" t="str">
        <f>HYPERLINK("https://pbs.twimg.com/media/E_1U1pPVEAImP5O.jpg")</f>
        <v>https://pbs.twimg.com/media/E_1U1pPVEAImP5O.jpg</v>
      </c>
      <c r="V158" s="83" t="str">
        <f>HYPERLINK("https://pbs.twimg.com/media/E_1U1pPVEAImP5O.jpg")</f>
        <v>https://pbs.twimg.com/media/E_1U1pPVEAImP5O.jpg</v>
      </c>
      <c r="W158" s="82">
        <v>44460.8396875</v>
      </c>
      <c r="X158" s="88">
        <v>44460</v>
      </c>
      <c r="Y158" s="85" t="s">
        <v>611</v>
      </c>
      <c r="Z158" s="83" t="str">
        <f>HYPERLINK("https://twitter.com/loveyogurtlowfa/status/1440407772533723147")</f>
        <v>https://twitter.com/loveyogurtlowfa/status/1440407772533723147</v>
      </c>
      <c r="AA158" s="80"/>
      <c r="AB158" s="80"/>
      <c r="AC158" s="85" t="s">
        <v>784</v>
      </c>
      <c r="AD158" s="80"/>
      <c r="AE158" s="80" t="b">
        <v>0</v>
      </c>
      <c r="AF158" s="80">
        <v>0</v>
      </c>
      <c r="AG158" s="85" t="s">
        <v>871</v>
      </c>
      <c r="AH158" s="80" t="b">
        <v>0</v>
      </c>
      <c r="AI158" s="80" t="s">
        <v>882</v>
      </c>
      <c r="AJ158" s="80"/>
      <c r="AK158" s="85" t="s">
        <v>871</v>
      </c>
      <c r="AL158" s="80" t="b">
        <v>0</v>
      </c>
      <c r="AM158" s="80">
        <v>36</v>
      </c>
      <c r="AN158" s="85" t="s">
        <v>830</v>
      </c>
      <c r="AO158" s="85" t="s">
        <v>890</v>
      </c>
      <c r="AP158" s="80" t="b">
        <v>0</v>
      </c>
      <c r="AQ158" s="85" t="s">
        <v>830</v>
      </c>
      <c r="AR158" s="80" t="s">
        <v>178</v>
      </c>
      <c r="AS158" s="80">
        <v>0</v>
      </c>
      <c r="AT158" s="80">
        <v>0</v>
      </c>
      <c r="AU158" s="80"/>
      <c r="AV158" s="80"/>
      <c r="AW158" s="80"/>
      <c r="AX158" s="80"/>
      <c r="AY158" s="80"/>
      <c r="AZ158" s="80"/>
      <c r="BA158" s="80"/>
      <c r="BB158" s="80"/>
      <c r="BC158">
        <v>1</v>
      </c>
      <c r="BD158" s="79" t="str">
        <f>REPLACE(INDEX(GroupVertices[Group],MATCH(Edges[[#This Row],[Vertex 1]],GroupVertices[Vertex],0)),1,1,"")</f>
        <v>1</v>
      </c>
      <c r="BE158" s="79" t="str">
        <f>REPLACE(INDEX(GroupVertices[Group],MATCH(Edges[[#This Row],[Vertex 2]],GroupVertices[Vertex],0)),1,1,"")</f>
        <v>1</v>
      </c>
      <c r="BF158" s="49">
        <v>0</v>
      </c>
      <c r="BG158" s="50">
        <v>0</v>
      </c>
      <c r="BH158" s="49">
        <v>0</v>
      </c>
      <c r="BI158" s="50">
        <v>0</v>
      </c>
      <c r="BJ158" s="49">
        <v>0</v>
      </c>
      <c r="BK158" s="50">
        <v>0</v>
      </c>
      <c r="BL158" s="49">
        <v>38</v>
      </c>
      <c r="BM158" s="50">
        <v>100</v>
      </c>
      <c r="BN158" s="49">
        <v>38</v>
      </c>
    </row>
    <row r="159" spans="1:66" ht="15">
      <c r="A159" s="65" t="s">
        <v>291</v>
      </c>
      <c r="B159" s="65" t="s">
        <v>332</v>
      </c>
      <c r="C159" s="66" t="s">
        <v>2698</v>
      </c>
      <c r="D159" s="67">
        <v>4</v>
      </c>
      <c r="E159" s="68" t="s">
        <v>132</v>
      </c>
      <c r="F159" s="69">
        <v>30</v>
      </c>
      <c r="G159" s="66"/>
      <c r="H159" s="70"/>
      <c r="I159" s="71"/>
      <c r="J159" s="71"/>
      <c r="K159" s="35" t="s">
        <v>65</v>
      </c>
      <c r="L159" s="78">
        <v>159</v>
      </c>
      <c r="M159" s="78"/>
      <c r="N159" s="73"/>
      <c r="O159" s="80" t="s">
        <v>383</v>
      </c>
      <c r="P159" s="82">
        <v>44460.84690972222</v>
      </c>
      <c r="Q159" s="80" t="s">
        <v>425</v>
      </c>
      <c r="R159" s="80"/>
      <c r="S159" s="80"/>
      <c r="T159" s="85" t="s">
        <v>498</v>
      </c>
      <c r="U159" s="83" t="str">
        <f>HYPERLINK("https://pbs.twimg.com/media/E_1U1pPVEAImP5O.jpg")</f>
        <v>https://pbs.twimg.com/media/E_1U1pPVEAImP5O.jpg</v>
      </c>
      <c r="V159" s="83" t="str">
        <f>HYPERLINK("https://pbs.twimg.com/media/E_1U1pPVEAImP5O.jpg")</f>
        <v>https://pbs.twimg.com/media/E_1U1pPVEAImP5O.jpg</v>
      </c>
      <c r="W159" s="82">
        <v>44460.84690972222</v>
      </c>
      <c r="X159" s="88">
        <v>44460</v>
      </c>
      <c r="Y159" s="85" t="s">
        <v>612</v>
      </c>
      <c r="Z159" s="83" t="str">
        <f>HYPERLINK("https://twitter.com/minyon23625591/status/1440410389808697347")</f>
        <v>https://twitter.com/minyon23625591/status/1440410389808697347</v>
      </c>
      <c r="AA159" s="80"/>
      <c r="AB159" s="80"/>
      <c r="AC159" s="85" t="s">
        <v>785</v>
      </c>
      <c r="AD159" s="80"/>
      <c r="AE159" s="80" t="b">
        <v>0</v>
      </c>
      <c r="AF159" s="80">
        <v>0</v>
      </c>
      <c r="AG159" s="85" t="s">
        <v>871</v>
      </c>
      <c r="AH159" s="80" t="b">
        <v>0</v>
      </c>
      <c r="AI159" s="80" t="s">
        <v>882</v>
      </c>
      <c r="AJ159" s="80"/>
      <c r="AK159" s="85" t="s">
        <v>871</v>
      </c>
      <c r="AL159" s="80" t="b">
        <v>0</v>
      </c>
      <c r="AM159" s="80">
        <v>36</v>
      </c>
      <c r="AN159" s="85" t="s">
        <v>830</v>
      </c>
      <c r="AO159" s="85" t="s">
        <v>890</v>
      </c>
      <c r="AP159" s="80" t="b">
        <v>0</v>
      </c>
      <c r="AQ159" s="85" t="s">
        <v>830</v>
      </c>
      <c r="AR159" s="80" t="s">
        <v>178</v>
      </c>
      <c r="AS159" s="80">
        <v>0</v>
      </c>
      <c r="AT159" s="80">
        <v>0</v>
      </c>
      <c r="AU159" s="80"/>
      <c r="AV159" s="80"/>
      <c r="AW159" s="80"/>
      <c r="AX159" s="80"/>
      <c r="AY159" s="80"/>
      <c r="AZ159" s="80"/>
      <c r="BA159" s="80"/>
      <c r="BB159" s="80"/>
      <c r="BC159">
        <v>1</v>
      </c>
      <c r="BD159" s="79" t="str">
        <f>REPLACE(INDEX(GroupVertices[Group],MATCH(Edges[[#This Row],[Vertex 1]],GroupVertices[Vertex],0)),1,1,"")</f>
        <v>1</v>
      </c>
      <c r="BE159" s="79" t="str">
        <f>REPLACE(INDEX(GroupVertices[Group],MATCH(Edges[[#This Row],[Vertex 2]],GroupVertices[Vertex],0)),1,1,"")</f>
        <v>1</v>
      </c>
      <c r="BF159" s="49">
        <v>0</v>
      </c>
      <c r="BG159" s="50">
        <v>0</v>
      </c>
      <c r="BH159" s="49">
        <v>0</v>
      </c>
      <c r="BI159" s="50">
        <v>0</v>
      </c>
      <c r="BJ159" s="49">
        <v>0</v>
      </c>
      <c r="BK159" s="50">
        <v>0</v>
      </c>
      <c r="BL159" s="49">
        <v>38</v>
      </c>
      <c r="BM159" s="50">
        <v>100</v>
      </c>
      <c r="BN159" s="49">
        <v>38</v>
      </c>
    </row>
    <row r="160" spans="1:66" ht="15">
      <c r="A160" s="65" t="s">
        <v>292</v>
      </c>
      <c r="B160" s="65" t="s">
        <v>332</v>
      </c>
      <c r="C160" s="66" t="s">
        <v>2698</v>
      </c>
      <c r="D160" s="67">
        <v>4</v>
      </c>
      <c r="E160" s="68" t="s">
        <v>132</v>
      </c>
      <c r="F160" s="69">
        <v>30</v>
      </c>
      <c r="G160" s="66"/>
      <c r="H160" s="70"/>
      <c r="I160" s="71"/>
      <c r="J160" s="71"/>
      <c r="K160" s="35" t="s">
        <v>65</v>
      </c>
      <c r="L160" s="78">
        <v>160</v>
      </c>
      <c r="M160" s="78"/>
      <c r="N160" s="73"/>
      <c r="O160" s="80" t="s">
        <v>383</v>
      </c>
      <c r="P160" s="82">
        <v>44460.85246527778</v>
      </c>
      <c r="Q160" s="80" t="s">
        <v>425</v>
      </c>
      <c r="R160" s="80"/>
      <c r="S160" s="80"/>
      <c r="T160" s="85" t="s">
        <v>498</v>
      </c>
      <c r="U160" s="83" t="str">
        <f>HYPERLINK("https://pbs.twimg.com/media/E_1U1pPVEAImP5O.jpg")</f>
        <v>https://pbs.twimg.com/media/E_1U1pPVEAImP5O.jpg</v>
      </c>
      <c r="V160" s="83" t="str">
        <f>HYPERLINK("https://pbs.twimg.com/media/E_1U1pPVEAImP5O.jpg")</f>
        <v>https://pbs.twimg.com/media/E_1U1pPVEAImP5O.jpg</v>
      </c>
      <c r="W160" s="82">
        <v>44460.85246527778</v>
      </c>
      <c r="X160" s="88">
        <v>44460</v>
      </c>
      <c r="Y160" s="85" t="s">
        <v>613</v>
      </c>
      <c r="Z160" s="83" t="str">
        <f>HYPERLINK("https://twitter.com/jlgc0505/status/1440412406002245646")</f>
        <v>https://twitter.com/jlgc0505/status/1440412406002245646</v>
      </c>
      <c r="AA160" s="80"/>
      <c r="AB160" s="80"/>
      <c r="AC160" s="85" t="s">
        <v>786</v>
      </c>
      <c r="AD160" s="80"/>
      <c r="AE160" s="80" t="b">
        <v>0</v>
      </c>
      <c r="AF160" s="80">
        <v>0</v>
      </c>
      <c r="AG160" s="85" t="s">
        <v>871</v>
      </c>
      <c r="AH160" s="80" t="b">
        <v>0</v>
      </c>
      <c r="AI160" s="80" t="s">
        <v>882</v>
      </c>
      <c r="AJ160" s="80"/>
      <c r="AK160" s="85" t="s">
        <v>871</v>
      </c>
      <c r="AL160" s="80" t="b">
        <v>0</v>
      </c>
      <c r="AM160" s="80">
        <v>36</v>
      </c>
      <c r="AN160" s="85" t="s">
        <v>830</v>
      </c>
      <c r="AO160" s="85" t="s">
        <v>889</v>
      </c>
      <c r="AP160" s="80" t="b">
        <v>0</v>
      </c>
      <c r="AQ160" s="85" t="s">
        <v>830</v>
      </c>
      <c r="AR160" s="80" t="s">
        <v>178</v>
      </c>
      <c r="AS160" s="80">
        <v>0</v>
      </c>
      <c r="AT160" s="80">
        <v>0</v>
      </c>
      <c r="AU160" s="80"/>
      <c r="AV160" s="80"/>
      <c r="AW160" s="80"/>
      <c r="AX160" s="80"/>
      <c r="AY160" s="80"/>
      <c r="AZ160" s="80"/>
      <c r="BA160" s="80"/>
      <c r="BB160" s="80"/>
      <c r="BC160">
        <v>1</v>
      </c>
      <c r="BD160" s="79" t="str">
        <f>REPLACE(INDEX(GroupVertices[Group],MATCH(Edges[[#This Row],[Vertex 1]],GroupVertices[Vertex],0)),1,1,"")</f>
        <v>1</v>
      </c>
      <c r="BE160" s="79" t="str">
        <f>REPLACE(INDEX(GroupVertices[Group],MATCH(Edges[[#This Row],[Vertex 2]],GroupVertices[Vertex],0)),1,1,"")</f>
        <v>1</v>
      </c>
      <c r="BF160" s="49">
        <v>0</v>
      </c>
      <c r="BG160" s="50">
        <v>0</v>
      </c>
      <c r="BH160" s="49">
        <v>0</v>
      </c>
      <c r="BI160" s="50">
        <v>0</v>
      </c>
      <c r="BJ160" s="49">
        <v>0</v>
      </c>
      <c r="BK160" s="50">
        <v>0</v>
      </c>
      <c r="BL160" s="49">
        <v>38</v>
      </c>
      <c r="BM160" s="50">
        <v>100</v>
      </c>
      <c r="BN160" s="49">
        <v>38</v>
      </c>
    </row>
    <row r="161" spans="1:66" ht="15">
      <c r="A161" s="65" t="s">
        <v>293</v>
      </c>
      <c r="B161" s="65" t="s">
        <v>332</v>
      </c>
      <c r="C161" s="66" t="s">
        <v>2698</v>
      </c>
      <c r="D161" s="67">
        <v>4</v>
      </c>
      <c r="E161" s="68" t="s">
        <v>132</v>
      </c>
      <c r="F161" s="69">
        <v>30</v>
      </c>
      <c r="G161" s="66"/>
      <c r="H161" s="70"/>
      <c r="I161" s="71"/>
      <c r="J161" s="71"/>
      <c r="K161" s="35" t="s">
        <v>65</v>
      </c>
      <c r="L161" s="78">
        <v>161</v>
      </c>
      <c r="M161" s="78"/>
      <c r="N161" s="73"/>
      <c r="O161" s="80" t="s">
        <v>383</v>
      </c>
      <c r="P161" s="82">
        <v>44460.85398148148</v>
      </c>
      <c r="Q161" s="80" t="s">
        <v>425</v>
      </c>
      <c r="R161" s="80"/>
      <c r="S161" s="80"/>
      <c r="T161" s="85" t="s">
        <v>498</v>
      </c>
      <c r="U161" s="83" t="str">
        <f>HYPERLINK("https://pbs.twimg.com/media/E_1U1pPVEAImP5O.jpg")</f>
        <v>https://pbs.twimg.com/media/E_1U1pPVEAImP5O.jpg</v>
      </c>
      <c r="V161" s="83" t="str">
        <f>HYPERLINK("https://pbs.twimg.com/media/E_1U1pPVEAImP5O.jpg")</f>
        <v>https://pbs.twimg.com/media/E_1U1pPVEAImP5O.jpg</v>
      </c>
      <c r="W161" s="82">
        <v>44460.85398148148</v>
      </c>
      <c r="X161" s="88">
        <v>44460</v>
      </c>
      <c r="Y161" s="85" t="s">
        <v>614</v>
      </c>
      <c r="Z161" s="83" t="str">
        <f>HYPERLINK("https://twitter.com/apoloniovaldez/status/1440412955930099715")</f>
        <v>https://twitter.com/apoloniovaldez/status/1440412955930099715</v>
      </c>
      <c r="AA161" s="80"/>
      <c r="AB161" s="80"/>
      <c r="AC161" s="85" t="s">
        <v>787</v>
      </c>
      <c r="AD161" s="80"/>
      <c r="AE161" s="80" t="b">
        <v>0</v>
      </c>
      <c r="AF161" s="80">
        <v>0</v>
      </c>
      <c r="AG161" s="85" t="s">
        <v>871</v>
      </c>
      <c r="AH161" s="80" t="b">
        <v>0</v>
      </c>
      <c r="AI161" s="80" t="s">
        <v>882</v>
      </c>
      <c r="AJ161" s="80"/>
      <c r="AK161" s="85" t="s">
        <v>871</v>
      </c>
      <c r="AL161" s="80" t="b">
        <v>0</v>
      </c>
      <c r="AM161" s="80">
        <v>36</v>
      </c>
      <c r="AN161" s="85" t="s">
        <v>830</v>
      </c>
      <c r="AO161" s="85" t="s">
        <v>890</v>
      </c>
      <c r="AP161" s="80" t="b">
        <v>0</v>
      </c>
      <c r="AQ161" s="85" t="s">
        <v>830</v>
      </c>
      <c r="AR161" s="80" t="s">
        <v>178</v>
      </c>
      <c r="AS161" s="80">
        <v>0</v>
      </c>
      <c r="AT161" s="80">
        <v>0</v>
      </c>
      <c r="AU161" s="80"/>
      <c r="AV161" s="80"/>
      <c r="AW161" s="80"/>
      <c r="AX161" s="80"/>
      <c r="AY161" s="80"/>
      <c r="AZ161" s="80"/>
      <c r="BA161" s="80"/>
      <c r="BB161" s="80"/>
      <c r="BC161">
        <v>1</v>
      </c>
      <c r="BD161" s="79" t="str">
        <f>REPLACE(INDEX(GroupVertices[Group],MATCH(Edges[[#This Row],[Vertex 1]],GroupVertices[Vertex],0)),1,1,"")</f>
        <v>1</v>
      </c>
      <c r="BE161" s="79" t="str">
        <f>REPLACE(INDEX(GroupVertices[Group],MATCH(Edges[[#This Row],[Vertex 2]],GroupVertices[Vertex],0)),1,1,"")</f>
        <v>1</v>
      </c>
      <c r="BF161" s="49">
        <v>0</v>
      </c>
      <c r="BG161" s="50">
        <v>0</v>
      </c>
      <c r="BH161" s="49">
        <v>0</v>
      </c>
      <c r="BI161" s="50">
        <v>0</v>
      </c>
      <c r="BJ161" s="49">
        <v>0</v>
      </c>
      <c r="BK161" s="50">
        <v>0</v>
      </c>
      <c r="BL161" s="49">
        <v>38</v>
      </c>
      <c r="BM161" s="50">
        <v>100</v>
      </c>
      <c r="BN161" s="49">
        <v>38</v>
      </c>
    </row>
    <row r="162" spans="1:66" ht="15">
      <c r="A162" s="65" t="s">
        <v>294</v>
      </c>
      <c r="B162" s="65" t="s">
        <v>332</v>
      </c>
      <c r="C162" s="66" t="s">
        <v>2698</v>
      </c>
      <c r="D162" s="67">
        <v>4</v>
      </c>
      <c r="E162" s="68" t="s">
        <v>132</v>
      </c>
      <c r="F162" s="69">
        <v>30</v>
      </c>
      <c r="G162" s="66"/>
      <c r="H162" s="70"/>
      <c r="I162" s="71"/>
      <c r="J162" s="71"/>
      <c r="K162" s="35" t="s">
        <v>65</v>
      </c>
      <c r="L162" s="78">
        <v>162</v>
      </c>
      <c r="M162" s="78"/>
      <c r="N162" s="73"/>
      <c r="O162" s="80" t="s">
        <v>383</v>
      </c>
      <c r="P162" s="82">
        <v>44460.85497685185</v>
      </c>
      <c r="Q162" s="80" t="s">
        <v>425</v>
      </c>
      <c r="R162" s="80"/>
      <c r="S162" s="80"/>
      <c r="T162" s="85" t="s">
        <v>498</v>
      </c>
      <c r="U162" s="83" t="str">
        <f>HYPERLINK("https://pbs.twimg.com/media/E_1U1pPVEAImP5O.jpg")</f>
        <v>https://pbs.twimg.com/media/E_1U1pPVEAImP5O.jpg</v>
      </c>
      <c r="V162" s="83" t="str">
        <f>HYPERLINK("https://pbs.twimg.com/media/E_1U1pPVEAImP5O.jpg")</f>
        <v>https://pbs.twimg.com/media/E_1U1pPVEAImP5O.jpg</v>
      </c>
      <c r="W162" s="82">
        <v>44460.85497685185</v>
      </c>
      <c r="X162" s="88">
        <v>44460</v>
      </c>
      <c r="Y162" s="85" t="s">
        <v>615</v>
      </c>
      <c r="Z162" s="83" t="str">
        <f>HYPERLINK("https://twitter.com/jorge2t23/status/1440413316212408329")</f>
        <v>https://twitter.com/jorge2t23/status/1440413316212408329</v>
      </c>
      <c r="AA162" s="80"/>
      <c r="AB162" s="80"/>
      <c r="AC162" s="85" t="s">
        <v>788</v>
      </c>
      <c r="AD162" s="80"/>
      <c r="AE162" s="80" t="b">
        <v>0</v>
      </c>
      <c r="AF162" s="80">
        <v>0</v>
      </c>
      <c r="AG162" s="85" t="s">
        <v>871</v>
      </c>
      <c r="AH162" s="80" t="b">
        <v>0</v>
      </c>
      <c r="AI162" s="80" t="s">
        <v>882</v>
      </c>
      <c r="AJ162" s="80"/>
      <c r="AK162" s="85" t="s">
        <v>871</v>
      </c>
      <c r="AL162" s="80" t="b">
        <v>0</v>
      </c>
      <c r="AM162" s="80">
        <v>36</v>
      </c>
      <c r="AN162" s="85" t="s">
        <v>830</v>
      </c>
      <c r="AO162" s="85" t="s">
        <v>889</v>
      </c>
      <c r="AP162" s="80" t="b">
        <v>0</v>
      </c>
      <c r="AQ162" s="85" t="s">
        <v>830</v>
      </c>
      <c r="AR162" s="80" t="s">
        <v>178</v>
      </c>
      <c r="AS162" s="80">
        <v>0</v>
      </c>
      <c r="AT162" s="80">
        <v>0</v>
      </c>
      <c r="AU162" s="80"/>
      <c r="AV162" s="80"/>
      <c r="AW162" s="80"/>
      <c r="AX162" s="80"/>
      <c r="AY162" s="80"/>
      <c r="AZ162" s="80"/>
      <c r="BA162" s="80"/>
      <c r="BB162" s="80"/>
      <c r="BC162">
        <v>1</v>
      </c>
      <c r="BD162" s="79" t="str">
        <f>REPLACE(INDEX(GroupVertices[Group],MATCH(Edges[[#This Row],[Vertex 1]],GroupVertices[Vertex],0)),1,1,"")</f>
        <v>1</v>
      </c>
      <c r="BE162" s="79" t="str">
        <f>REPLACE(INDEX(GroupVertices[Group],MATCH(Edges[[#This Row],[Vertex 2]],GroupVertices[Vertex],0)),1,1,"")</f>
        <v>1</v>
      </c>
      <c r="BF162" s="49">
        <v>0</v>
      </c>
      <c r="BG162" s="50">
        <v>0</v>
      </c>
      <c r="BH162" s="49">
        <v>0</v>
      </c>
      <c r="BI162" s="50">
        <v>0</v>
      </c>
      <c r="BJ162" s="49">
        <v>0</v>
      </c>
      <c r="BK162" s="50">
        <v>0</v>
      </c>
      <c r="BL162" s="49">
        <v>38</v>
      </c>
      <c r="BM162" s="50">
        <v>100</v>
      </c>
      <c r="BN162" s="49">
        <v>38</v>
      </c>
    </row>
    <row r="163" spans="1:66" ht="15">
      <c r="A163" s="65" t="s">
        <v>295</v>
      </c>
      <c r="B163" s="65" t="s">
        <v>376</v>
      </c>
      <c r="C163" s="66" t="s">
        <v>2698</v>
      </c>
      <c r="D163" s="67">
        <v>4</v>
      </c>
      <c r="E163" s="68" t="s">
        <v>132</v>
      </c>
      <c r="F163" s="69">
        <v>30</v>
      </c>
      <c r="G163" s="66"/>
      <c r="H163" s="70"/>
      <c r="I163" s="71"/>
      <c r="J163" s="71"/>
      <c r="K163" s="35" t="s">
        <v>65</v>
      </c>
      <c r="L163" s="78">
        <v>163</v>
      </c>
      <c r="M163" s="78"/>
      <c r="N163" s="73"/>
      <c r="O163" s="80" t="s">
        <v>382</v>
      </c>
      <c r="P163" s="82">
        <v>44460.86079861111</v>
      </c>
      <c r="Q163" s="80" t="s">
        <v>426</v>
      </c>
      <c r="R163" s="80"/>
      <c r="S163" s="80"/>
      <c r="T163" s="85" t="s">
        <v>499</v>
      </c>
      <c r="U163" s="83" t="str">
        <f>HYPERLINK("https://pbs.twimg.com/media/E_1Ow97UUAYV0Is.jpg")</f>
        <v>https://pbs.twimg.com/media/E_1Ow97UUAYV0Is.jpg</v>
      </c>
      <c r="V163" s="83" t="str">
        <f>HYPERLINK("https://pbs.twimg.com/media/E_1Ow97UUAYV0Is.jpg")</f>
        <v>https://pbs.twimg.com/media/E_1Ow97UUAYV0Is.jpg</v>
      </c>
      <c r="W163" s="82">
        <v>44460.86079861111</v>
      </c>
      <c r="X163" s="88">
        <v>44460</v>
      </c>
      <c r="Y163" s="85" t="s">
        <v>616</v>
      </c>
      <c r="Z163" s="83" t="str">
        <f>HYPERLINK("https://twitter.com/el7vicio/status/1440415426370949124")</f>
        <v>https://twitter.com/el7vicio/status/1440415426370949124</v>
      </c>
      <c r="AA163" s="80"/>
      <c r="AB163" s="80"/>
      <c r="AC163" s="85" t="s">
        <v>789</v>
      </c>
      <c r="AD163" s="80"/>
      <c r="AE163" s="80" t="b">
        <v>0</v>
      </c>
      <c r="AF163" s="80">
        <v>0</v>
      </c>
      <c r="AG163" s="85" t="s">
        <v>871</v>
      </c>
      <c r="AH163" s="80" t="b">
        <v>0</v>
      </c>
      <c r="AI163" s="80" t="s">
        <v>882</v>
      </c>
      <c r="AJ163" s="80"/>
      <c r="AK163" s="85" t="s">
        <v>871</v>
      </c>
      <c r="AL163" s="80" t="b">
        <v>0</v>
      </c>
      <c r="AM163" s="80">
        <v>3</v>
      </c>
      <c r="AN163" s="85" t="s">
        <v>857</v>
      </c>
      <c r="AO163" s="85" t="s">
        <v>890</v>
      </c>
      <c r="AP163" s="80" t="b">
        <v>0</v>
      </c>
      <c r="AQ163" s="85" t="s">
        <v>857</v>
      </c>
      <c r="AR163" s="80" t="s">
        <v>178</v>
      </c>
      <c r="AS163" s="80">
        <v>0</v>
      </c>
      <c r="AT163" s="80">
        <v>0</v>
      </c>
      <c r="AU163" s="80"/>
      <c r="AV163" s="80"/>
      <c r="AW163" s="80"/>
      <c r="AX163" s="80"/>
      <c r="AY163" s="80"/>
      <c r="AZ163" s="80"/>
      <c r="BA163" s="80"/>
      <c r="BB163" s="80"/>
      <c r="BC163">
        <v>1</v>
      </c>
      <c r="BD163" s="79" t="str">
        <f>REPLACE(INDEX(GroupVertices[Group],MATCH(Edges[[#This Row],[Vertex 1]],GroupVertices[Vertex],0)),1,1,"")</f>
        <v>7</v>
      </c>
      <c r="BE163" s="79" t="str">
        <f>REPLACE(INDEX(GroupVertices[Group],MATCH(Edges[[#This Row],[Vertex 2]],GroupVertices[Vertex],0)),1,1,"")</f>
        <v>7</v>
      </c>
      <c r="BF163" s="49"/>
      <c r="BG163" s="50"/>
      <c r="BH163" s="49"/>
      <c r="BI163" s="50"/>
      <c r="BJ163" s="49"/>
      <c r="BK163" s="50"/>
      <c r="BL163" s="49"/>
      <c r="BM163" s="50"/>
      <c r="BN163" s="49"/>
    </row>
    <row r="164" spans="1:66" ht="15">
      <c r="A164" s="65" t="s">
        <v>295</v>
      </c>
      <c r="B164" s="65" t="s">
        <v>355</v>
      </c>
      <c r="C164" s="66" t="s">
        <v>2698</v>
      </c>
      <c r="D164" s="67">
        <v>4</v>
      </c>
      <c r="E164" s="68" t="s">
        <v>132</v>
      </c>
      <c r="F164" s="69">
        <v>30</v>
      </c>
      <c r="G164" s="66"/>
      <c r="H164" s="70"/>
      <c r="I164" s="71"/>
      <c r="J164" s="71"/>
      <c r="K164" s="35" t="s">
        <v>65</v>
      </c>
      <c r="L164" s="78">
        <v>164</v>
      </c>
      <c r="M164" s="78"/>
      <c r="N164" s="73"/>
      <c r="O164" s="80" t="s">
        <v>383</v>
      </c>
      <c r="P164" s="82">
        <v>44460.86079861111</v>
      </c>
      <c r="Q164" s="80" t="s">
        <v>426</v>
      </c>
      <c r="R164" s="80"/>
      <c r="S164" s="80"/>
      <c r="T164" s="85" t="s">
        <v>499</v>
      </c>
      <c r="U164" s="83" t="str">
        <f>HYPERLINK("https://pbs.twimg.com/media/E_1Ow97UUAYV0Is.jpg")</f>
        <v>https://pbs.twimg.com/media/E_1Ow97UUAYV0Is.jpg</v>
      </c>
      <c r="V164" s="83" t="str">
        <f>HYPERLINK("https://pbs.twimg.com/media/E_1Ow97UUAYV0Is.jpg")</f>
        <v>https://pbs.twimg.com/media/E_1Ow97UUAYV0Is.jpg</v>
      </c>
      <c r="W164" s="82">
        <v>44460.86079861111</v>
      </c>
      <c r="X164" s="88">
        <v>44460</v>
      </c>
      <c r="Y164" s="85" t="s">
        <v>616</v>
      </c>
      <c r="Z164" s="83" t="str">
        <f>HYPERLINK("https://twitter.com/el7vicio/status/1440415426370949124")</f>
        <v>https://twitter.com/el7vicio/status/1440415426370949124</v>
      </c>
      <c r="AA164" s="80"/>
      <c r="AB164" s="80"/>
      <c r="AC164" s="85" t="s">
        <v>789</v>
      </c>
      <c r="AD164" s="80"/>
      <c r="AE164" s="80" t="b">
        <v>0</v>
      </c>
      <c r="AF164" s="80">
        <v>0</v>
      </c>
      <c r="AG164" s="85" t="s">
        <v>871</v>
      </c>
      <c r="AH164" s="80" t="b">
        <v>0</v>
      </c>
      <c r="AI164" s="80" t="s">
        <v>882</v>
      </c>
      <c r="AJ164" s="80"/>
      <c r="AK164" s="85" t="s">
        <v>871</v>
      </c>
      <c r="AL164" s="80" t="b">
        <v>0</v>
      </c>
      <c r="AM164" s="80">
        <v>3</v>
      </c>
      <c r="AN164" s="85" t="s">
        <v>857</v>
      </c>
      <c r="AO164" s="85" t="s">
        <v>890</v>
      </c>
      <c r="AP164" s="80" t="b">
        <v>0</v>
      </c>
      <c r="AQ164" s="85" t="s">
        <v>857</v>
      </c>
      <c r="AR164" s="80" t="s">
        <v>178</v>
      </c>
      <c r="AS164" s="80">
        <v>0</v>
      </c>
      <c r="AT164" s="80">
        <v>0</v>
      </c>
      <c r="AU164" s="80"/>
      <c r="AV164" s="80"/>
      <c r="AW164" s="80"/>
      <c r="AX164" s="80"/>
      <c r="AY164" s="80"/>
      <c r="AZ164" s="80"/>
      <c r="BA164" s="80"/>
      <c r="BB164" s="80"/>
      <c r="BC164">
        <v>1</v>
      </c>
      <c r="BD164" s="79" t="str">
        <f>REPLACE(INDEX(GroupVertices[Group],MATCH(Edges[[#This Row],[Vertex 1]],GroupVertices[Vertex],0)),1,1,"")</f>
        <v>7</v>
      </c>
      <c r="BE164" s="79" t="str">
        <f>REPLACE(INDEX(GroupVertices[Group],MATCH(Edges[[#This Row],[Vertex 2]],GroupVertices[Vertex],0)),1,1,"")</f>
        <v>7</v>
      </c>
      <c r="BF164" s="49">
        <v>0</v>
      </c>
      <c r="BG164" s="50">
        <v>0</v>
      </c>
      <c r="BH164" s="49">
        <v>0</v>
      </c>
      <c r="BI164" s="50">
        <v>0</v>
      </c>
      <c r="BJ164" s="49">
        <v>0</v>
      </c>
      <c r="BK164" s="50">
        <v>0</v>
      </c>
      <c r="BL164" s="49">
        <v>22</v>
      </c>
      <c r="BM164" s="50">
        <v>100</v>
      </c>
      <c r="BN164" s="49">
        <v>22</v>
      </c>
    </row>
    <row r="165" spans="1:66" ht="15">
      <c r="A165" s="65" t="s">
        <v>296</v>
      </c>
      <c r="B165" s="65" t="s">
        <v>296</v>
      </c>
      <c r="C165" s="66" t="s">
        <v>2698</v>
      </c>
      <c r="D165" s="67">
        <v>4</v>
      </c>
      <c r="E165" s="68" t="s">
        <v>132</v>
      </c>
      <c r="F165" s="69">
        <v>30</v>
      </c>
      <c r="G165" s="66"/>
      <c r="H165" s="70"/>
      <c r="I165" s="71"/>
      <c r="J165" s="71"/>
      <c r="K165" s="35" t="s">
        <v>65</v>
      </c>
      <c r="L165" s="78">
        <v>165</v>
      </c>
      <c r="M165" s="78"/>
      <c r="N165" s="73"/>
      <c r="O165" s="80" t="s">
        <v>178</v>
      </c>
      <c r="P165" s="82">
        <v>44460.86170138889</v>
      </c>
      <c r="Q165" s="80" t="s">
        <v>427</v>
      </c>
      <c r="R165" s="80"/>
      <c r="S165" s="80"/>
      <c r="T165" s="85" t="s">
        <v>500</v>
      </c>
      <c r="U165" s="80"/>
      <c r="V165" s="83" t="str">
        <f>HYPERLINK("https://pbs.twimg.com/profile_images/830271639027798016/zsgYnpWH_normal.jpg")</f>
        <v>https://pbs.twimg.com/profile_images/830271639027798016/zsgYnpWH_normal.jpg</v>
      </c>
      <c r="W165" s="82">
        <v>44460.86170138889</v>
      </c>
      <c r="X165" s="88">
        <v>44460</v>
      </c>
      <c r="Y165" s="85" t="s">
        <v>617</v>
      </c>
      <c r="Z165" s="83" t="str">
        <f>HYPERLINK("https://twitter.com/jorgeberna/status/1440415752335466511")</f>
        <v>https://twitter.com/jorgeberna/status/1440415752335466511</v>
      </c>
      <c r="AA165" s="80"/>
      <c r="AB165" s="80"/>
      <c r="AC165" s="85" t="s">
        <v>790</v>
      </c>
      <c r="AD165" s="80"/>
      <c r="AE165" s="80" t="b">
        <v>0</v>
      </c>
      <c r="AF165" s="80">
        <v>1</v>
      </c>
      <c r="AG165" s="85" t="s">
        <v>871</v>
      </c>
      <c r="AH165" s="80" t="b">
        <v>0</v>
      </c>
      <c r="AI165" s="80" t="s">
        <v>882</v>
      </c>
      <c r="AJ165" s="80"/>
      <c r="AK165" s="85" t="s">
        <v>871</v>
      </c>
      <c r="AL165" s="80" t="b">
        <v>0</v>
      </c>
      <c r="AM165" s="80">
        <v>0</v>
      </c>
      <c r="AN165" s="85" t="s">
        <v>871</v>
      </c>
      <c r="AO165" s="85" t="s">
        <v>890</v>
      </c>
      <c r="AP165" s="80" t="b">
        <v>0</v>
      </c>
      <c r="AQ165" s="85" t="s">
        <v>790</v>
      </c>
      <c r="AR165" s="80" t="s">
        <v>178</v>
      </c>
      <c r="AS165" s="80">
        <v>0</v>
      </c>
      <c r="AT165" s="80">
        <v>0</v>
      </c>
      <c r="AU165" s="80"/>
      <c r="AV165" s="80"/>
      <c r="AW165" s="80"/>
      <c r="AX165" s="80"/>
      <c r="AY165" s="80"/>
      <c r="AZ165" s="80"/>
      <c r="BA165" s="80"/>
      <c r="BB165" s="80"/>
      <c r="BC165">
        <v>1</v>
      </c>
      <c r="BD165" s="79" t="str">
        <f>REPLACE(INDEX(GroupVertices[Group],MATCH(Edges[[#This Row],[Vertex 1]],GroupVertices[Vertex],0)),1,1,"")</f>
        <v>4</v>
      </c>
      <c r="BE165" s="79" t="str">
        <f>REPLACE(INDEX(GroupVertices[Group],MATCH(Edges[[#This Row],[Vertex 2]],GroupVertices[Vertex],0)),1,1,"")</f>
        <v>4</v>
      </c>
      <c r="BF165" s="49">
        <v>0</v>
      </c>
      <c r="BG165" s="50">
        <v>0</v>
      </c>
      <c r="BH165" s="49">
        <v>0</v>
      </c>
      <c r="BI165" s="50">
        <v>0</v>
      </c>
      <c r="BJ165" s="49">
        <v>0</v>
      </c>
      <c r="BK165" s="50">
        <v>0</v>
      </c>
      <c r="BL165" s="49">
        <v>28</v>
      </c>
      <c r="BM165" s="50">
        <v>100</v>
      </c>
      <c r="BN165" s="49">
        <v>28</v>
      </c>
    </row>
    <row r="166" spans="1:66" ht="15">
      <c r="A166" s="65" t="s">
        <v>297</v>
      </c>
      <c r="B166" s="65" t="s">
        <v>332</v>
      </c>
      <c r="C166" s="66" t="s">
        <v>2698</v>
      </c>
      <c r="D166" s="67">
        <v>4</v>
      </c>
      <c r="E166" s="68" t="s">
        <v>132</v>
      </c>
      <c r="F166" s="69">
        <v>30</v>
      </c>
      <c r="G166" s="66"/>
      <c r="H166" s="70"/>
      <c r="I166" s="71"/>
      <c r="J166" s="71"/>
      <c r="K166" s="35" t="s">
        <v>65</v>
      </c>
      <c r="L166" s="78">
        <v>166</v>
      </c>
      <c r="M166" s="78"/>
      <c r="N166" s="73"/>
      <c r="O166" s="80" t="s">
        <v>383</v>
      </c>
      <c r="P166" s="82">
        <v>44460.86759259259</v>
      </c>
      <c r="Q166" s="80" t="s">
        <v>425</v>
      </c>
      <c r="R166" s="80"/>
      <c r="S166" s="80"/>
      <c r="T166" s="85" t="s">
        <v>498</v>
      </c>
      <c r="U166" s="83" t="str">
        <f>HYPERLINK("https://pbs.twimg.com/media/E_1U1pPVEAImP5O.jpg")</f>
        <v>https://pbs.twimg.com/media/E_1U1pPVEAImP5O.jpg</v>
      </c>
      <c r="V166" s="83" t="str">
        <f>HYPERLINK("https://pbs.twimg.com/media/E_1U1pPVEAImP5O.jpg")</f>
        <v>https://pbs.twimg.com/media/E_1U1pPVEAImP5O.jpg</v>
      </c>
      <c r="W166" s="82">
        <v>44460.86759259259</v>
      </c>
      <c r="X166" s="88">
        <v>44460</v>
      </c>
      <c r="Y166" s="85" t="s">
        <v>618</v>
      </c>
      <c r="Z166" s="83" t="str">
        <f>HYPERLINK("https://twitter.com/janethsot/status/1440417885805965312")</f>
        <v>https://twitter.com/janethsot/status/1440417885805965312</v>
      </c>
      <c r="AA166" s="80"/>
      <c r="AB166" s="80"/>
      <c r="AC166" s="85" t="s">
        <v>791</v>
      </c>
      <c r="AD166" s="80"/>
      <c r="AE166" s="80" t="b">
        <v>0</v>
      </c>
      <c r="AF166" s="80">
        <v>0</v>
      </c>
      <c r="AG166" s="85" t="s">
        <v>871</v>
      </c>
      <c r="AH166" s="80" t="b">
        <v>0</v>
      </c>
      <c r="AI166" s="80" t="s">
        <v>882</v>
      </c>
      <c r="AJ166" s="80"/>
      <c r="AK166" s="85" t="s">
        <v>871</v>
      </c>
      <c r="AL166" s="80" t="b">
        <v>0</v>
      </c>
      <c r="AM166" s="80">
        <v>36</v>
      </c>
      <c r="AN166" s="85" t="s">
        <v>830</v>
      </c>
      <c r="AO166" s="85" t="s">
        <v>889</v>
      </c>
      <c r="AP166" s="80" t="b">
        <v>0</v>
      </c>
      <c r="AQ166" s="85" t="s">
        <v>830</v>
      </c>
      <c r="AR166" s="80" t="s">
        <v>178</v>
      </c>
      <c r="AS166" s="80">
        <v>0</v>
      </c>
      <c r="AT166" s="80">
        <v>0</v>
      </c>
      <c r="AU166" s="80"/>
      <c r="AV166" s="80"/>
      <c r="AW166" s="80"/>
      <c r="AX166" s="80"/>
      <c r="AY166" s="80"/>
      <c r="AZ166" s="80"/>
      <c r="BA166" s="80"/>
      <c r="BB166" s="80"/>
      <c r="BC166">
        <v>1</v>
      </c>
      <c r="BD166" s="79" t="str">
        <f>REPLACE(INDEX(GroupVertices[Group],MATCH(Edges[[#This Row],[Vertex 1]],GroupVertices[Vertex],0)),1,1,"")</f>
        <v>1</v>
      </c>
      <c r="BE166" s="79" t="str">
        <f>REPLACE(INDEX(GroupVertices[Group],MATCH(Edges[[#This Row],[Vertex 2]],GroupVertices[Vertex],0)),1,1,"")</f>
        <v>1</v>
      </c>
      <c r="BF166" s="49">
        <v>0</v>
      </c>
      <c r="BG166" s="50">
        <v>0</v>
      </c>
      <c r="BH166" s="49">
        <v>0</v>
      </c>
      <c r="BI166" s="50">
        <v>0</v>
      </c>
      <c r="BJ166" s="49">
        <v>0</v>
      </c>
      <c r="BK166" s="50">
        <v>0</v>
      </c>
      <c r="BL166" s="49">
        <v>38</v>
      </c>
      <c r="BM166" s="50">
        <v>100</v>
      </c>
      <c r="BN166" s="49">
        <v>38</v>
      </c>
    </row>
    <row r="167" spans="1:66" ht="15">
      <c r="A167" s="65" t="s">
        <v>298</v>
      </c>
      <c r="B167" s="65" t="s">
        <v>332</v>
      </c>
      <c r="C167" s="66" t="s">
        <v>2698</v>
      </c>
      <c r="D167" s="67">
        <v>4</v>
      </c>
      <c r="E167" s="68" t="s">
        <v>132</v>
      </c>
      <c r="F167" s="69">
        <v>30</v>
      </c>
      <c r="G167" s="66"/>
      <c r="H167" s="70"/>
      <c r="I167" s="71"/>
      <c r="J167" s="71"/>
      <c r="K167" s="35" t="s">
        <v>65</v>
      </c>
      <c r="L167" s="78">
        <v>167</v>
      </c>
      <c r="M167" s="78"/>
      <c r="N167" s="73"/>
      <c r="O167" s="80" t="s">
        <v>383</v>
      </c>
      <c r="P167" s="82">
        <v>44460.88575231482</v>
      </c>
      <c r="Q167" s="80" t="s">
        <v>425</v>
      </c>
      <c r="R167" s="80"/>
      <c r="S167" s="80"/>
      <c r="T167" s="85" t="s">
        <v>498</v>
      </c>
      <c r="U167" s="83" t="str">
        <f>HYPERLINK("https://pbs.twimg.com/media/E_1U1pPVEAImP5O.jpg")</f>
        <v>https://pbs.twimg.com/media/E_1U1pPVEAImP5O.jpg</v>
      </c>
      <c r="V167" s="83" t="str">
        <f>HYPERLINK("https://pbs.twimg.com/media/E_1U1pPVEAImP5O.jpg")</f>
        <v>https://pbs.twimg.com/media/E_1U1pPVEAImP5O.jpg</v>
      </c>
      <c r="W167" s="82">
        <v>44460.88575231482</v>
      </c>
      <c r="X167" s="88">
        <v>44460</v>
      </c>
      <c r="Y167" s="85" t="s">
        <v>619</v>
      </c>
      <c r="Z167" s="83" t="str">
        <f>HYPERLINK("https://twitter.com/javierazua7/status/1440424468191481858")</f>
        <v>https://twitter.com/javierazua7/status/1440424468191481858</v>
      </c>
      <c r="AA167" s="80"/>
      <c r="AB167" s="80"/>
      <c r="AC167" s="85" t="s">
        <v>792</v>
      </c>
      <c r="AD167" s="80"/>
      <c r="AE167" s="80" t="b">
        <v>0</v>
      </c>
      <c r="AF167" s="80">
        <v>0</v>
      </c>
      <c r="AG167" s="85" t="s">
        <v>871</v>
      </c>
      <c r="AH167" s="80" t="b">
        <v>0</v>
      </c>
      <c r="AI167" s="80" t="s">
        <v>882</v>
      </c>
      <c r="AJ167" s="80"/>
      <c r="AK167" s="85" t="s">
        <v>871</v>
      </c>
      <c r="AL167" s="80" t="b">
        <v>0</v>
      </c>
      <c r="AM167" s="80">
        <v>36</v>
      </c>
      <c r="AN167" s="85" t="s">
        <v>830</v>
      </c>
      <c r="AO167" s="85" t="s">
        <v>889</v>
      </c>
      <c r="AP167" s="80" t="b">
        <v>0</v>
      </c>
      <c r="AQ167" s="85" t="s">
        <v>830</v>
      </c>
      <c r="AR167" s="80" t="s">
        <v>178</v>
      </c>
      <c r="AS167" s="80">
        <v>0</v>
      </c>
      <c r="AT167" s="80">
        <v>0</v>
      </c>
      <c r="AU167" s="80"/>
      <c r="AV167" s="80"/>
      <c r="AW167" s="80"/>
      <c r="AX167" s="80"/>
      <c r="AY167" s="80"/>
      <c r="AZ167" s="80"/>
      <c r="BA167" s="80"/>
      <c r="BB167" s="80"/>
      <c r="BC167">
        <v>1</v>
      </c>
      <c r="BD167" s="79" t="str">
        <f>REPLACE(INDEX(GroupVertices[Group],MATCH(Edges[[#This Row],[Vertex 1]],GroupVertices[Vertex],0)),1,1,"")</f>
        <v>1</v>
      </c>
      <c r="BE167" s="79" t="str">
        <f>REPLACE(INDEX(GroupVertices[Group],MATCH(Edges[[#This Row],[Vertex 2]],GroupVertices[Vertex],0)),1,1,"")</f>
        <v>1</v>
      </c>
      <c r="BF167" s="49">
        <v>0</v>
      </c>
      <c r="BG167" s="50">
        <v>0</v>
      </c>
      <c r="BH167" s="49">
        <v>0</v>
      </c>
      <c r="BI167" s="50">
        <v>0</v>
      </c>
      <c r="BJ167" s="49">
        <v>0</v>
      </c>
      <c r="BK167" s="50">
        <v>0</v>
      </c>
      <c r="BL167" s="49">
        <v>38</v>
      </c>
      <c r="BM167" s="50">
        <v>100</v>
      </c>
      <c r="BN167" s="49">
        <v>38</v>
      </c>
    </row>
    <row r="168" spans="1:66" ht="15">
      <c r="A168" s="65" t="s">
        <v>269</v>
      </c>
      <c r="B168" s="65" t="s">
        <v>269</v>
      </c>
      <c r="C168" s="66" t="s">
        <v>2699</v>
      </c>
      <c r="D168" s="67">
        <v>10</v>
      </c>
      <c r="E168" s="68" t="s">
        <v>136</v>
      </c>
      <c r="F168" s="69">
        <v>10</v>
      </c>
      <c r="G168" s="66"/>
      <c r="H168" s="70"/>
      <c r="I168" s="71"/>
      <c r="J168" s="71"/>
      <c r="K168" s="35" t="s">
        <v>65</v>
      </c>
      <c r="L168" s="78">
        <v>168</v>
      </c>
      <c r="M168" s="78"/>
      <c r="N168" s="73"/>
      <c r="O168" s="80" t="s">
        <v>178</v>
      </c>
      <c r="P168" s="82">
        <v>44456.51936342593</v>
      </c>
      <c r="Q168" s="80" t="s">
        <v>389</v>
      </c>
      <c r="R168" s="83" t="str">
        <f>HYPERLINK("https://www.diariodelsur.com.mx/local/activa-guardia-nacional-busqueda-de-migrantes-en-taxis-7222717.html")</f>
        <v>https://www.diariodelsur.com.mx/local/activa-guardia-nacional-busqueda-de-migrantes-en-taxis-7222717.html</v>
      </c>
      <c r="S168" s="80" t="s">
        <v>451</v>
      </c>
      <c r="T168" s="85" t="s">
        <v>470</v>
      </c>
      <c r="U168" s="80"/>
      <c r="V168" s="83" t="str">
        <f>HYPERLINK("https://pbs.twimg.com/profile_images/1290604044021637121/mkF_MKL3_normal.jpg")</f>
        <v>https://pbs.twimg.com/profile_images/1290604044021637121/mkF_MKL3_normal.jpg</v>
      </c>
      <c r="W168" s="82">
        <v>44456.51936342593</v>
      </c>
      <c r="X168" s="88">
        <v>44456</v>
      </c>
      <c r="Y168" s="85" t="s">
        <v>620</v>
      </c>
      <c r="Z168" s="83" t="str">
        <f>HYPERLINK("https://twitter.com/chrispeverieri/status/1438842141804056579")</f>
        <v>https://twitter.com/chrispeverieri/status/1438842141804056579</v>
      </c>
      <c r="AA168" s="80"/>
      <c r="AB168" s="80"/>
      <c r="AC168" s="85" t="s">
        <v>793</v>
      </c>
      <c r="AD168" s="80"/>
      <c r="AE168" s="80" t="b">
        <v>0</v>
      </c>
      <c r="AF168" s="80">
        <v>5</v>
      </c>
      <c r="AG168" s="85" t="s">
        <v>871</v>
      </c>
      <c r="AH168" s="80" t="b">
        <v>0</v>
      </c>
      <c r="AI168" s="80" t="s">
        <v>883</v>
      </c>
      <c r="AJ168" s="80"/>
      <c r="AK168" s="85" t="s">
        <v>871</v>
      </c>
      <c r="AL168" s="80" t="b">
        <v>0</v>
      </c>
      <c r="AM168" s="80">
        <v>4</v>
      </c>
      <c r="AN168" s="85" t="s">
        <v>871</v>
      </c>
      <c r="AO168" s="85" t="s">
        <v>890</v>
      </c>
      <c r="AP168" s="80" t="b">
        <v>0</v>
      </c>
      <c r="AQ168" s="85" t="s">
        <v>793</v>
      </c>
      <c r="AR168" s="80" t="s">
        <v>178</v>
      </c>
      <c r="AS168" s="80">
        <v>0</v>
      </c>
      <c r="AT168" s="80">
        <v>0</v>
      </c>
      <c r="AU168" s="80"/>
      <c r="AV168" s="80"/>
      <c r="AW168" s="80"/>
      <c r="AX168" s="80"/>
      <c r="AY168" s="80"/>
      <c r="AZ168" s="80"/>
      <c r="BA168" s="80"/>
      <c r="BB168" s="80"/>
      <c r="BC168">
        <v>9</v>
      </c>
      <c r="BD168" s="79" t="str">
        <f>REPLACE(INDEX(GroupVertices[Group],MATCH(Edges[[#This Row],[Vertex 1]],GroupVertices[Vertex],0)),1,1,"")</f>
        <v>3</v>
      </c>
      <c r="BE168" s="79" t="str">
        <f>REPLACE(INDEX(GroupVertices[Group],MATCH(Edges[[#This Row],[Vertex 2]],GroupVertices[Vertex],0)),1,1,"")</f>
        <v>3</v>
      </c>
      <c r="BF168" s="49">
        <v>1</v>
      </c>
      <c r="BG168" s="50">
        <v>2.5</v>
      </c>
      <c r="BH168" s="49">
        <v>0</v>
      </c>
      <c r="BI168" s="50">
        <v>0</v>
      </c>
      <c r="BJ168" s="49">
        <v>0</v>
      </c>
      <c r="BK168" s="50">
        <v>0</v>
      </c>
      <c r="BL168" s="49">
        <v>39</v>
      </c>
      <c r="BM168" s="50">
        <v>97.5</v>
      </c>
      <c r="BN168" s="49">
        <v>40</v>
      </c>
    </row>
    <row r="169" spans="1:66" ht="15">
      <c r="A169" s="65" t="s">
        <v>269</v>
      </c>
      <c r="B169" s="65" t="s">
        <v>269</v>
      </c>
      <c r="C169" s="66" t="s">
        <v>2699</v>
      </c>
      <c r="D169" s="67">
        <v>10</v>
      </c>
      <c r="E169" s="68" t="s">
        <v>136</v>
      </c>
      <c r="F169" s="69">
        <v>10</v>
      </c>
      <c r="G169" s="66"/>
      <c r="H169" s="70"/>
      <c r="I169" s="71"/>
      <c r="J169" s="71"/>
      <c r="K169" s="35" t="s">
        <v>65</v>
      </c>
      <c r="L169" s="78">
        <v>169</v>
      </c>
      <c r="M169" s="78"/>
      <c r="N169" s="73"/>
      <c r="O169" s="80" t="s">
        <v>178</v>
      </c>
      <c r="P169" s="82">
        <v>44456.87774305556</v>
      </c>
      <c r="Q169" s="80" t="s">
        <v>393</v>
      </c>
      <c r="R169" s="83" t="str">
        <f>HYPERLINK("https://movimientomigrantemesoamericano.org/2021/09/16/se-desborda-flujo-migratorio/")</f>
        <v>https://movimientomigrantemesoamericano.org/2021/09/16/se-desborda-flujo-migratorio/</v>
      </c>
      <c r="S169" s="80" t="s">
        <v>453</v>
      </c>
      <c r="T169" s="85" t="s">
        <v>474</v>
      </c>
      <c r="U169" s="80"/>
      <c r="V169" s="83" t="str">
        <f>HYPERLINK("https://pbs.twimg.com/profile_images/1290604044021637121/mkF_MKL3_normal.jpg")</f>
        <v>https://pbs.twimg.com/profile_images/1290604044021637121/mkF_MKL3_normal.jpg</v>
      </c>
      <c r="W169" s="82">
        <v>44456.87774305556</v>
      </c>
      <c r="X169" s="88">
        <v>44456</v>
      </c>
      <c r="Y169" s="85" t="s">
        <v>621</v>
      </c>
      <c r="Z169" s="83" t="str">
        <f>HYPERLINK("https://twitter.com/chrispeverieri/status/1438972013033529344")</f>
        <v>https://twitter.com/chrispeverieri/status/1438972013033529344</v>
      </c>
      <c r="AA169" s="80"/>
      <c r="AB169" s="80"/>
      <c r="AC169" s="85" t="s">
        <v>794</v>
      </c>
      <c r="AD169" s="80"/>
      <c r="AE169" s="80" t="b">
        <v>0</v>
      </c>
      <c r="AF169" s="80">
        <v>2</v>
      </c>
      <c r="AG169" s="85" t="s">
        <v>871</v>
      </c>
      <c r="AH169" s="80" t="b">
        <v>0</v>
      </c>
      <c r="AI169" s="80" t="s">
        <v>883</v>
      </c>
      <c r="AJ169" s="80"/>
      <c r="AK169" s="85" t="s">
        <v>871</v>
      </c>
      <c r="AL169" s="80" t="b">
        <v>0</v>
      </c>
      <c r="AM169" s="80">
        <v>2</v>
      </c>
      <c r="AN169" s="85" t="s">
        <v>871</v>
      </c>
      <c r="AO169" s="85" t="s">
        <v>890</v>
      </c>
      <c r="AP169" s="80" t="b">
        <v>0</v>
      </c>
      <c r="AQ169" s="85" t="s">
        <v>794</v>
      </c>
      <c r="AR169" s="80" t="s">
        <v>178</v>
      </c>
      <c r="AS169" s="80">
        <v>0</v>
      </c>
      <c r="AT169" s="80">
        <v>0</v>
      </c>
      <c r="AU169" s="80"/>
      <c r="AV169" s="80"/>
      <c r="AW169" s="80"/>
      <c r="AX169" s="80"/>
      <c r="AY169" s="80"/>
      <c r="AZ169" s="80"/>
      <c r="BA169" s="80"/>
      <c r="BB169" s="80"/>
      <c r="BC169">
        <v>9</v>
      </c>
      <c r="BD169" s="79" t="str">
        <f>REPLACE(INDEX(GroupVertices[Group],MATCH(Edges[[#This Row],[Vertex 1]],GroupVertices[Vertex],0)),1,1,"")</f>
        <v>3</v>
      </c>
      <c r="BE169" s="79" t="str">
        <f>REPLACE(INDEX(GroupVertices[Group],MATCH(Edges[[#This Row],[Vertex 2]],GroupVertices[Vertex],0)),1,1,"")</f>
        <v>3</v>
      </c>
      <c r="BF169" s="49">
        <v>0</v>
      </c>
      <c r="BG169" s="50">
        <v>0</v>
      </c>
      <c r="BH169" s="49">
        <v>0</v>
      </c>
      <c r="BI169" s="50">
        <v>0</v>
      </c>
      <c r="BJ169" s="49">
        <v>0</v>
      </c>
      <c r="BK169" s="50">
        <v>0</v>
      </c>
      <c r="BL169" s="49">
        <v>29</v>
      </c>
      <c r="BM169" s="50">
        <v>100</v>
      </c>
      <c r="BN169" s="49">
        <v>29</v>
      </c>
    </row>
    <row r="170" spans="1:66" ht="15">
      <c r="A170" s="65" t="s">
        <v>269</v>
      </c>
      <c r="B170" s="65" t="s">
        <v>269</v>
      </c>
      <c r="C170" s="66" t="s">
        <v>2699</v>
      </c>
      <c r="D170" s="67">
        <v>10</v>
      </c>
      <c r="E170" s="68" t="s">
        <v>136</v>
      </c>
      <c r="F170" s="69">
        <v>10</v>
      </c>
      <c r="G170" s="66"/>
      <c r="H170" s="70"/>
      <c r="I170" s="71"/>
      <c r="J170" s="71"/>
      <c r="K170" s="35" t="s">
        <v>65</v>
      </c>
      <c r="L170" s="78">
        <v>170</v>
      </c>
      <c r="M170" s="78"/>
      <c r="N170" s="73"/>
      <c r="O170" s="80" t="s">
        <v>178</v>
      </c>
      <c r="P170" s="82">
        <v>44460.499444444446</v>
      </c>
      <c r="Q170" s="80" t="s">
        <v>420</v>
      </c>
      <c r="R170" s="83" t="str">
        <f>HYPERLINK("https://www.diariodelsur.com.mx/local/migrantes-intentan-salir-de-chiapas-con-rumbo-a-veracruz-7237222.html")</f>
        <v>https://www.diariodelsur.com.mx/local/migrantes-intentan-salir-de-chiapas-con-rumbo-a-veracruz-7237222.html</v>
      </c>
      <c r="S170" s="80" t="s">
        <v>451</v>
      </c>
      <c r="T170" s="85" t="s">
        <v>493</v>
      </c>
      <c r="U170" s="80"/>
      <c r="V170" s="83" t="str">
        <f>HYPERLINK("https://pbs.twimg.com/profile_images/1290604044021637121/mkF_MKL3_normal.jpg")</f>
        <v>https://pbs.twimg.com/profile_images/1290604044021637121/mkF_MKL3_normal.jpg</v>
      </c>
      <c r="W170" s="82">
        <v>44460.499444444446</v>
      </c>
      <c r="X170" s="88">
        <v>44460</v>
      </c>
      <c r="Y170" s="85" t="s">
        <v>622</v>
      </c>
      <c r="Z170" s="83" t="str">
        <f>HYPERLINK("https://twitter.com/chrispeverieri/status/1440284475644993555")</f>
        <v>https://twitter.com/chrispeverieri/status/1440284475644993555</v>
      </c>
      <c r="AA170" s="80"/>
      <c r="AB170" s="80"/>
      <c r="AC170" s="85" t="s">
        <v>795</v>
      </c>
      <c r="AD170" s="80"/>
      <c r="AE170" s="80" t="b">
        <v>0</v>
      </c>
      <c r="AF170" s="80">
        <v>3</v>
      </c>
      <c r="AG170" s="85" t="s">
        <v>871</v>
      </c>
      <c r="AH170" s="80" t="b">
        <v>0</v>
      </c>
      <c r="AI170" s="80" t="s">
        <v>883</v>
      </c>
      <c r="AJ170" s="80"/>
      <c r="AK170" s="85" t="s">
        <v>871</v>
      </c>
      <c r="AL170" s="80" t="b">
        <v>0</v>
      </c>
      <c r="AM170" s="80">
        <v>3</v>
      </c>
      <c r="AN170" s="85" t="s">
        <v>871</v>
      </c>
      <c r="AO170" s="85" t="s">
        <v>890</v>
      </c>
      <c r="AP170" s="80" t="b">
        <v>0</v>
      </c>
      <c r="AQ170" s="85" t="s">
        <v>795</v>
      </c>
      <c r="AR170" s="80" t="s">
        <v>178</v>
      </c>
      <c r="AS170" s="80">
        <v>0</v>
      </c>
      <c r="AT170" s="80">
        <v>0</v>
      </c>
      <c r="AU170" s="80"/>
      <c r="AV170" s="80"/>
      <c r="AW170" s="80"/>
      <c r="AX170" s="80"/>
      <c r="AY170" s="80"/>
      <c r="AZ170" s="80"/>
      <c r="BA170" s="80"/>
      <c r="BB170" s="80"/>
      <c r="BC170">
        <v>9</v>
      </c>
      <c r="BD170" s="79" t="str">
        <f>REPLACE(INDEX(GroupVertices[Group],MATCH(Edges[[#This Row],[Vertex 1]],GroupVertices[Vertex],0)),1,1,"")</f>
        <v>3</v>
      </c>
      <c r="BE170" s="79" t="str">
        <f>REPLACE(INDEX(GroupVertices[Group],MATCH(Edges[[#This Row],[Vertex 2]],GroupVertices[Vertex],0)),1,1,"")</f>
        <v>3</v>
      </c>
      <c r="BF170" s="49">
        <v>0</v>
      </c>
      <c r="BG170" s="50">
        <v>0</v>
      </c>
      <c r="BH170" s="49">
        <v>0</v>
      </c>
      <c r="BI170" s="50">
        <v>0</v>
      </c>
      <c r="BJ170" s="49">
        <v>0</v>
      </c>
      <c r="BK170" s="50">
        <v>0</v>
      </c>
      <c r="BL170" s="49">
        <v>35</v>
      </c>
      <c r="BM170" s="50">
        <v>100</v>
      </c>
      <c r="BN170" s="49">
        <v>35</v>
      </c>
    </row>
    <row r="171" spans="1:66" ht="15">
      <c r="A171" s="65" t="s">
        <v>299</v>
      </c>
      <c r="B171" s="65" t="s">
        <v>269</v>
      </c>
      <c r="C171" s="66" t="s">
        <v>2698</v>
      </c>
      <c r="D171" s="67">
        <v>4</v>
      </c>
      <c r="E171" s="68" t="s">
        <v>132</v>
      </c>
      <c r="F171" s="69">
        <v>30</v>
      </c>
      <c r="G171" s="66"/>
      <c r="H171" s="70"/>
      <c r="I171" s="71"/>
      <c r="J171" s="71"/>
      <c r="K171" s="35" t="s">
        <v>65</v>
      </c>
      <c r="L171" s="78">
        <v>171</v>
      </c>
      <c r="M171" s="78"/>
      <c r="N171" s="73"/>
      <c r="O171" s="80" t="s">
        <v>383</v>
      </c>
      <c r="P171" s="82">
        <v>44460.89082175926</v>
      </c>
      <c r="Q171" s="80" t="s">
        <v>420</v>
      </c>
      <c r="R171" s="83" t="str">
        <f>HYPERLINK("https://www.diariodelsur.com.mx/local/migrantes-intentan-salir-de-chiapas-con-rumbo-a-veracruz-7237222.html")</f>
        <v>https://www.diariodelsur.com.mx/local/migrantes-intentan-salir-de-chiapas-con-rumbo-a-veracruz-7237222.html</v>
      </c>
      <c r="S171" s="80" t="s">
        <v>451</v>
      </c>
      <c r="T171" s="85" t="s">
        <v>493</v>
      </c>
      <c r="U171" s="80"/>
      <c r="V171" s="83" t="str">
        <f>HYPERLINK("https://pbs.twimg.com/profile_images/2370229040/catrina504_normal.jpg")</f>
        <v>https://pbs.twimg.com/profile_images/2370229040/catrina504_normal.jpg</v>
      </c>
      <c r="W171" s="82">
        <v>44460.89082175926</v>
      </c>
      <c r="X171" s="88">
        <v>44460</v>
      </c>
      <c r="Y171" s="85" t="s">
        <v>623</v>
      </c>
      <c r="Z171" s="83" t="str">
        <f>HYPERLINK("https://twitter.com/selvita_sil/status/1440426302670921730")</f>
        <v>https://twitter.com/selvita_sil/status/1440426302670921730</v>
      </c>
      <c r="AA171" s="80"/>
      <c r="AB171" s="80"/>
      <c r="AC171" s="85" t="s">
        <v>796</v>
      </c>
      <c r="AD171" s="80"/>
      <c r="AE171" s="80" t="b">
        <v>0</v>
      </c>
      <c r="AF171" s="80">
        <v>0</v>
      </c>
      <c r="AG171" s="85" t="s">
        <v>871</v>
      </c>
      <c r="AH171" s="80" t="b">
        <v>0</v>
      </c>
      <c r="AI171" s="80" t="s">
        <v>883</v>
      </c>
      <c r="AJ171" s="80"/>
      <c r="AK171" s="85" t="s">
        <v>871</v>
      </c>
      <c r="AL171" s="80" t="b">
        <v>0</v>
      </c>
      <c r="AM171" s="80">
        <v>3</v>
      </c>
      <c r="AN171" s="85" t="s">
        <v>795</v>
      </c>
      <c r="AO171" s="85" t="s">
        <v>890</v>
      </c>
      <c r="AP171" s="80" t="b">
        <v>0</v>
      </c>
      <c r="AQ171" s="85" t="s">
        <v>795</v>
      </c>
      <c r="AR171" s="80" t="s">
        <v>178</v>
      </c>
      <c r="AS171" s="80">
        <v>0</v>
      </c>
      <c r="AT171" s="80">
        <v>0</v>
      </c>
      <c r="AU171" s="80"/>
      <c r="AV171" s="80"/>
      <c r="AW171" s="80"/>
      <c r="AX171" s="80"/>
      <c r="AY171" s="80"/>
      <c r="AZ171" s="80"/>
      <c r="BA171" s="80"/>
      <c r="BB171" s="80"/>
      <c r="BC171">
        <v>1</v>
      </c>
      <c r="BD171" s="79" t="str">
        <f>REPLACE(INDEX(GroupVertices[Group],MATCH(Edges[[#This Row],[Vertex 1]],GroupVertices[Vertex],0)),1,1,"")</f>
        <v>3</v>
      </c>
      <c r="BE171" s="79" t="str">
        <f>REPLACE(INDEX(GroupVertices[Group],MATCH(Edges[[#This Row],[Vertex 2]],GroupVertices[Vertex],0)),1,1,"")</f>
        <v>3</v>
      </c>
      <c r="BF171" s="49">
        <v>0</v>
      </c>
      <c r="BG171" s="50">
        <v>0</v>
      </c>
      <c r="BH171" s="49">
        <v>0</v>
      </c>
      <c r="BI171" s="50">
        <v>0</v>
      </c>
      <c r="BJ171" s="49">
        <v>0</v>
      </c>
      <c r="BK171" s="50">
        <v>0</v>
      </c>
      <c r="BL171" s="49">
        <v>35</v>
      </c>
      <c r="BM171" s="50">
        <v>100</v>
      </c>
      <c r="BN171" s="49">
        <v>35</v>
      </c>
    </row>
    <row r="172" spans="1:66" ht="15">
      <c r="A172" s="65" t="s">
        <v>300</v>
      </c>
      <c r="B172" s="65" t="s">
        <v>332</v>
      </c>
      <c r="C172" s="66" t="s">
        <v>2698</v>
      </c>
      <c r="D172" s="67">
        <v>4</v>
      </c>
      <c r="E172" s="68" t="s">
        <v>132</v>
      </c>
      <c r="F172" s="69">
        <v>30</v>
      </c>
      <c r="G172" s="66"/>
      <c r="H172" s="70"/>
      <c r="I172" s="71"/>
      <c r="J172" s="71"/>
      <c r="K172" s="35" t="s">
        <v>65</v>
      </c>
      <c r="L172" s="78">
        <v>172</v>
      </c>
      <c r="M172" s="78"/>
      <c r="N172" s="73"/>
      <c r="O172" s="80" t="s">
        <v>383</v>
      </c>
      <c r="P172" s="82">
        <v>44460.89671296296</v>
      </c>
      <c r="Q172" s="80" t="s">
        <v>425</v>
      </c>
      <c r="R172" s="80"/>
      <c r="S172" s="80"/>
      <c r="T172" s="85" t="s">
        <v>498</v>
      </c>
      <c r="U172" s="83" t="str">
        <f>HYPERLINK("https://pbs.twimg.com/media/E_1U1pPVEAImP5O.jpg")</f>
        <v>https://pbs.twimg.com/media/E_1U1pPVEAImP5O.jpg</v>
      </c>
      <c r="V172" s="83" t="str">
        <f>HYPERLINK("https://pbs.twimg.com/media/E_1U1pPVEAImP5O.jpg")</f>
        <v>https://pbs.twimg.com/media/E_1U1pPVEAImP5O.jpg</v>
      </c>
      <c r="W172" s="82">
        <v>44460.89671296296</v>
      </c>
      <c r="X172" s="88">
        <v>44460</v>
      </c>
      <c r="Y172" s="85" t="s">
        <v>624</v>
      </c>
      <c r="Z172" s="83" t="str">
        <f>HYPERLINK("https://twitter.com/gabhiy_oh/status/1440428439522070548")</f>
        <v>https://twitter.com/gabhiy_oh/status/1440428439522070548</v>
      </c>
      <c r="AA172" s="80"/>
      <c r="AB172" s="80"/>
      <c r="AC172" s="85" t="s">
        <v>797</v>
      </c>
      <c r="AD172" s="80"/>
      <c r="AE172" s="80" t="b">
        <v>0</v>
      </c>
      <c r="AF172" s="80">
        <v>0</v>
      </c>
      <c r="AG172" s="85" t="s">
        <v>871</v>
      </c>
      <c r="AH172" s="80" t="b">
        <v>0</v>
      </c>
      <c r="AI172" s="80" t="s">
        <v>882</v>
      </c>
      <c r="AJ172" s="80"/>
      <c r="AK172" s="85" t="s">
        <v>871</v>
      </c>
      <c r="AL172" s="80" t="b">
        <v>0</v>
      </c>
      <c r="AM172" s="80">
        <v>36</v>
      </c>
      <c r="AN172" s="85" t="s">
        <v>830</v>
      </c>
      <c r="AO172" s="85" t="s">
        <v>889</v>
      </c>
      <c r="AP172" s="80" t="b">
        <v>0</v>
      </c>
      <c r="AQ172" s="85" t="s">
        <v>830</v>
      </c>
      <c r="AR172" s="80" t="s">
        <v>178</v>
      </c>
      <c r="AS172" s="80">
        <v>0</v>
      </c>
      <c r="AT172" s="80">
        <v>0</v>
      </c>
      <c r="AU172" s="80"/>
      <c r="AV172" s="80"/>
      <c r="AW172" s="80"/>
      <c r="AX172" s="80"/>
      <c r="AY172" s="80"/>
      <c r="AZ172" s="80"/>
      <c r="BA172" s="80"/>
      <c r="BB172" s="80"/>
      <c r="BC172">
        <v>1</v>
      </c>
      <c r="BD172" s="79" t="str">
        <f>REPLACE(INDEX(GroupVertices[Group],MATCH(Edges[[#This Row],[Vertex 1]],GroupVertices[Vertex],0)),1,1,"")</f>
        <v>1</v>
      </c>
      <c r="BE172" s="79" t="str">
        <f>REPLACE(INDEX(GroupVertices[Group],MATCH(Edges[[#This Row],[Vertex 2]],GroupVertices[Vertex],0)),1,1,"")</f>
        <v>1</v>
      </c>
      <c r="BF172" s="49">
        <v>0</v>
      </c>
      <c r="BG172" s="50">
        <v>0</v>
      </c>
      <c r="BH172" s="49">
        <v>0</v>
      </c>
      <c r="BI172" s="50">
        <v>0</v>
      </c>
      <c r="BJ172" s="49">
        <v>0</v>
      </c>
      <c r="BK172" s="50">
        <v>0</v>
      </c>
      <c r="BL172" s="49">
        <v>38</v>
      </c>
      <c r="BM172" s="50">
        <v>100</v>
      </c>
      <c r="BN172" s="49">
        <v>38</v>
      </c>
    </row>
    <row r="173" spans="1:66" ht="15">
      <c r="A173" s="65" t="s">
        <v>301</v>
      </c>
      <c r="B173" s="65" t="s">
        <v>332</v>
      </c>
      <c r="C173" s="66" t="s">
        <v>2698</v>
      </c>
      <c r="D173" s="67">
        <v>4</v>
      </c>
      <c r="E173" s="68" t="s">
        <v>132</v>
      </c>
      <c r="F173" s="69">
        <v>30</v>
      </c>
      <c r="G173" s="66"/>
      <c r="H173" s="70"/>
      <c r="I173" s="71"/>
      <c r="J173" s="71"/>
      <c r="K173" s="35" t="s">
        <v>65</v>
      </c>
      <c r="L173" s="78">
        <v>173</v>
      </c>
      <c r="M173" s="78"/>
      <c r="N173" s="73"/>
      <c r="O173" s="80" t="s">
        <v>383</v>
      </c>
      <c r="P173" s="82">
        <v>44460.92391203704</v>
      </c>
      <c r="Q173" s="80" t="s">
        <v>425</v>
      </c>
      <c r="R173" s="80"/>
      <c r="S173" s="80"/>
      <c r="T173" s="85" t="s">
        <v>498</v>
      </c>
      <c r="U173" s="83" t="str">
        <f>HYPERLINK("https://pbs.twimg.com/media/E_1U1pPVEAImP5O.jpg")</f>
        <v>https://pbs.twimg.com/media/E_1U1pPVEAImP5O.jpg</v>
      </c>
      <c r="V173" s="83" t="str">
        <f>HYPERLINK("https://pbs.twimg.com/media/E_1U1pPVEAImP5O.jpg")</f>
        <v>https://pbs.twimg.com/media/E_1U1pPVEAImP5O.jpg</v>
      </c>
      <c r="W173" s="82">
        <v>44460.92391203704</v>
      </c>
      <c r="X173" s="88">
        <v>44460</v>
      </c>
      <c r="Y173" s="85" t="s">
        <v>625</v>
      </c>
      <c r="Z173" s="83" t="str">
        <f>HYPERLINK("https://twitter.com/agustin60803348/status/1440438296014843912")</f>
        <v>https://twitter.com/agustin60803348/status/1440438296014843912</v>
      </c>
      <c r="AA173" s="80"/>
      <c r="AB173" s="80"/>
      <c r="AC173" s="85" t="s">
        <v>798</v>
      </c>
      <c r="AD173" s="80"/>
      <c r="AE173" s="80" t="b">
        <v>0</v>
      </c>
      <c r="AF173" s="80">
        <v>0</v>
      </c>
      <c r="AG173" s="85" t="s">
        <v>871</v>
      </c>
      <c r="AH173" s="80" t="b">
        <v>0</v>
      </c>
      <c r="AI173" s="80" t="s">
        <v>882</v>
      </c>
      <c r="AJ173" s="80"/>
      <c r="AK173" s="85" t="s">
        <v>871</v>
      </c>
      <c r="AL173" s="80" t="b">
        <v>0</v>
      </c>
      <c r="AM173" s="80">
        <v>36</v>
      </c>
      <c r="AN173" s="85" t="s">
        <v>830</v>
      </c>
      <c r="AO173" s="85" t="s">
        <v>889</v>
      </c>
      <c r="AP173" s="80" t="b">
        <v>0</v>
      </c>
      <c r="AQ173" s="85" t="s">
        <v>830</v>
      </c>
      <c r="AR173" s="80" t="s">
        <v>178</v>
      </c>
      <c r="AS173" s="80">
        <v>0</v>
      </c>
      <c r="AT173" s="80">
        <v>0</v>
      </c>
      <c r="AU173" s="80"/>
      <c r="AV173" s="80"/>
      <c r="AW173" s="80"/>
      <c r="AX173" s="80"/>
      <c r="AY173" s="80"/>
      <c r="AZ173" s="80"/>
      <c r="BA173" s="80"/>
      <c r="BB173" s="80"/>
      <c r="BC173">
        <v>1</v>
      </c>
      <c r="BD173" s="79" t="str">
        <f>REPLACE(INDEX(GroupVertices[Group],MATCH(Edges[[#This Row],[Vertex 1]],GroupVertices[Vertex],0)),1,1,"")</f>
        <v>1</v>
      </c>
      <c r="BE173" s="79" t="str">
        <f>REPLACE(INDEX(GroupVertices[Group],MATCH(Edges[[#This Row],[Vertex 2]],GroupVertices[Vertex],0)),1,1,"")</f>
        <v>1</v>
      </c>
      <c r="BF173" s="49">
        <v>0</v>
      </c>
      <c r="BG173" s="50">
        <v>0</v>
      </c>
      <c r="BH173" s="49">
        <v>0</v>
      </c>
      <c r="BI173" s="50">
        <v>0</v>
      </c>
      <c r="BJ173" s="49">
        <v>0</v>
      </c>
      <c r="BK173" s="50">
        <v>0</v>
      </c>
      <c r="BL173" s="49">
        <v>38</v>
      </c>
      <c r="BM173" s="50">
        <v>100</v>
      </c>
      <c r="BN173" s="49">
        <v>38</v>
      </c>
    </row>
    <row r="174" spans="1:66" ht="15">
      <c r="A174" s="65" t="s">
        <v>302</v>
      </c>
      <c r="B174" s="65" t="s">
        <v>332</v>
      </c>
      <c r="C174" s="66" t="s">
        <v>2698</v>
      </c>
      <c r="D174" s="67">
        <v>4</v>
      </c>
      <c r="E174" s="68" t="s">
        <v>132</v>
      </c>
      <c r="F174" s="69">
        <v>30</v>
      </c>
      <c r="G174" s="66"/>
      <c r="H174" s="70"/>
      <c r="I174" s="71"/>
      <c r="J174" s="71"/>
      <c r="K174" s="35" t="s">
        <v>65</v>
      </c>
      <c r="L174" s="78">
        <v>174</v>
      </c>
      <c r="M174" s="78"/>
      <c r="N174" s="73"/>
      <c r="O174" s="80" t="s">
        <v>383</v>
      </c>
      <c r="P174" s="82">
        <v>44460.93454861111</v>
      </c>
      <c r="Q174" s="80" t="s">
        <v>425</v>
      </c>
      <c r="R174" s="80"/>
      <c r="S174" s="80"/>
      <c r="T174" s="85" t="s">
        <v>498</v>
      </c>
      <c r="U174" s="83" t="str">
        <f>HYPERLINK("https://pbs.twimg.com/media/E_1U1pPVEAImP5O.jpg")</f>
        <v>https://pbs.twimg.com/media/E_1U1pPVEAImP5O.jpg</v>
      </c>
      <c r="V174" s="83" t="str">
        <f>HYPERLINK("https://pbs.twimg.com/media/E_1U1pPVEAImP5O.jpg")</f>
        <v>https://pbs.twimg.com/media/E_1U1pPVEAImP5O.jpg</v>
      </c>
      <c r="W174" s="82">
        <v>44460.93454861111</v>
      </c>
      <c r="X174" s="88">
        <v>44460</v>
      </c>
      <c r="Y174" s="85" t="s">
        <v>626</v>
      </c>
      <c r="Z174" s="83" t="str">
        <f>HYPERLINK("https://twitter.com/tigre_ttn2/status/1440442149976219656")</f>
        <v>https://twitter.com/tigre_ttn2/status/1440442149976219656</v>
      </c>
      <c r="AA174" s="80"/>
      <c r="AB174" s="80"/>
      <c r="AC174" s="85" t="s">
        <v>799</v>
      </c>
      <c r="AD174" s="80"/>
      <c r="AE174" s="80" t="b">
        <v>0</v>
      </c>
      <c r="AF174" s="80">
        <v>0</v>
      </c>
      <c r="AG174" s="85" t="s">
        <v>871</v>
      </c>
      <c r="AH174" s="80" t="b">
        <v>0</v>
      </c>
      <c r="AI174" s="80" t="s">
        <v>882</v>
      </c>
      <c r="AJ174" s="80"/>
      <c r="AK174" s="85" t="s">
        <v>871</v>
      </c>
      <c r="AL174" s="80" t="b">
        <v>0</v>
      </c>
      <c r="AM174" s="80">
        <v>36</v>
      </c>
      <c r="AN174" s="85" t="s">
        <v>830</v>
      </c>
      <c r="AO174" s="85" t="s">
        <v>889</v>
      </c>
      <c r="AP174" s="80" t="b">
        <v>0</v>
      </c>
      <c r="AQ174" s="85" t="s">
        <v>830</v>
      </c>
      <c r="AR174" s="80" t="s">
        <v>178</v>
      </c>
      <c r="AS174" s="80">
        <v>0</v>
      </c>
      <c r="AT174" s="80">
        <v>0</v>
      </c>
      <c r="AU174" s="80"/>
      <c r="AV174" s="80"/>
      <c r="AW174" s="80"/>
      <c r="AX174" s="80"/>
      <c r="AY174" s="80"/>
      <c r="AZ174" s="80"/>
      <c r="BA174" s="80"/>
      <c r="BB174" s="80"/>
      <c r="BC174">
        <v>1</v>
      </c>
      <c r="BD174" s="79" t="str">
        <f>REPLACE(INDEX(GroupVertices[Group],MATCH(Edges[[#This Row],[Vertex 1]],GroupVertices[Vertex],0)),1,1,"")</f>
        <v>1</v>
      </c>
      <c r="BE174" s="79" t="str">
        <f>REPLACE(INDEX(GroupVertices[Group],MATCH(Edges[[#This Row],[Vertex 2]],GroupVertices[Vertex],0)),1,1,"")</f>
        <v>1</v>
      </c>
      <c r="BF174" s="49">
        <v>0</v>
      </c>
      <c r="BG174" s="50">
        <v>0</v>
      </c>
      <c r="BH174" s="49">
        <v>0</v>
      </c>
      <c r="BI174" s="50">
        <v>0</v>
      </c>
      <c r="BJ174" s="49">
        <v>0</v>
      </c>
      <c r="BK174" s="50">
        <v>0</v>
      </c>
      <c r="BL174" s="49">
        <v>38</v>
      </c>
      <c r="BM174" s="50">
        <v>100</v>
      </c>
      <c r="BN174" s="49">
        <v>38</v>
      </c>
    </row>
    <row r="175" spans="1:66" ht="15">
      <c r="A175" s="65" t="s">
        <v>303</v>
      </c>
      <c r="B175" s="65" t="s">
        <v>332</v>
      </c>
      <c r="C175" s="66" t="s">
        <v>2698</v>
      </c>
      <c r="D175" s="67">
        <v>4</v>
      </c>
      <c r="E175" s="68" t="s">
        <v>132</v>
      </c>
      <c r="F175" s="69">
        <v>30</v>
      </c>
      <c r="G175" s="66"/>
      <c r="H175" s="70"/>
      <c r="I175" s="71"/>
      <c r="J175" s="71"/>
      <c r="K175" s="35" t="s">
        <v>65</v>
      </c>
      <c r="L175" s="78">
        <v>175</v>
      </c>
      <c r="M175" s="78"/>
      <c r="N175" s="73"/>
      <c r="O175" s="80" t="s">
        <v>383</v>
      </c>
      <c r="P175" s="82">
        <v>44460.934583333335</v>
      </c>
      <c r="Q175" s="80" t="s">
        <v>425</v>
      </c>
      <c r="R175" s="80"/>
      <c r="S175" s="80"/>
      <c r="T175" s="85" t="s">
        <v>498</v>
      </c>
      <c r="U175" s="83" t="str">
        <f>HYPERLINK("https://pbs.twimg.com/media/E_1U1pPVEAImP5O.jpg")</f>
        <v>https://pbs.twimg.com/media/E_1U1pPVEAImP5O.jpg</v>
      </c>
      <c r="V175" s="83" t="str">
        <f>HYPERLINK("https://pbs.twimg.com/media/E_1U1pPVEAImP5O.jpg")</f>
        <v>https://pbs.twimg.com/media/E_1U1pPVEAImP5O.jpg</v>
      </c>
      <c r="W175" s="82">
        <v>44460.934583333335</v>
      </c>
      <c r="X175" s="88">
        <v>44460</v>
      </c>
      <c r="Y175" s="85" t="s">
        <v>627</v>
      </c>
      <c r="Z175" s="83" t="str">
        <f>HYPERLINK("https://twitter.com/digitalixmx/status/1440442161950953472")</f>
        <v>https://twitter.com/digitalixmx/status/1440442161950953472</v>
      </c>
      <c r="AA175" s="80"/>
      <c r="AB175" s="80"/>
      <c r="AC175" s="85" t="s">
        <v>800</v>
      </c>
      <c r="AD175" s="80"/>
      <c r="AE175" s="80" t="b">
        <v>0</v>
      </c>
      <c r="AF175" s="80">
        <v>0</v>
      </c>
      <c r="AG175" s="85" t="s">
        <v>871</v>
      </c>
      <c r="AH175" s="80" t="b">
        <v>0</v>
      </c>
      <c r="AI175" s="80" t="s">
        <v>882</v>
      </c>
      <c r="AJ175" s="80"/>
      <c r="AK175" s="85" t="s">
        <v>871</v>
      </c>
      <c r="AL175" s="80" t="b">
        <v>0</v>
      </c>
      <c r="AM175" s="80">
        <v>36</v>
      </c>
      <c r="AN175" s="85" t="s">
        <v>830</v>
      </c>
      <c r="AO175" s="85" t="s">
        <v>895</v>
      </c>
      <c r="AP175" s="80" t="b">
        <v>0</v>
      </c>
      <c r="AQ175" s="85" t="s">
        <v>830</v>
      </c>
      <c r="AR175" s="80" t="s">
        <v>178</v>
      </c>
      <c r="AS175" s="80">
        <v>0</v>
      </c>
      <c r="AT175" s="80">
        <v>0</v>
      </c>
      <c r="AU175" s="80"/>
      <c r="AV175" s="80"/>
      <c r="AW175" s="80"/>
      <c r="AX175" s="80"/>
      <c r="AY175" s="80"/>
      <c r="AZ175" s="80"/>
      <c r="BA175" s="80"/>
      <c r="BB175" s="80"/>
      <c r="BC175">
        <v>1</v>
      </c>
      <c r="BD175" s="79" t="str">
        <f>REPLACE(INDEX(GroupVertices[Group],MATCH(Edges[[#This Row],[Vertex 1]],GroupVertices[Vertex],0)),1,1,"")</f>
        <v>1</v>
      </c>
      <c r="BE175" s="79" t="str">
        <f>REPLACE(INDEX(GroupVertices[Group],MATCH(Edges[[#This Row],[Vertex 2]],GroupVertices[Vertex],0)),1,1,"")</f>
        <v>1</v>
      </c>
      <c r="BF175" s="49">
        <v>0</v>
      </c>
      <c r="BG175" s="50">
        <v>0</v>
      </c>
      <c r="BH175" s="49">
        <v>0</v>
      </c>
      <c r="BI175" s="50">
        <v>0</v>
      </c>
      <c r="BJ175" s="49">
        <v>0</v>
      </c>
      <c r="BK175" s="50">
        <v>0</v>
      </c>
      <c r="BL175" s="49">
        <v>38</v>
      </c>
      <c r="BM175" s="50">
        <v>100</v>
      </c>
      <c r="BN175" s="49">
        <v>38</v>
      </c>
    </row>
    <row r="176" spans="1:66" ht="15">
      <c r="A176" s="65" t="s">
        <v>304</v>
      </c>
      <c r="B176" s="65" t="s">
        <v>332</v>
      </c>
      <c r="C176" s="66" t="s">
        <v>2698</v>
      </c>
      <c r="D176" s="67">
        <v>4</v>
      </c>
      <c r="E176" s="68" t="s">
        <v>132</v>
      </c>
      <c r="F176" s="69">
        <v>30</v>
      </c>
      <c r="G176" s="66"/>
      <c r="H176" s="70"/>
      <c r="I176" s="71"/>
      <c r="J176" s="71"/>
      <c r="K176" s="35" t="s">
        <v>65</v>
      </c>
      <c r="L176" s="78">
        <v>176</v>
      </c>
      <c r="M176" s="78"/>
      <c r="N176" s="73"/>
      <c r="O176" s="80" t="s">
        <v>383</v>
      </c>
      <c r="P176" s="82">
        <v>44460.9350462963</v>
      </c>
      <c r="Q176" s="80" t="s">
        <v>425</v>
      </c>
      <c r="R176" s="80"/>
      <c r="S176" s="80"/>
      <c r="T176" s="85" t="s">
        <v>498</v>
      </c>
      <c r="U176" s="83" t="str">
        <f>HYPERLINK("https://pbs.twimg.com/media/E_1U1pPVEAImP5O.jpg")</f>
        <v>https://pbs.twimg.com/media/E_1U1pPVEAImP5O.jpg</v>
      </c>
      <c r="V176" s="83" t="str">
        <f>HYPERLINK("https://pbs.twimg.com/media/E_1U1pPVEAImP5O.jpg")</f>
        <v>https://pbs.twimg.com/media/E_1U1pPVEAImP5O.jpg</v>
      </c>
      <c r="W176" s="82">
        <v>44460.9350462963</v>
      </c>
      <c r="X176" s="88">
        <v>44460</v>
      </c>
      <c r="Y176" s="85" t="s">
        <v>628</v>
      </c>
      <c r="Z176" s="83" t="str">
        <f>HYPERLINK("https://twitter.com/maragua15777373/status/1440442330717118473")</f>
        <v>https://twitter.com/maragua15777373/status/1440442330717118473</v>
      </c>
      <c r="AA176" s="80"/>
      <c r="AB176" s="80"/>
      <c r="AC176" s="85" t="s">
        <v>801</v>
      </c>
      <c r="AD176" s="80"/>
      <c r="AE176" s="80" t="b">
        <v>0</v>
      </c>
      <c r="AF176" s="80">
        <v>0</v>
      </c>
      <c r="AG176" s="85" t="s">
        <v>871</v>
      </c>
      <c r="AH176" s="80" t="b">
        <v>0</v>
      </c>
      <c r="AI176" s="80" t="s">
        <v>882</v>
      </c>
      <c r="AJ176" s="80"/>
      <c r="AK176" s="85" t="s">
        <v>871</v>
      </c>
      <c r="AL176" s="80" t="b">
        <v>0</v>
      </c>
      <c r="AM176" s="80">
        <v>36</v>
      </c>
      <c r="AN176" s="85" t="s">
        <v>830</v>
      </c>
      <c r="AO176" s="85" t="s">
        <v>889</v>
      </c>
      <c r="AP176" s="80" t="b">
        <v>0</v>
      </c>
      <c r="AQ176" s="85" t="s">
        <v>830</v>
      </c>
      <c r="AR176" s="80" t="s">
        <v>178</v>
      </c>
      <c r="AS176" s="80">
        <v>0</v>
      </c>
      <c r="AT176" s="80">
        <v>0</v>
      </c>
      <c r="AU176" s="80"/>
      <c r="AV176" s="80"/>
      <c r="AW176" s="80"/>
      <c r="AX176" s="80"/>
      <c r="AY176" s="80"/>
      <c r="AZ176" s="80"/>
      <c r="BA176" s="80"/>
      <c r="BB176" s="80"/>
      <c r="BC176">
        <v>1</v>
      </c>
      <c r="BD176" s="79" t="str">
        <f>REPLACE(INDEX(GroupVertices[Group],MATCH(Edges[[#This Row],[Vertex 1]],GroupVertices[Vertex],0)),1,1,"")</f>
        <v>1</v>
      </c>
      <c r="BE176" s="79" t="str">
        <f>REPLACE(INDEX(GroupVertices[Group],MATCH(Edges[[#This Row],[Vertex 2]],GroupVertices[Vertex],0)),1,1,"")</f>
        <v>1</v>
      </c>
      <c r="BF176" s="49">
        <v>0</v>
      </c>
      <c r="BG176" s="50">
        <v>0</v>
      </c>
      <c r="BH176" s="49">
        <v>0</v>
      </c>
      <c r="BI176" s="50">
        <v>0</v>
      </c>
      <c r="BJ176" s="49">
        <v>0</v>
      </c>
      <c r="BK176" s="50">
        <v>0</v>
      </c>
      <c r="BL176" s="49">
        <v>38</v>
      </c>
      <c r="BM176" s="50">
        <v>100</v>
      </c>
      <c r="BN176" s="49">
        <v>38</v>
      </c>
    </row>
    <row r="177" spans="1:66" ht="15">
      <c r="A177" s="65" t="s">
        <v>305</v>
      </c>
      <c r="B177" s="65" t="s">
        <v>332</v>
      </c>
      <c r="C177" s="66" t="s">
        <v>2698</v>
      </c>
      <c r="D177" s="67">
        <v>4</v>
      </c>
      <c r="E177" s="68" t="s">
        <v>132</v>
      </c>
      <c r="F177" s="69">
        <v>30</v>
      </c>
      <c r="G177" s="66"/>
      <c r="H177" s="70"/>
      <c r="I177" s="71"/>
      <c r="J177" s="71"/>
      <c r="K177" s="35" t="s">
        <v>65</v>
      </c>
      <c r="L177" s="78">
        <v>177</v>
      </c>
      <c r="M177" s="78"/>
      <c r="N177" s="73"/>
      <c r="O177" s="80" t="s">
        <v>383</v>
      </c>
      <c r="P177" s="82">
        <v>44460.93771990741</v>
      </c>
      <c r="Q177" s="80" t="s">
        <v>425</v>
      </c>
      <c r="R177" s="80"/>
      <c r="S177" s="80"/>
      <c r="T177" s="85" t="s">
        <v>498</v>
      </c>
      <c r="U177" s="83" t="str">
        <f>HYPERLINK("https://pbs.twimg.com/media/E_1U1pPVEAImP5O.jpg")</f>
        <v>https://pbs.twimg.com/media/E_1U1pPVEAImP5O.jpg</v>
      </c>
      <c r="V177" s="83" t="str">
        <f>HYPERLINK("https://pbs.twimg.com/media/E_1U1pPVEAImP5O.jpg")</f>
        <v>https://pbs.twimg.com/media/E_1U1pPVEAImP5O.jpg</v>
      </c>
      <c r="W177" s="82">
        <v>44460.93771990741</v>
      </c>
      <c r="X177" s="88">
        <v>44460</v>
      </c>
      <c r="Y177" s="85" t="s">
        <v>629</v>
      </c>
      <c r="Z177" s="83" t="str">
        <f>HYPERLINK("https://twitter.com/feregio74/status/1440443299249078273")</f>
        <v>https://twitter.com/feregio74/status/1440443299249078273</v>
      </c>
      <c r="AA177" s="80"/>
      <c r="AB177" s="80"/>
      <c r="AC177" s="85" t="s">
        <v>802</v>
      </c>
      <c r="AD177" s="80"/>
      <c r="AE177" s="80" t="b">
        <v>0</v>
      </c>
      <c r="AF177" s="80">
        <v>0</v>
      </c>
      <c r="AG177" s="85" t="s">
        <v>871</v>
      </c>
      <c r="AH177" s="80" t="b">
        <v>0</v>
      </c>
      <c r="AI177" s="80" t="s">
        <v>882</v>
      </c>
      <c r="AJ177" s="80"/>
      <c r="AK177" s="85" t="s">
        <v>871</v>
      </c>
      <c r="AL177" s="80" t="b">
        <v>0</v>
      </c>
      <c r="AM177" s="80">
        <v>36</v>
      </c>
      <c r="AN177" s="85" t="s">
        <v>830</v>
      </c>
      <c r="AO177" s="85" t="s">
        <v>889</v>
      </c>
      <c r="AP177" s="80" t="b">
        <v>0</v>
      </c>
      <c r="AQ177" s="85" t="s">
        <v>830</v>
      </c>
      <c r="AR177" s="80" t="s">
        <v>178</v>
      </c>
      <c r="AS177" s="80">
        <v>0</v>
      </c>
      <c r="AT177" s="80">
        <v>0</v>
      </c>
      <c r="AU177" s="80"/>
      <c r="AV177" s="80"/>
      <c r="AW177" s="80"/>
      <c r="AX177" s="80"/>
      <c r="AY177" s="80"/>
      <c r="AZ177" s="80"/>
      <c r="BA177" s="80"/>
      <c r="BB177" s="80"/>
      <c r="BC177">
        <v>1</v>
      </c>
      <c r="BD177" s="79" t="str">
        <f>REPLACE(INDEX(GroupVertices[Group],MATCH(Edges[[#This Row],[Vertex 1]],GroupVertices[Vertex],0)),1,1,"")</f>
        <v>1</v>
      </c>
      <c r="BE177" s="79" t="str">
        <f>REPLACE(INDEX(GroupVertices[Group],MATCH(Edges[[#This Row],[Vertex 2]],GroupVertices[Vertex],0)),1,1,"")</f>
        <v>1</v>
      </c>
      <c r="BF177" s="49">
        <v>0</v>
      </c>
      <c r="BG177" s="50">
        <v>0</v>
      </c>
      <c r="BH177" s="49">
        <v>0</v>
      </c>
      <c r="BI177" s="50">
        <v>0</v>
      </c>
      <c r="BJ177" s="49">
        <v>0</v>
      </c>
      <c r="BK177" s="50">
        <v>0</v>
      </c>
      <c r="BL177" s="49">
        <v>38</v>
      </c>
      <c r="BM177" s="50">
        <v>100</v>
      </c>
      <c r="BN177" s="49">
        <v>38</v>
      </c>
    </row>
    <row r="178" spans="1:66" ht="15">
      <c r="A178" s="65" t="s">
        <v>306</v>
      </c>
      <c r="B178" s="65" t="s">
        <v>332</v>
      </c>
      <c r="C178" s="66" t="s">
        <v>2698</v>
      </c>
      <c r="D178" s="67">
        <v>4</v>
      </c>
      <c r="E178" s="68" t="s">
        <v>132</v>
      </c>
      <c r="F178" s="69">
        <v>30</v>
      </c>
      <c r="G178" s="66"/>
      <c r="H178" s="70"/>
      <c r="I178" s="71"/>
      <c r="J178" s="71"/>
      <c r="K178" s="35" t="s">
        <v>65</v>
      </c>
      <c r="L178" s="78">
        <v>178</v>
      </c>
      <c r="M178" s="78"/>
      <c r="N178" s="73"/>
      <c r="O178" s="80" t="s">
        <v>383</v>
      </c>
      <c r="P178" s="82">
        <v>44460.93851851852</v>
      </c>
      <c r="Q178" s="80" t="s">
        <v>425</v>
      </c>
      <c r="R178" s="80"/>
      <c r="S178" s="80"/>
      <c r="T178" s="85" t="s">
        <v>498</v>
      </c>
      <c r="U178" s="83" t="str">
        <f>HYPERLINK("https://pbs.twimg.com/media/E_1U1pPVEAImP5O.jpg")</f>
        <v>https://pbs.twimg.com/media/E_1U1pPVEAImP5O.jpg</v>
      </c>
      <c r="V178" s="83" t="str">
        <f>HYPERLINK("https://pbs.twimg.com/media/E_1U1pPVEAImP5O.jpg")</f>
        <v>https://pbs.twimg.com/media/E_1U1pPVEAImP5O.jpg</v>
      </c>
      <c r="W178" s="82">
        <v>44460.93851851852</v>
      </c>
      <c r="X178" s="88">
        <v>44460</v>
      </c>
      <c r="Y178" s="85" t="s">
        <v>630</v>
      </c>
      <c r="Z178" s="83" t="str">
        <f>HYPERLINK("https://twitter.com/alexcarreonmty/status/1440443590899953667")</f>
        <v>https://twitter.com/alexcarreonmty/status/1440443590899953667</v>
      </c>
      <c r="AA178" s="80"/>
      <c r="AB178" s="80"/>
      <c r="AC178" s="85" t="s">
        <v>803</v>
      </c>
      <c r="AD178" s="80"/>
      <c r="AE178" s="80" t="b">
        <v>0</v>
      </c>
      <c r="AF178" s="80">
        <v>0</v>
      </c>
      <c r="AG178" s="85" t="s">
        <v>871</v>
      </c>
      <c r="AH178" s="80" t="b">
        <v>0</v>
      </c>
      <c r="AI178" s="80" t="s">
        <v>882</v>
      </c>
      <c r="AJ178" s="80"/>
      <c r="AK178" s="85" t="s">
        <v>871</v>
      </c>
      <c r="AL178" s="80" t="b">
        <v>0</v>
      </c>
      <c r="AM178" s="80">
        <v>36</v>
      </c>
      <c r="AN178" s="85" t="s">
        <v>830</v>
      </c>
      <c r="AO178" s="85" t="s">
        <v>889</v>
      </c>
      <c r="AP178" s="80" t="b">
        <v>0</v>
      </c>
      <c r="AQ178" s="85" t="s">
        <v>830</v>
      </c>
      <c r="AR178" s="80" t="s">
        <v>178</v>
      </c>
      <c r="AS178" s="80">
        <v>0</v>
      </c>
      <c r="AT178" s="80">
        <v>0</v>
      </c>
      <c r="AU178" s="80"/>
      <c r="AV178" s="80"/>
      <c r="AW178" s="80"/>
      <c r="AX178" s="80"/>
      <c r="AY178" s="80"/>
      <c r="AZ178" s="80"/>
      <c r="BA178" s="80"/>
      <c r="BB178" s="80"/>
      <c r="BC178">
        <v>1</v>
      </c>
      <c r="BD178" s="79" t="str">
        <f>REPLACE(INDEX(GroupVertices[Group],MATCH(Edges[[#This Row],[Vertex 1]],GroupVertices[Vertex],0)),1,1,"")</f>
        <v>1</v>
      </c>
      <c r="BE178" s="79" t="str">
        <f>REPLACE(INDEX(GroupVertices[Group],MATCH(Edges[[#This Row],[Vertex 2]],GroupVertices[Vertex],0)),1,1,"")</f>
        <v>1</v>
      </c>
      <c r="BF178" s="49">
        <v>0</v>
      </c>
      <c r="BG178" s="50">
        <v>0</v>
      </c>
      <c r="BH178" s="49">
        <v>0</v>
      </c>
      <c r="BI178" s="50">
        <v>0</v>
      </c>
      <c r="BJ178" s="49">
        <v>0</v>
      </c>
      <c r="BK178" s="50">
        <v>0</v>
      </c>
      <c r="BL178" s="49">
        <v>38</v>
      </c>
      <c r="BM178" s="50">
        <v>100</v>
      </c>
      <c r="BN178" s="49">
        <v>38</v>
      </c>
    </row>
    <row r="179" spans="1:66" ht="15">
      <c r="A179" s="65" t="s">
        <v>307</v>
      </c>
      <c r="B179" s="65" t="s">
        <v>368</v>
      </c>
      <c r="C179" s="66" t="s">
        <v>2698</v>
      </c>
      <c r="D179" s="67">
        <v>4</v>
      </c>
      <c r="E179" s="68" t="s">
        <v>132</v>
      </c>
      <c r="F179" s="69">
        <v>30</v>
      </c>
      <c r="G179" s="66"/>
      <c r="H179" s="70"/>
      <c r="I179" s="71"/>
      <c r="J179" s="71"/>
      <c r="K179" s="35" t="s">
        <v>65</v>
      </c>
      <c r="L179" s="78">
        <v>179</v>
      </c>
      <c r="M179" s="78"/>
      <c r="N179" s="73"/>
      <c r="O179" s="80" t="s">
        <v>382</v>
      </c>
      <c r="P179" s="82">
        <v>44460.94159722222</v>
      </c>
      <c r="Q179" s="80" t="s">
        <v>428</v>
      </c>
      <c r="R179" s="83" t="str">
        <f>HYPERLINK("https://www.ejecentral.com.mx/inm-lleva-a-120-migrantes-a-chiapas-haitianos-siguen-llegando-al-norte/")</f>
        <v>https://www.ejecentral.com.mx/inm-lleva-a-120-migrantes-a-chiapas-haitianos-siguen-llegando-al-norte/</v>
      </c>
      <c r="S179" s="80" t="s">
        <v>451</v>
      </c>
      <c r="T179" s="85" t="s">
        <v>501</v>
      </c>
      <c r="U179" s="80"/>
      <c r="V179" s="83" t="str">
        <f>HYPERLINK("https://pbs.twimg.com/profile_images/1284062633193361408/tq3LZYSY_normal.jpg")</f>
        <v>https://pbs.twimg.com/profile_images/1284062633193361408/tq3LZYSY_normal.jpg</v>
      </c>
      <c r="W179" s="82">
        <v>44460.94159722222</v>
      </c>
      <c r="X179" s="88">
        <v>44460</v>
      </c>
      <c r="Y179" s="85" t="s">
        <v>631</v>
      </c>
      <c r="Z179" s="83" t="str">
        <f>HYPERLINK("https://twitter.com/gosimai/status/1440444705360072719")</f>
        <v>https://twitter.com/gosimai/status/1440444705360072719</v>
      </c>
      <c r="AA179" s="80"/>
      <c r="AB179" s="80"/>
      <c r="AC179" s="85" t="s">
        <v>804</v>
      </c>
      <c r="AD179" s="80"/>
      <c r="AE179" s="80" t="b">
        <v>0</v>
      </c>
      <c r="AF179" s="80">
        <v>0</v>
      </c>
      <c r="AG179" s="85" t="s">
        <v>871</v>
      </c>
      <c r="AH179" s="80" t="b">
        <v>0</v>
      </c>
      <c r="AI179" s="80" t="s">
        <v>882</v>
      </c>
      <c r="AJ179" s="80"/>
      <c r="AK179" s="85" t="s">
        <v>871</v>
      </c>
      <c r="AL179" s="80" t="b">
        <v>0</v>
      </c>
      <c r="AM179" s="80">
        <v>1</v>
      </c>
      <c r="AN179" s="85" t="s">
        <v>822</v>
      </c>
      <c r="AO179" s="85" t="s">
        <v>891</v>
      </c>
      <c r="AP179" s="80" t="b">
        <v>0</v>
      </c>
      <c r="AQ179" s="85" t="s">
        <v>822</v>
      </c>
      <c r="AR179" s="80" t="s">
        <v>178</v>
      </c>
      <c r="AS179" s="80">
        <v>0</v>
      </c>
      <c r="AT179" s="80">
        <v>0</v>
      </c>
      <c r="AU179" s="80"/>
      <c r="AV179" s="80"/>
      <c r="AW179" s="80"/>
      <c r="AX179" s="80"/>
      <c r="AY179" s="80"/>
      <c r="AZ179" s="80"/>
      <c r="BA179" s="80"/>
      <c r="BB179" s="80"/>
      <c r="BC179">
        <v>1</v>
      </c>
      <c r="BD179" s="79" t="str">
        <f>REPLACE(INDEX(GroupVertices[Group],MATCH(Edges[[#This Row],[Vertex 1]],GroupVertices[Vertex],0)),1,1,"")</f>
        <v>2</v>
      </c>
      <c r="BE179" s="79" t="str">
        <f>REPLACE(INDEX(GroupVertices[Group],MATCH(Edges[[#This Row],[Vertex 2]],GroupVertices[Vertex],0)),1,1,"")</f>
        <v>2</v>
      </c>
      <c r="BF179" s="49"/>
      <c r="BG179" s="50"/>
      <c r="BH179" s="49"/>
      <c r="BI179" s="50"/>
      <c r="BJ179" s="49"/>
      <c r="BK179" s="50"/>
      <c r="BL179" s="49"/>
      <c r="BM179" s="50"/>
      <c r="BN179" s="49"/>
    </row>
    <row r="180" spans="1:66" ht="15">
      <c r="A180" s="65" t="s">
        <v>307</v>
      </c>
      <c r="B180" s="65" t="s">
        <v>325</v>
      </c>
      <c r="C180" s="66" t="s">
        <v>2698</v>
      </c>
      <c r="D180" s="67">
        <v>4</v>
      </c>
      <c r="E180" s="68" t="s">
        <v>132</v>
      </c>
      <c r="F180" s="69">
        <v>30</v>
      </c>
      <c r="G180" s="66"/>
      <c r="H180" s="70"/>
      <c r="I180" s="71"/>
      <c r="J180" s="71"/>
      <c r="K180" s="35" t="s">
        <v>65</v>
      </c>
      <c r="L180" s="78">
        <v>180</v>
      </c>
      <c r="M180" s="78"/>
      <c r="N180" s="73"/>
      <c r="O180" s="80" t="s">
        <v>383</v>
      </c>
      <c r="P180" s="82">
        <v>44460.94159722222</v>
      </c>
      <c r="Q180" s="80" t="s">
        <v>428</v>
      </c>
      <c r="R180" s="83" t="str">
        <f>HYPERLINK("https://www.ejecentral.com.mx/inm-lleva-a-120-migrantes-a-chiapas-haitianos-siguen-llegando-al-norte/")</f>
        <v>https://www.ejecentral.com.mx/inm-lleva-a-120-migrantes-a-chiapas-haitianos-siguen-llegando-al-norte/</v>
      </c>
      <c r="S180" s="80" t="s">
        <v>451</v>
      </c>
      <c r="T180" s="85" t="s">
        <v>501</v>
      </c>
      <c r="U180" s="80"/>
      <c r="V180" s="83" t="str">
        <f>HYPERLINK("https://pbs.twimg.com/profile_images/1284062633193361408/tq3LZYSY_normal.jpg")</f>
        <v>https://pbs.twimg.com/profile_images/1284062633193361408/tq3LZYSY_normal.jpg</v>
      </c>
      <c r="W180" s="82">
        <v>44460.94159722222</v>
      </c>
      <c r="X180" s="88">
        <v>44460</v>
      </c>
      <c r="Y180" s="85" t="s">
        <v>631</v>
      </c>
      <c r="Z180" s="83" t="str">
        <f>HYPERLINK("https://twitter.com/gosimai/status/1440444705360072719")</f>
        <v>https://twitter.com/gosimai/status/1440444705360072719</v>
      </c>
      <c r="AA180" s="80"/>
      <c r="AB180" s="80"/>
      <c r="AC180" s="85" t="s">
        <v>804</v>
      </c>
      <c r="AD180" s="80"/>
      <c r="AE180" s="80" t="b">
        <v>0</v>
      </c>
      <c r="AF180" s="80">
        <v>0</v>
      </c>
      <c r="AG180" s="85" t="s">
        <v>871</v>
      </c>
      <c r="AH180" s="80" t="b">
        <v>0</v>
      </c>
      <c r="AI180" s="80" t="s">
        <v>882</v>
      </c>
      <c r="AJ180" s="80"/>
      <c r="AK180" s="85" t="s">
        <v>871</v>
      </c>
      <c r="AL180" s="80" t="b">
        <v>0</v>
      </c>
      <c r="AM180" s="80">
        <v>1</v>
      </c>
      <c r="AN180" s="85" t="s">
        <v>822</v>
      </c>
      <c r="AO180" s="85" t="s">
        <v>891</v>
      </c>
      <c r="AP180" s="80" t="b">
        <v>0</v>
      </c>
      <c r="AQ180" s="85" t="s">
        <v>822</v>
      </c>
      <c r="AR180" s="80" t="s">
        <v>178</v>
      </c>
      <c r="AS180" s="80">
        <v>0</v>
      </c>
      <c r="AT180" s="80">
        <v>0</v>
      </c>
      <c r="AU180" s="80"/>
      <c r="AV180" s="80"/>
      <c r="AW180" s="80"/>
      <c r="AX180" s="80"/>
      <c r="AY180" s="80"/>
      <c r="AZ180" s="80"/>
      <c r="BA180" s="80"/>
      <c r="BB180" s="80"/>
      <c r="BC180">
        <v>1</v>
      </c>
      <c r="BD180" s="79" t="str">
        <f>REPLACE(INDEX(GroupVertices[Group],MATCH(Edges[[#This Row],[Vertex 1]],GroupVertices[Vertex],0)),1,1,"")</f>
        <v>2</v>
      </c>
      <c r="BE180" s="79" t="str">
        <f>REPLACE(INDEX(GroupVertices[Group],MATCH(Edges[[#This Row],[Vertex 2]],GroupVertices[Vertex],0)),1,1,"")</f>
        <v>2</v>
      </c>
      <c r="BF180" s="49">
        <v>0</v>
      </c>
      <c r="BG180" s="50">
        <v>0</v>
      </c>
      <c r="BH180" s="49">
        <v>0</v>
      </c>
      <c r="BI180" s="50">
        <v>0</v>
      </c>
      <c r="BJ180" s="49">
        <v>0</v>
      </c>
      <c r="BK180" s="50">
        <v>0</v>
      </c>
      <c r="BL180" s="49">
        <v>22</v>
      </c>
      <c r="BM180" s="50">
        <v>100</v>
      </c>
      <c r="BN180" s="49">
        <v>22</v>
      </c>
    </row>
    <row r="181" spans="1:66" ht="15">
      <c r="A181" s="65" t="s">
        <v>308</v>
      </c>
      <c r="B181" s="65" t="s">
        <v>332</v>
      </c>
      <c r="C181" s="66" t="s">
        <v>2698</v>
      </c>
      <c r="D181" s="67">
        <v>4</v>
      </c>
      <c r="E181" s="68" t="s">
        <v>132</v>
      </c>
      <c r="F181" s="69">
        <v>30</v>
      </c>
      <c r="G181" s="66"/>
      <c r="H181" s="70"/>
      <c r="I181" s="71"/>
      <c r="J181" s="71"/>
      <c r="K181" s="35" t="s">
        <v>65</v>
      </c>
      <c r="L181" s="78">
        <v>181</v>
      </c>
      <c r="M181" s="78"/>
      <c r="N181" s="73"/>
      <c r="O181" s="80" t="s">
        <v>383</v>
      </c>
      <c r="P181" s="82">
        <v>44460.94211805556</v>
      </c>
      <c r="Q181" s="80" t="s">
        <v>425</v>
      </c>
      <c r="R181" s="80"/>
      <c r="S181" s="80"/>
      <c r="T181" s="85" t="s">
        <v>498</v>
      </c>
      <c r="U181" s="83" t="str">
        <f>HYPERLINK("https://pbs.twimg.com/media/E_1U1pPVEAImP5O.jpg")</f>
        <v>https://pbs.twimg.com/media/E_1U1pPVEAImP5O.jpg</v>
      </c>
      <c r="V181" s="83" t="str">
        <f>HYPERLINK("https://pbs.twimg.com/media/E_1U1pPVEAImP5O.jpg")</f>
        <v>https://pbs.twimg.com/media/E_1U1pPVEAImP5O.jpg</v>
      </c>
      <c r="W181" s="82">
        <v>44460.94211805556</v>
      </c>
      <c r="X181" s="88">
        <v>44460</v>
      </c>
      <c r="Y181" s="85" t="s">
        <v>632</v>
      </c>
      <c r="Z181" s="83" t="str">
        <f>HYPERLINK("https://twitter.com/samantha_ortg/status/1440444892719706119")</f>
        <v>https://twitter.com/samantha_ortg/status/1440444892719706119</v>
      </c>
      <c r="AA181" s="80"/>
      <c r="AB181" s="80"/>
      <c r="AC181" s="85" t="s">
        <v>805</v>
      </c>
      <c r="AD181" s="80"/>
      <c r="AE181" s="80" t="b">
        <v>0</v>
      </c>
      <c r="AF181" s="80">
        <v>0</v>
      </c>
      <c r="AG181" s="85" t="s">
        <v>871</v>
      </c>
      <c r="AH181" s="80" t="b">
        <v>0</v>
      </c>
      <c r="AI181" s="80" t="s">
        <v>882</v>
      </c>
      <c r="AJ181" s="80"/>
      <c r="AK181" s="85" t="s">
        <v>871</v>
      </c>
      <c r="AL181" s="80" t="b">
        <v>0</v>
      </c>
      <c r="AM181" s="80">
        <v>36</v>
      </c>
      <c r="AN181" s="85" t="s">
        <v>830</v>
      </c>
      <c r="AO181" s="85" t="s">
        <v>889</v>
      </c>
      <c r="AP181" s="80" t="b">
        <v>0</v>
      </c>
      <c r="AQ181" s="85" t="s">
        <v>830</v>
      </c>
      <c r="AR181" s="80" t="s">
        <v>178</v>
      </c>
      <c r="AS181" s="80">
        <v>0</v>
      </c>
      <c r="AT181" s="80">
        <v>0</v>
      </c>
      <c r="AU181" s="80"/>
      <c r="AV181" s="80"/>
      <c r="AW181" s="80"/>
      <c r="AX181" s="80"/>
      <c r="AY181" s="80"/>
      <c r="AZ181" s="80"/>
      <c r="BA181" s="80"/>
      <c r="BB181" s="80"/>
      <c r="BC181">
        <v>1</v>
      </c>
      <c r="BD181" s="79" t="str">
        <f>REPLACE(INDEX(GroupVertices[Group],MATCH(Edges[[#This Row],[Vertex 1]],GroupVertices[Vertex],0)),1,1,"")</f>
        <v>1</v>
      </c>
      <c r="BE181" s="79" t="str">
        <f>REPLACE(INDEX(GroupVertices[Group],MATCH(Edges[[#This Row],[Vertex 2]],GroupVertices[Vertex],0)),1,1,"")</f>
        <v>1</v>
      </c>
      <c r="BF181" s="49">
        <v>0</v>
      </c>
      <c r="BG181" s="50">
        <v>0</v>
      </c>
      <c r="BH181" s="49">
        <v>0</v>
      </c>
      <c r="BI181" s="50">
        <v>0</v>
      </c>
      <c r="BJ181" s="49">
        <v>0</v>
      </c>
      <c r="BK181" s="50">
        <v>0</v>
      </c>
      <c r="BL181" s="49">
        <v>38</v>
      </c>
      <c r="BM181" s="50">
        <v>100</v>
      </c>
      <c r="BN181" s="49">
        <v>38</v>
      </c>
    </row>
    <row r="182" spans="1:66" ht="15">
      <c r="A182" s="65" t="s">
        <v>309</v>
      </c>
      <c r="B182" s="65" t="s">
        <v>332</v>
      </c>
      <c r="C182" s="66" t="s">
        <v>2698</v>
      </c>
      <c r="D182" s="67">
        <v>4</v>
      </c>
      <c r="E182" s="68" t="s">
        <v>132</v>
      </c>
      <c r="F182" s="69">
        <v>30</v>
      </c>
      <c r="G182" s="66"/>
      <c r="H182" s="70"/>
      <c r="I182" s="71"/>
      <c r="J182" s="71"/>
      <c r="K182" s="35" t="s">
        <v>65</v>
      </c>
      <c r="L182" s="78">
        <v>182</v>
      </c>
      <c r="M182" s="78"/>
      <c r="N182" s="73"/>
      <c r="O182" s="80" t="s">
        <v>383</v>
      </c>
      <c r="P182" s="82">
        <v>44460.96512731481</v>
      </c>
      <c r="Q182" s="80" t="s">
        <v>425</v>
      </c>
      <c r="R182" s="80"/>
      <c r="S182" s="80"/>
      <c r="T182" s="85" t="s">
        <v>498</v>
      </c>
      <c r="U182" s="83" t="str">
        <f>HYPERLINK("https://pbs.twimg.com/media/E_1U1pPVEAImP5O.jpg")</f>
        <v>https://pbs.twimg.com/media/E_1U1pPVEAImP5O.jpg</v>
      </c>
      <c r="V182" s="83" t="str">
        <f>HYPERLINK("https://pbs.twimg.com/media/E_1U1pPVEAImP5O.jpg")</f>
        <v>https://pbs.twimg.com/media/E_1U1pPVEAImP5O.jpg</v>
      </c>
      <c r="W182" s="82">
        <v>44460.96512731481</v>
      </c>
      <c r="X182" s="88">
        <v>44460</v>
      </c>
      <c r="Y182" s="85" t="s">
        <v>633</v>
      </c>
      <c r="Z182" s="83" t="str">
        <f>HYPERLINK("https://twitter.com/alitasibarita/status/1440453231499362318")</f>
        <v>https://twitter.com/alitasibarita/status/1440453231499362318</v>
      </c>
      <c r="AA182" s="80"/>
      <c r="AB182" s="80"/>
      <c r="AC182" s="85" t="s">
        <v>806</v>
      </c>
      <c r="AD182" s="80"/>
      <c r="AE182" s="80" t="b">
        <v>0</v>
      </c>
      <c r="AF182" s="80">
        <v>0</v>
      </c>
      <c r="AG182" s="85" t="s">
        <v>871</v>
      </c>
      <c r="AH182" s="80" t="b">
        <v>0</v>
      </c>
      <c r="AI182" s="80" t="s">
        <v>882</v>
      </c>
      <c r="AJ182" s="80"/>
      <c r="AK182" s="85" t="s">
        <v>871</v>
      </c>
      <c r="AL182" s="80" t="b">
        <v>0</v>
      </c>
      <c r="AM182" s="80">
        <v>36</v>
      </c>
      <c r="AN182" s="85" t="s">
        <v>830</v>
      </c>
      <c r="AO182" s="85" t="s">
        <v>890</v>
      </c>
      <c r="AP182" s="80" t="b">
        <v>0</v>
      </c>
      <c r="AQ182" s="85" t="s">
        <v>830</v>
      </c>
      <c r="AR182" s="80" t="s">
        <v>178</v>
      </c>
      <c r="AS182" s="80">
        <v>0</v>
      </c>
      <c r="AT182" s="80">
        <v>0</v>
      </c>
      <c r="AU182" s="80"/>
      <c r="AV182" s="80"/>
      <c r="AW182" s="80"/>
      <c r="AX182" s="80"/>
      <c r="AY182" s="80"/>
      <c r="AZ182" s="80"/>
      <c r="BA182" s="80"/>
      <c r="BB182" s="80"/>
      <c r="BC182">
        <v>1</v>
      </c>
      <c r="BD182" s="79" t="str">
        <f>REPLACE(INDEX(GroupVertices[Group],MATCH(Edges[[#This Row],[Vertex 1]],GroupVertices[Vertex],0)),1,1,"")</f>
        <v>1</v>
      </c>
      <c r="BE182" s="79" t="str">
        <f>REPLACE(INDEX(GroupVertices[Group],MATCH(Edges[[#This Row],[Vertex 2]],GroupVertices[Vertex],0)),1,1,"")</f>
        <v>1</v>
      </c>
      <c r="BF182" s="49">
        <v>0</v>
      </c>
      <c r="BG182" s="50">
        <v>0</v>
      </c>
      <c r="BH182" s="49">
        <v>0</v>
      </c>
      <c r="BI182" s="50">
        <v>0</v>
      </c>
      <c r="BJ182" s="49">
        <v>0</v>
      </c>
      <c r="BK182" s="50">
        <v>0</v>
      </c>
      <c r="BL182" s="49">
        <v>38</v>
      </c>
      <c r="BM182" s="50">
        <v>100</v>
      </c>
      <c r="BN182" s="49">
        <v>38</v>
      </c>
    </row>
    <row r="183" spans="1:66" ht="15">
      <c r="A183" s="65" t="s">
        <v>310</v>
      </c>
      <c r="B183" s="65" t="s">
        <v>332</v>
      </c>
      <c r="C183" s="66" t="s">
        <v>2698</v>
      </c>
      <c r="D183" s="67">
        <v>4</v>
      </c>
      <c r="E183" s="68" t="s">
        <v>132</v>
      </c>
      <c r="F183" s="69">
        <v>30</v>
      </c>
      <c r="G183" s="66"/>
      <c r="H183" s="70"/>
      <c r="I183" s="71"/>
      <c r="J183" s="71"/>
      <c r="K183" s="35" t="s">
        <v>65</v>
      </c>
      <c r="L183" s="78">
        <v>183</v>
      </c>
      <c r="M183" s="78"/>
      <c r="N183" s="73"/>
      <c r="O183" s="80" t="s">
        <v>383</v>
      </c>
      <c r="P183" s="82">
        <v>44460.987442129626</v>
      </c>
      <c r="Q183" s="80" t="s">
        <v>425</v>
      </c>
      <c r="R183" s="80"/>
      <c r="S183" s="80"/>
      <c r="T183" s="85" t="s">
        <v>498</v>
      </c>
      <c r="U183" s="83" t="str">
        <f>HYPERLINK("https://pbs.twimg.com/media/E_1U1pPVEAImP5O.jpg")</f>
        <v>https://pbs.twimg.com/media/E_1U1pPVEAImP5O.jpg</v>
      </c>
      <c r="V183" s="83" t="str">
        <f>HYPERLINK("https://pbs.twimg.com/media/E_1U1pPVEAImP5O.jpg")</f>
        <v>https://pbs.twimg.com/media/E_1U1pPVEAImP5O.jpg</v>
      </c>
      <c r="W183" s="82">
        <v>44460.987442129626</v>
      </c>
      <c r="X183" s="88">
        <v>44460</v>
      </c>
      <c r="Y183" s="85" t="s">
        <v>634</v>
      </c>
      <c r="Z183" s="83" t="str">
        <f>HYPERLINK("https://twitter.com/mikk_hdz/status/1440461318704693263")</f>
        <v>https://twitter.com/mikk_hdz/status/1440461318704693263</v>
      </c>
      <c r="AA183" s="80"/>
      <c r="AB183" s="80"/>
      <c r="AC183" s="85" t="s">
        <v>807</v>
      </c>
      <c r="AD183" s="80"/>
      <c r="AE183" s="80" t="b">
        <v>0</v>
      </c>
      <c r="AF183" s="80">
        <v>0</v>
      </c>
      <c r="AG183" s="85" t="s">
        <v>871</v>
      </c>
      <c r="AH183" s="80" t="b">
        <v>0</v>
      </c>
      <c r="AI183" s="80" t="s">
        <v>882</v>
      </c>
      <c r="AJ183" s="80"/>
      <c r="AK183" s="85" t="s">
        <v>871</v>
      </c>
      <c r="AL183" s="80" t="b">
        <v>0</v>
      </c>
      <c r="AM183" s="80">
        <v>36</v>
      </c>
      <c r="AN183" s="85" t="s">
        <v>830</v>
      </c>
      <c r="AO183" s="85" t="s">
        <v>889</v>
      </c>
      <c r="AP183" s="80" t="b">
        <v>0</v>
      </c>
      <c r="AQ183" s="85" t="s">
        <v>830</v>
      </c>
      <c r="AR183" s="80" t="s">
        <v>178</v>
      </c>
      <c r="AS183" s="80">
        <v>0</v>
      </c>
      <c r="AT183" s="80">
        <v>0</v>
      </c>
      <c r="AU183" s="80"/>
      <c r="AV183" s="80"/>
      <c r="AW183" s="80"/>
      <c r="AX183" s="80"/>
      <c r="AY183" s="80"/>
      <c r="AZ183" s="80"/>
      <c r="BA183" s="80"/>
      <c r="BB183" s="80"/>
      <c r="BC183">
        <v>1</v>
      </c>
      <c r="BD183" s="79" t="str">
        <f>REPLACE(INDEX(GroupVertices[Group],MATCH(Edges[[#This Row],[Vertex 1]],GroupVertices[Vertex],0)),1,1,"")</f>
        <v>1</v>
      </c>
      <c r="BE183" s="79" t="str">
        <f>REPLACE(INDEX(GroupVertices[Group],MATCH(Edges[[#This Row],[Vertex 2]],GroupVertices[Vertex],0)),1,1,"")</f>
        <v>1</v>
      </c>
      <c r="BF183" s="49">
        <v>0</v>
      </c>
      <c r="BG183" s="50">
        <v>0</v>
      </c>
      <c r="BH183" s="49">
        <v>0</v>
      </c>
      <c r="BI183" s="50">
        <v>0</v>
      </c>
      <c r="BJ183" s="49">
        <v>0</v>
      </c>
      <c r="BK183" s="50">
        <v>0</v>
      </c>
      <c r="BL183" s="49">
        <v>38</v>
      </c>
      <c r="BM183" s="50">
        <v>100</v>
      </c>
      <c r="BN183" s="49">
        <v>38</v>
      </c>
    </row>
    <row r="184" spans="1:66" ht="15">
      <c r="A184" s="65" t="s">
        <v>311</v>
      </c>
      <c r="B184" s="65" t="s">
        <v>332</v>
      </c>
      <c r="C184" s="66" t="s">
        <v>2698</v>
      </c>
      <c r="D184" s="67">
        <v>4</v>
      </c>
      <c r="E184" s="68" t="s">
        <v>132</v>
      </c>
      <c r="F184" s="69">
        <v>30</v>
      </c>
      <c r="G184" s="66"/>
      <c r="H184" s="70"/>
      <c r="I184" s="71"/>
      <c r="J184" s="71"/>
      <c r="K184" s="35" t="s">
        <v>65</v>
      </c>
      <c r="L184" s="78">
        <v>184</v>
      </c>
      <c r="M184" s="78"/>
      <c r="N184" s="73"/>
      <c r="O184" s="80" t="s">
        <v>383</v>
      </c>
      <c r="P184" s="82">
        <v>44461.00412037037</v>
      </c>
      <c r="Q184" s="80" t="s">
        <v>425</v>
      </c>
      <c r="R184" s="80"/>
      <c r="S184" s="80"/>
      <c r="T184" s="85" t="s">
        <v>498</v>
      </c>
      <c r="U184" s="83" t="str">
        <f>HYPERLINK("https://pbs.twimg.com/media/E_1U1pPVEAImP5O.jpg")</f>
        <v>https://pbs.twimg.com/media/E_1U1pPVEAImP5O.jpg</v>
      </c>
      <c r="V184" s="83" t="str">
        <f>HYPERLINK("https://pbs.twimg.com/media/E_1U1pPVEAImP5O.jpg")</f>
        <v>https://pbs.twimg.com/media/E_1U1pPVEAImP5O.jpg</v>
      </c>
      <c r="W184" s="82">
        <v>44461.00412037037</v>
      </c>
      <c r="X184" s="88">
        <v>44461</v>
      </c>
      <c r="Y184" s="85" t="s">
        <v>635</v>
      </c>
      <c r="Z184" s="83" t="str">
        <f>HYPERLINK("https://twitter.com/jesuscuatra/status/1440467362105348097")</f>
        <v>https://twitter.com/jesuscuatra/status/1440467362105348097</v>
      </c>
      <c r="AA184" s="80"/>
      <c r="AB184" s="80"/>
      <c r="AC184" s="85" t="s">
        <v>808</v>
      </c>
      <c r="AD184" s="80"/>
      <c r="AE184" s="80" t="b">
        <v>0</v>
      </c>
      <c r="AF184" s="80">
        <v>0</v>
      </c>
      <c r="AG184" s="85" t="s">
        <v>871</v>
      </c>
      <c r="AH184" s="80" t="b">
        <v>0</v>
      </c>
      <c r="AI184" s="80" t="s">
        <v>882</v>
      </c>
      <c r="AJ184" s="80"/>
      <c r="AK184" s="85" t="s">
        <v>871</v>
      </c>
      <c r="AL184" s="80" t="b">
        <v>0</v>
      </c>
      <c r="AM184" s="80">
        <v>36</v>
      </c>
      <c r="AN184" s="85" t="s">
        <v>830</v>
      </c>
      <c r="AO184" s="85" t="s">
        <v>889</v>
      </c>
      <c r="AP184" s="80" t="b">
        <v>0</v>
      </c>
      <c r="AQ184" s="85" t="s">
        <v>830</v>
      </c>
      <c r="AR184" s="80" t="s">
        <v>178</v>
      </c>
      <c r="AS184" s="80">
        <v>0</v>
      </c>
      <c r="AT184" s="80">
        <v>0</v>
      </c>
      <c r="AU184" s="80"/>
      <c r="AV184" s="80"/>
      <c r="AW184" s="80"/>
      <c r="AX184" s="80"/>
      <c r="AY184" s="80"/>
      <c r="AZ184" s="80"/>
      <c r="BA184" s="80"/>
      <c r="BB184" s="80"/>
      <c r="BC184">
        <v>1</v>
      </c>
      <c r="BD184" s="79" t="str">
        <f>REPLACE(INDEX(GroupVertices[Group],MATCH(Edges[[#This Row],[Vertex 1]],GroupVertices[Vertex],0)),1,1,"")</f>
        <v>1</v>
      </c>
      <c r="BE184" s="79" t="str">
        <f>REPLACE(INDEX(GroupVertices[Group],MATCH(Edges[[#This Row],[Vertex 2]],GroupVertices[Vertex],0)),1,1,"")</f>
        <v>1</v>
      </c>
      <c r="BF184" s="49">
        <v>0</v>
      </c>
      <c r="BG184" s="50">
        <v>0</v>
      </c>
      <c r="BH184" s="49">
        <v>0</v>
      </c>
      <c r="BI184" s="50">
        <v>0</v>
      </c>
      <c r="BJ184" s="49">
        <v>0</v>
      </c>
      <c r="BK184" s="50">
        <v>0</v>
      </c>
      <c r="BL184" s="49">
        <v>38</v>
      </c>
      <c r="BM184" s="50">
        <v>100</v>
      </c>
      <c r="BN184" s="49">
        <v>38</v>
      </c>
    </row>
    <row r="185" spans="1:66" ht="15">
      <c r="A185" s="65" t="s">
        <v>312</v>
      </c>
      <c r="B185" s="65" t="s">
        <v>332</v>
      </c>
      <c r="C185" s="66" t="s">
        <v>2698</v>
      </c>
      <c r="D185" s="67">
        <v>4</v>
      </c>
      <c r="E185" s="68" t="s">
        <v>132</v>
      </c>
      <c r="F185" s="69">
        <v>30</v>
      </c>
      <c r="G185" s="66"/>
      <c r="H185" s="70"/>
      <c r="I185" s="71"/>
      <c r="J185" s="71"/>
      <c r="K185" s="35" t="s">
        <v>65</v>
      </c>
      <c r="L185" s="78">
        <v>185</v>
      </c>
      <c r="M185" s="78"/>
      <c r="N185" s="73"/>
      <c r="O185" s="80" t="s">
        <v>383</v>
      </c>
      <c r="P185" s="82">
        <v>44461.009791666664</v>
      </c>
      <c r="Q185" s="80" t="s">
        <v>425</v>
      </c>
      <c r="R185" s="80"/>
      <c r="S185" s="80"/>
      <c r="T185" s="85" t="s">
        <v>498</v>
      </c>
      <c r="U185" s="83" t="str">
        <f>HYPERLINK("https://pbs.twimg.com/media/E_1U1pPVEAImP5O.jpg")</f>
        <v>https://pbs.twimg.com/media/E_1U1pPVEAImP5O.jpg</v>
      </c>
      <c r="V185" s="83" t="str">
        <f>HYPERLINK("https://pbs.twimg.com/media/E_1U1pPVEAImP5O.jpg")</f>
        <v>https://pbs.twimg.com/media/E_1U1pPVEAImP5O.jpg</v>
      </c>
      <c r="W185" s="82">
        <v>44461.009791666664</v>
      </c>
      <c r="X185" s="88">
        <v>44461</v>
      </c>
      <c r="Y185" s="85" t="s">
        <v>636</v>
      </c>
      <c r="Z185" s="83" t="str">
        <f>HYPERLINK("https://twitter.com/uca97mx/status/1440469417977024519")</f>
        <v>https://twitter.com/uca97mx/status/1440469417977024519</v>
      </c>
      <c r="AA185" s="80"/>
      <c r="AB185" s="80"/>
      <c r="AC185" s="85" t="s">
        <v>809</v>
      </c>
      <c r="AD185" s="80"/>
      <c r="AE185" s="80" t="b">
        <v>0</v>
      </c>
      <c r="AF185" s="80">
        <v>0</v>
      </c>
      <c r="AG185" s="85" t="s">
        <v>871</v>
      </c>
      <c r="AH185" s="80" t="b">
        <v>0</v>
      </c>
      <c r="AI185" s="80" t="s">
        <v>882</v>
      </c>
      <c r="AJ185" s="80"/>
      <c r="AK185" s="85" t="s">
        <v>871</v>
      </c>
      <c r="AL185" s="80" t="b">
        <v>0</v>
      </c>
      <c r="AM185" s="80">
        <v>36</v>
      </c>
      <c r="AN185" s="85" t="s">
        <v>830</v>
      </c>
      <c r="AO185" s="85" t="s">
        <v>891</v>
      </c>
      <c r="AP185" s="80" t="b">
        <v>0</v>
      </c>
      <c r="AQ185" s="85" t="s">
        <v>830</v>
      </c>
      <c r="AR185" s="80" t="s">
        <v>178</v>
      </c>
      <c r="AS185" s="80">
        <v>0</v>
      </c>
      <c r="AT185" s="80">
        <v>0</v>
      </c>
      <c r="AU185" s="80"/>
      <c r="AV185" s="80"/>
      <c r="AW185" s="80"/>
      <c r="AX185" s="80"/>
      <c r="AY185" s="80"/>
      <c r="AZ185" s="80"/>
      <c r="BA185" s="80"/>
      <c r="BB185" s="80"/>
      <c r="BC185">
        <v>1</v>
      </c>
      <c r="BD185" s="79" t="str">
        <f>REPLACE(INDEX(GroupVertices[Group],MATCH(Edges[[#This Row],[Vertex 1]],GroupVertices[Vertex],0)),1,1,"")</f>
        <v>1</v>
      </c>
      <c r="BE185" s="79" t="str">
        <f>REPLACE(INDEX(GroupVertices[Group],MATCH(Edges[[#This Row],[Vertex 2]],GroupVertices[Vertex],0)),1,1,"")</f>
        <v>1</v>
      </c>
      <c r="BF185" s="49">
        <v>0</v>
      </c>
      <c r="BG185" s="50">
        <v>0</v>
      </c>
      <c r="BH185" s="49">
        <v>0</v>
      </c>
      <c r="BI185" s="50">
        <v>0</v>
      </c>
      <c r="BJ185" s="49">
        <v>0</v>
      </c>
      <c r="BK185" s="50">
        <v>0</v>
      </c>
      <c r="BL185" s="49">
        <v>38</v>
      </c>
      <c r="BM185" s="50">
        <v>100</v>
      </c>
      <c r="BN185" s="49">
        <v>38</v>
      </c>
    </row>
    <row r="186" spans="1:66" ht="15">
      <c r="A186" s="65" t="s">
        <v>313</v>
      </c>
      <c r="B186" s="65" t="s">
        <v>368</v>
      </c>
      <c r="C186" s="66" t="s">
        <v>2698</v>
      </c>
      <c r="D186" s="67">
        <v>4</v>
      </c>
      <c r="E186" s="68" t="s">
        <v>132</v>
      </c>
      <c r="F186" s="69">
        <v>30</v>
      </c>
      <c r="G186" s="66"/>
      <c r="H186" s="70"/>
      <c r="I186" s="71"/>
      <c r="J186" s="71"/>
      <c r="K186" s="35" t="s">
        <v>65</v>
      </c>
      <c r="L186" s="78">
        <v>186</v>
      </c>
      <c r="M186" s="78"/>
      <c r="N186" s="73"/>
      <c r="O186" s="80" t="s">
        <v>382</v>
      </c>
      <c r="P186" s="82">
        <v>44461.02579861111</v>
      </c>
      <c r="Q186" s="80" t="s">
        <v>423</v>
      </c>
      <c r="R186" s="83" t="str">
        <f>HYPERLINK("https://www.jornada.com.mx/notas/2021/09/21/estados/inm-envia-por-avion-a-120-haitianos-a-chiapas-desde-coahuila/")</f>
        <v>https://www.jornada.com.mx/notas/2021/09/21/estados/inm-envia-por-avion-a-120-haitianos-a-chiapas-desde-coahuila/</v>
      </c>
      <c r="S186" s="80" t="s">
        <v>451</v>
      </c>
      <c r="T186" s="85" t="s">
        <v>496</v>
      </c>
      <c r="U186" s="80"/>
      <c r="V186" s="83" t="str">
        <f>HYPERLINK("https://pbs.twimg.com/profile_images/992220591993344000/6xxLmGxD_normal.jpg")</f>
        <v>https://pbs.twimg.com/profile_images/992220591993344000/6xxLmGxD_normal.jpg</v>
      </c>
      <c r="W186" s="82">
        <v>44461.02579861111</v>
      </c>
      <c r="X186" s="88">
        <v>44461</v>
      </c>
      <c r="Y186" s="85" t="s">
        <v>637</v>
      </c>
      <c r="Z186" s="83" t="str">
        <f>HYPERLINK("https://twitter.com/comunicador2022/status/1440475219672530947")</f>
        <v>https://twitter.com/comunicador2022/status/1440475219672530947</v>
      </c>
      <c r="AA186" s="80"/>
      <c r="AB186" s="80"/>
      <c r="AC186" s="85" t="s">
        <v>810</v>
      </c>
      <c r="AD186" s="80"/>
      <c r="AE186" s="80" t="b">
        <v>0</v>
      </c>
      <c r="AF186" s="80">
        <v>0</v>
      </c>
      <c r="AG186" s="85" t="s">
        <v>871</v>
      </c>
      <c r="AH186" s="80" t="b">
        <v>0</v>
      </c>
      <c r="AI186" s="80" t="s">
        <v>882</v>
      </c>
      <c r="AJ186" s="80"/>
      <c r="AK186" s="85" t="s">
        <v>871</v>
      </c>
      <c r="AL186" s="80" t="b">
        <v>0</v>
      </c>
      <c r="AM186" s="80">
        <v>6</v>
      </c>
      <c r="AN186" s="85" t="s">
        <v>811</v>
      </c>
      <c r="AO186" s="85" t="s">
        <v>889</v>
      </c>
      <c r="AP186" s="80" t="b">
        <v>0</v>
      </c>
      <c r="AQ186" s="85" t="s">
        <v>811</v>
      </c>
      <c r="AR186" s="80" t="s">
        <v>178</v>
      </c>
      <c r="AS186" s="80">
        <v>0</v>
      </c>
      <c r="AT186" s="80">
        <v>0</v>
      </c>
      <c r="AU186" s="80"/>
      <c r="AV186" s="80"/>
      <c r="AW186" s="80"/>
      <c r="AX186" s="80"/>
      <c r="AY186" s="80"/>
      <c r="AZ186" s="80"/>
      <c r="BA186" s="80"/>
      <c r="BB186" s="80"/>
      <c r="BC186">
        <v>1</v>
      </c>
      <c r="BD186" s="79" t="str">
        <f>REPLACE(INDEX(GroupVertices[Group],MATCH(Edges[[#This Row],[Vertex 1]],GroupVertices[Vertex],0)),1,1,"")</f>
        <v>2</v>
      </c>
      <c r="BE186" s="79" t="str">
        <f>REPLACE(INDEX(GroupVertices[Group],MATCH(Edges[[#This Row],[Vertex 2]],GroupVertices[Vertex],0)),1,1,"")</f>
        <v>2</v>
      </c>
      <c r="BF186" s="49"/>
      <c r="BG186" s="50"/>
      <c r="BH186" s="49"/>
      <c r="BI186" s="50"/>
      <c r="BJ186" s="49"/>
      <c r="BK186" s="50"/>
      <c r="BL186" s="49"/>
      <c r="BM186" s="50"/>
      <c r="BN186" s="49"/>
    </row>
    <row r="187" spans="1:66" ht="15">
      <c r="A187" s="65" t="s">
        <v>313</v>
      </c>
      <c r="B187" s="65" t="s">
        <v>314</v>
      </c>
      <c r="C187" s="66" t="s">
        <v>2698</v>
      </c>
      <c r="D187" s="67">
        <v>4</v>
      </c>
      <c r="E187" s="68" t="s">
        <v>132</v>
      </c>
      <c r="F187" s="69">
        <v>30</v>
      </c>
      <c r="G187" s="66"/>
      <c r="H187" s="70"/>
      <c r="I187" s="71"/>
      <c r="J187" s="71"/>
      <c r="K187" s="35" t="s">
        <v>65</v>
      </c>
      <c r="L187" s="78">
        <v>187</v>
      </c>
      <c r="M187" s="78"/>
      <c r="N187" s="73"/>
      <c r="O187" s="80" t="s">
        <v>383</v>
      </c>
      <c r="P187" s="82">
        <v>44461.02579861111</v>
      </c>
      <c r="Q187" s="80" t="s">
        <v>423</v>
      </c>
      <c r="R187" s="83" t="str">
        <f>HYPERLINK("https://www.jornada.com.mx/notas/2021/09/21/estados/inm-envia-por-avion-a-120-haitianos-a-chiapas-desde-coahuila/")</f>
        <v>https://www.jornada.com.mx/notas/2021/09/21/estados/inm-envia-por-avion-a-120-haitianos-a-chiapas-desde-coahuila/</v>
      </c>
      <c r="S187" s="80" t="s">
        <v>451</v>
      </c>
      <c r="T187" s="85" t="s">
        <v>496</v>
      </c>
      <c r="U187" s="80"/>
      <c r="V187" s="83" t="str">
        <f>HYPERLINK("https://pbs.twimg.com/profile_images/992220591993344000/6xxLmGxD_normal.jpg")</f>
        <v>https://pbs.twimg.com/profile_images/992220591993344000/6xxLmGxD_normal.jpg</v>
      </c>
      <c r="W187" s="82">
        <v>44461.02579861111</v>
      </c>
      <c r="X187" s="88">
        <v>44461</v>
      </c>
      <c r="Y187" s="85" t="s">
        <v>637</v>
      </c>
      <c r="Z187" s="83" t="str">
        <f>HYPERLINK("https://twitter.com/comunicador2022/status/1440475219672530947")</f>
        <v>https://twitter.com/comunicador2022/status/1440475219672530947</v>
      </c>
      <c r="AA187" s="80"/>
      <c r="AB187" s="80"/>
      <c r="AC187" s="85" t="s">
        <v>810</v>
      </c>
      <c r="AD187" s="80"/>
      <c r="AE187" s="80" t="b">
        <v>0</v>
      </c>
      <c r="AF187" s="80">
        <v>0</v>
      </c>
      <c r="AG187" s="85" t="s">
        <v>871</v>
      </c>
      <c r="AH187" s="80" t="b">
        <v>0</v>
      </c>
      <c r="AI187" s="80" t="s">
        <v>882</v>
      </c>
      <c r="AJ187" s="80"/>
      <c r="AK187" s="85" t="s">
        <v>871</v>
      </c>
      <c r="AL187" s="80" t="b">
        <v>0</v>
      </c>
      <c r="AM187" s="80">
        <v>6</v>
      </c>
      <c r="AN187" s="85" t="s">
        <v>811</v>
      </c>
      <c r="AO187" s="85" t="s">
        <v>889</v>
      </c>
      <c r="AP187" s="80" t="b">
        <v>0</v>
      </c>
      <c r="AQ187" s="85" t="s">
        <v>811</v>
      </c>
      <c r="AR187" s="80" t="s">
        <v>178</v>
      </c>
      <c r="AS187" s="80">
        <v>0</v>
      </c>
      <c r="AT187" s="80">
        <v>0</v>
      </c>
      <c r="AU187" s="80"/>
      <c r="AV187" s="80"/>
      <c r="AW187" s="80"/>
      <c r="AX187" s="80"/>
      <c r="AY187" s="80"/>
      <c r="AZ187" s="80"/>
      <c r="BA187" s="80"/>
      <c r="BB187" s="80"/>
      <c r="BC187">
        <v>1</v>
      </c>
      <c r="BD187" s="79" t="str">
        <f>REPLACE(INDEX(GroupVertices[Group],MATCH(Edges[[#This Row],[Vertex 1]],GroupVertices[Vertex],0)),1,1,"")</f>
        <v>2</v>
      </c>
      <c r="BE187" s="79" t="str">
        <f>REPLACE(INDEX(GroupVertices[Group],MATCH(Edges[[#This Row],[Vertex 2]],GroupVertices[Vertex],0)),1,1,"")</f>
        <v>2</v>
      </c>
      <c r="BF187" s="49">
        <v>0</v>
      </c>
      <c r="BG187" s="50">
        <v>0</v>
      </c>
      <c r="BH187" s="49">
        <v>0</v>
      </c>
      <c r="BI187" s="50">
        <v>0</v>
      </c>
      <c r="BJ187" s="49">
        <v>0</v>
      </c>
      <c r="BK187" s="50">
        <v>0</v>
      </c>
      <c r="BL187" s="49">
        <v>38</v>
      </c>
      <c r="BM187" s="50">
        <v>100</v>
      </c>
      <c r="BN187" s="49">
        <v>38</v>
      </c>
    </row>
    <row r="188" spans="1:66" ht="15">
      <c r="A188" s="65" t="s">
        <v>314</v>
      </c>
      <c r="B188" s="65" t="s">
        <v>368</v>
      </c>
      <c r="C188" s="66" t="s">
        <v>2698</v>
      </c>
      <c r="D188" s="67">
        <v>4</v>
      </c>
      <c r="E188" s="68" t="s">
        <v>132</v>
      </c>
      <c r="F188" s="69">
        <v>30</v>
      </c>
      <c r="G188" s="66"/>
      <c r="H188" s="70"/>
      <c r="I188" s="71"/>
      <c r="J188" s="71"/>
      <c r="K188" s="35" t="s">
        <v>65</v>
      </c>
      <c r="L188" s="78">
        <v>188</v>
      </c>
      <c r="M188" s="78"/>
      <c r="N188" s="73"/>
      <c r="O188" s="80" t="s">
        <v>384</v>
      </c>
      <c r="P188" s="82">
        <v>44460.794270833336</v>
      </c>
      <c r="Q188" s="80" t="s">
        <v>423</v>
      </c>
      <c r="R188" s="83" t="str">
        <f>HYPERLINK("https://www.jornada.com.mx/notas/2021/09/21/estados/inm-envia-por-avion-a-120-haitianos-a-chiapas-desde-coahuila/")</f>
        <v>https://www.jornada.com.mx/notas/2021/09/21/estados/inm-envia-por-avion-a-120-haitianos-a-chiapas-desde-coahuila/</v>
      </c>
      <c r="S188" s="80" t="s">
        <v>451</v>
      </c>
      <c r="T188" s="85" t="s">
        <v>496</v>
      </c>
      <c r="U188" s="80"/>
      <c r="V188" s="83" t="str">
        <f>HYPERLINK("https://pbs.twimg.com/profile_images/588503723002834944/95acWEsy_normal.jpg")</f>
        <v>https://pbs.twimg.com/profile_images/588503723002834944/95acWEsy_normal.jpg</v>
      </c>
      <c r="W188" s="82">
        <v>44460.794270833336</v>
      </c>
      <c r="X188" s="88">
        <v>44460</v>
      </c>
      <c r="Y188" s="85" t="s">
        <v>638</v>
      </c>
      <c r="Z188" s="83" t="str">
        <f>HYPERLINK("https://twitter.com/lajornadaonline/status/1440391314235822089")</f>
        <v>https://twitter.com/lajornadaonline/status/1440391314235822089</v>
      </c>
      <c r="AA188" s="80"/>
      <c r="AB188" s="80"/>
      <c r="AC188" s="85" t="s">
        <v>811</v>
      </c>
      <c r="AD188" s="80"/>
      <c r="AE188" s="80" t="b">
        <v>0</v>
      </c>
      <c r="AF188" s="80">
        <v>19</v>
      </c>
      <c r="AG188" s="85" t="s">
        <v>871</v>
      </c>
      <c r="AH188" s="80" t="b">
        <v>0</v>
      </c>
      <c r="AI188" s="80" t="s">
        <v>882</v>
      </c>
      <c r="AJ188" s="80"/>
      <c r="AK188" s="85" t="s">
        <v>871</v>
      </c>
      <c r="AL188" s="80" t="b">
        <v>0</v>
      </c>
      <c r="AM188" s="80">
        <v>6</v>
      </c>
      <c r="AN188" s="85" t="s">
        <v>871</v>
      </c>
      <c r="AO188" s="85" t="s">
        <v>893</v>
      </c>
      <c r="AP188" s="80" t="b">
        <v>0</v>
      </c>
      <c r="AQ188" s="85" t="s">
        <v>811</v>
      </c>
      <c r="AR188" s="80" t="s">
        <v>178</v>
      </c>
      <c r="AS188" s="80">
        <v>0</v>
      </c>
      <c r="AT188" s="80">
        <v>0</v>
      </c>
      <c r="AU188" s="80"/>
      <c r="AV188" s="80"/>
      <c r="AW188" s="80"/>
      <c r="AX188" s="80"/>
      <c r="AY188" s="80"/>
      <c r="AZ188" s="80"/>
      <c r="BA188" s="80"/>
      <c r="BB188" s="80"/>
      <c r="BC188">
        <v>1</v>
      </c>
      <c r="BD188" s="79" t="str">
        <f>REPLACE(INDEX(GroupVertices[Group],MATCH(Edges[[#This Row],[Vertex 1]],GroupVertices[Vertex],0)),1,1,"")</f>
        <v>2</v>
      </c>
      <c r="BE188" s="79" t="str">
        <f>REPLACE(INDEX(GroupVertices[Group],MATCH(Edges[[#This Row],[Vertex 2]],GroupVertices[Vertex],0)),1,1,"")</f>
        <v>2</v>
      </c>
      <c r="BF188" s="49">
        <v>0</v>
      </c>
      <c r="BG188" s="50">
        <v>0</v>
      </c>
      <c r="BH188" s="49">
        <v>0</v>
      </c>
      <c r="BI188" s="50">
        <v>0</v>
      </c>
      <c r="BJ188" s="49">
        <v>0</v>
      </c>
      <c r="BK188" s="50">
        <v>0</v>
      </c>
      <c r="BL188" s="49">
        <v>38</v>
      </c>
      <c r="BM188" s="50">
        <v>100</v>
      </c>
      <c r="BN188" s="49">
        <v>38</v>
      </c>
    </row>
    <row r="189" spans="1:66" ht="15">
      <c r="A189" s="65" t="s">
        <v>315</v>
      </c>
      <c r="B189" s="65" t="s">
        <v>314</v>
      </c>
      <c r="C189" s="66" t="s">
        <v>2698</v>
      </c>
      <c r="D189" s="67">
        <v>4</v>
      </c>
      <c r="E189" s="68" t="s">
        <v>132</v>
      </c>
      <c r="F189" s="69">
        <v>30</v>
      </c>
      <c r="G189" s="66"/>
      <c r="H189" s="70"/>
      <c r="I189" s="71"/>
      <c r="J189" s="71"/>
      <c r="K189" s="35" t="s">
        <v>65</v>
      </c>
      <c r="L189" s="78">
        <v>189</v>
      </c>
      <c r="M189" s="78"/>
      <c r="N189" s="73"/>
      <c r="O189" s="80" t="s">
        <v>383</v>
      </c>
      <c r="P189" s="82">
        <v>44461.080613425926</v>
      </c>
      <c r="Q189" s="80" t="s">
        <v>423</v>
      </c>
      <c r="R189" s="83" t="str">
        <f>HYPERLINK("https://www.jornada.com.mx/notas/2021/09/21/estados/inm-envia-por-avion-a-120-haitianos-a-chiapas-desde-coahuila/")</f>
        <v>https://www.jornada.com.mx/notas/2021/09/21/estados/inm-envia-por-avion-a-120-haitianos-a-chiapas-desde-coahuila/</v>
      </c>
      <c r="S189" s="80" t="s">
        <v>451</v>
      </c>
      <c r="T189" s="85" t="s">
        <v>496</v>
      </c>
      <c r="U189" s="80"/>
      <c r="V189" s="83" t="str">
        <f>HYPERLINK("https://pbs.twimg.com/profile_images/1236124521561829377/lbfyINMX_normal.jpg")</f>
        <v>https://pbs.twimg.com/profile_images/1236124521561829377/lbfyINMX_normal.jpg</v>
      </c>
      <c r="W189" s="82">
        <v>44461.080613425926</v>
      </c>
      <c r="X189" s="88">
        <v>44461</v>
      </c>
      <c r="Y189" s="85" t="s">
        <v>639</v>
      </c>
      <c r="Z189" s="83" t="str">
        <f>HYPERLINK("https://twitter.com/thegreatceir/status/1440495083522957314")</f>
        <v>https://twitter.com/thegreatceir/status/1440495083522957314</v>
      </c>
      <c r="AA189" s="80"/>
      <c r="AB189" s="80"/>
      <c r="AC189" s="85" t="s">
        <v>812</v>
      </c>
      <c r="AD189" s="80"/>
      <c r="AE189" s="80" t="b">
        <v>0</v>
      </c>
      <c r="AF189" s="80">
        <v>0</v>
      </c>
      <c r="AG189" s="85" t="s">
        <v>871</v>
      </c>
      <c r="AH189" s="80" t="b">
        <v>0</v>
      </c>
      <c r="AI189" s="80" t="s">
        <v>882</v>
      </c>
      <c r="AJ189" s="80"/>
      <c r="AK189" s="85" t="s">
        <v>871</v>
      </c>
      <c r="AL189" s="80" t="b">
        <v>0</v>
      </c>
      <c r="AM189" s="80">
        <v>6</v>
      </c>
      <c r="AN189" s="85" t="s">
        <v>811</v>
      </c>
      <c r="AO189" s="85" t="s">
        <v>889</v>
      </c>
      <c r="AP189" s="80" t="b">
        <v>0</v>
      </c>
      <c r="AQ189" s="85" t="s">
        <v>811</v>
      </c>
      <c r="AR189" s="80" t="s">
        <v>178</v>
      </c>
      <c r="AS189" s="80">
        <v>0</v>
      </c>
      <c r="AT189" s="80">
        <v>0</v>
      </c>
      <c r="AU189" s="80"/>
      <c r="AV189" s="80"/>
      <c r="AW189" s="80"/>
      <c r="AX189" s="80"/>
      <c r="AY189" s="80"/>
      <c r="AZ189" s="80"/>
      <c r="BA189" s="80"/>
      <c r="BB189" s="80"/>
      <c r="BC189">
        <v>1</v>
      </c>
      <c r="BD189" s="79" t="str">
        <f>REPLACE(INDEX(GroupVertices[Group],MATCH(Edges[[#This Row],[Vertex 1]],GroupVertices[Vertex],0)),1,1,"")</f>
        <v>2</v>
      </c>
      <c r="BE189" s="79" t="str">
        <f>REPLACE(INDEX(GroupVertices[Group],MATCH(Edges[[#This Row],[Vertex 2]],GroupVertices[Vertex],0)),1,1,"")</f>
        <v>2</v>
      </c>
      <c r="BF189" s="49"/>
      <c r="BG189" s="50"/>
      <c r="BH189" s="49"/>
      <c r="BI189" s="50"/>
      <c r="BJ189" s="49"/>
      <c r="BK189" s="50"/>
      <c r="BL189" s="49"/>
      <c r="BM189" s="50"/>
      <c r="BN189" s="49"/>
    </row>
    <row r="190" spans="1:66" ht="15">
      <c r="A190" s="65" t="s">
        <v>315</v>
      </c>
      <c r="B190" s="65" t="s">
        <v>368</v>
      </c>
      <c r="C190" s="66" t="s">
        <v>2698</v>
      </c>
      <c r="D190" s="67">
        <v>4</v>
      </c>
      <c r="E190" s="68" t="s">
        <v>132</v>
      </c>
      <c r="F190" s="69">
        <v>30</v>
      </c>
      <c r="G190" s="66"/>
      <c r="H190" s="70"/>
      <c r="I190" s="71"/>
      <c r="J190" s="71"/>
      <c r="K190" s="35" t="s">
        <v>65</v>
      </c>
      <c r="L190" s="78">
        <v>190</v>
      </c>
      <c r="M190" s="78"/>
      <c r="N190" s="73"/>
      <c r="O190" s="80" t="s">
        <v>382</v>
      </c>
      <c r="P190" s="82">
        <v>44461.080613425926</v>
      </c>
      <c r="Q190" s="80" t="s">
        <v>423</v>
      </c>
      <c r="R190" s="83" t="str">
        <f>HYPERLINK("https://www.jornada.com.mx/notas/2021/09/21/estados/inm-envia-por-avion-a-120-haitianos-a-chiapas-desde-coahuila/")</f>
        <v>https://www.jornada.com.mx/notas/2021/09/21/estados/inm-envia-por-avion-a-120-haitianos-a-chiapas-desde-coahuila/</v>
      </c>
      <c r="S190" s="80" t="s">
        <v>451</v>
      </c>
      <c r="T190" s="85" t="s">
        <v>496</v>
      </c>
      <c r="U190" s="80"/>
      <c r="V190" s="83" t="str">
        <f>HYPERLINK("https://pbs.twimg.com/profile_images/1236124521561829377/lbfyINMX_normal.jpg")</f>
        <v>https://pbs.twimg.com/profile_images/1236124521561829377/lbfyINMX_normal.jpg</v>
      </c>
      <c r="W190" s="82">
        <v>44461.080613425926</v>
      </c>
      <c r="X190" s="88">
        <v>44461</v>
      </c>
      <c r="Y190" s="85" t="s">
        <v>639</v>
      </c>
      <c r="Z190" s="83" t="str">
        <f>HYPERLINK("https://twitter.com/thegreatceir/status/1440495083522957314")</f>
        <v>https://twitter.com/thegreatceir/status/1440495083522957314</v>
      </c>
      <c r="AA190" s="80"/>
      <c r="AB190" s="80"/>
      <c r="AC190" s="85" t="s">
        <v>812</v>
      </c>
      <c r="AD190" s="80"/>
      <c r="AE190" s="80" t="b">
        <v>0</v>
      </c>
      <c r="AF190" s="80">
        <v>0</v>
      </c>
      <c r="AG190" s="85" t="s">
        <v>871</v>
      </c>
      <c r="AH190" s="80" t="b">
        <v>0</v>
      </c>
      <c r="AI190" s="80" t="s">
        <v>882</v>
      </c>
      <c r="AJ190" s="80"/>
      <c r="AK190" s="85" t="s">
        <v>871</v>
      </c>
      <c r="AL190" s="80" t="b">
        <v>0</v>
      </c>
      <c r="AM190" s="80">
        <v>6</v>
      </c>
      <c r="AN190" s="85" t="s">
        <v>811</v>
      </c>
      <c r="AO190" s="85" t="s">
        <v>889</v>
      </c>
      <c r="AP190" s="80" t="b">
        <v>0</v>
      </c>
      <c r="AQ190" s="85" t="s">
        <v>811</v>
      </c>
      <c r="AR190" s="80" t="s">
        <v>178</v>
      </c>
      <c r="AS190" s="80">
        <v>0</v>
      </c>
      <c r="AT190" s="80">
        <v>0</v>
      </c>
      <c r="AU190" s="80"/>
      <c r="AV190" s="80"/>
      <c r="AW190" s="80"/>
      <c r="AX190" s="80"/>
      <c r="AY190" s="80"/>
      <c r="AZ190" s="80"/>
      <c r="BA190" s="80"/>
      <c r="BB190" s="80"/>
      <c r="BC190">
        <v>1</v>
      </c>
      <c r="BD190" s="79" t="str">
        <f>REPLACE(INDEX(GroupVertices[Group],MATCH(Edges[[#This Row],[Vertex 1]],GroupVertices[Vertex],0)),1,1,"")</f>
        <v>2</v>
      </c>
      <c r="BE190" s="79" t="str">
        <f>REPLACE(INDEX(GroupVertices[Group],MATCH(Edges[[#This Row],[Vertex 2]],GroupVertices[Vertex],0)),1,1,"")</f>
        <v>2</v>
      </c>
      <c r="BF190" s="49">
        <v>0</v>
      </c>
      <c r="BG190" s="50">
        <v>0</v>
      </c>
      <c r="BH190" s="49">
        <v>0</v>
      </c>
      <c r="BI190" s="50">
        <v>0</v>
      </c>
      <c r="BJ190" s="49">
        <v>0</v>
      </c>
      <c r="BK190" s="50">
        <v>0</v>
      </c>
      <c r="BL190" s="49">
        <v>38</v>
      </c>
      <c r="BM190" s="50">
        <v>100</v>
      </c>
      <c r="BN190" s="49">
        <v>38</v>
      </c>
    </row>
    <row r="191" spans="1:66" ht="15">
      <c r="A191" s="65" t="s">
        <v>316</v>
      </c>
      <c r="B191" s="65" t="s">
        <v>332</v>
      </c>
      <c r="C191" s="66" t="s">
        <v>2698</v>
      </c>
      <c r="D191" s="67">
        <v>4</v>
      </c>
      <c r="E191" s="68" t="s">
        <v>132</v>
      </c>
      <c r="F191" s="69">
        <v>30</v>
      </c>
      <c r="G191" s="66"/>
      <c r="H191" s="70"/>
      <c r="I191" s="71"/>
      <c r="J191" s="71"/>
      <c r="K191" s="35" t="s">
        <v>65</v>
      </c>
      <c r="L191" s="78">
        <v>191</v>
      </c>
      <c r="M191" s="78"/>
      <c r="N191" s="73"/>
      <c r="O191" s="80" t="s">
        <v>383</v>
      </c>
      <c r="P191" s="82">
        <v>44461.08730324074</v>
      </c>
      <c r="Q191" s="80" t="s">
        <v>425</v>
      </c>
      <c r="R191" s="80"/>
      <c r="S191" s="80"/>
      <c r="T191" s="85" t="s">
        <v>498</v>
      </c>
      <c r="U191" s="83" t="str">
        <f>HYPERLINK("https://pbs.twimg.com/media/E_1U1pPVEAImP5O.jpg")</f>
        <v>https://pbs.twimg.com/media/E_1U1pPVEAImP5O.jpg</v>
      </c>
      <c r="V191" s="83" t="str">
        <f>HYPERLINK("https://pbs.twimg.com/media/E_1U1pPVEAImP5O.jpg")</f>
        <v>https://pbs.twimg.com/media/E_1U1pPVEAImP5O.jpg</v>
      </c>
      <c r="W191" s="82">
        <v>44461.08730324074</v>
      </c>
      <c r="X191" s="88">
        <v>44461</v>
      </c>
      <c r="Y191" s="85" t="s">
        <v>640</v>
      </c>
      <c r="Z191" s="83" t="str">
        <f>HYPERLINK("https://twitter.com/nancygrdz/status/1440497508262633472")</f>
        <v>https://twitter.com/nancygrdz/status/1440497508262633472</v>
      </c>
      <c r="AA191" s="80"/>
      <c r="AB191" s="80"/>
      <c r="AC191" s="85" t="s">
        <v>813</v>
      </c>
      <c r="AD191" s="80"/>
      <c r="AE191" s="80" t="b">
        <v>0</v>
      </c>
      <c r="AF191" s="80">
        <v>0</v>
      </c>
      <c r="AG191" s="85" t="s">
        <v>871</v>
      </c>
      <c r="AH191" s="80" t="b">
        <v>0</v>
      </c>
      <c r="AI191" s="80" t="s">
        <v>882</v>
      </c>
      <c r="AJ191" s="80"/>
      <c r="AK191" s="85" t="s">
        <v>871</v>
      </c>
      <c r="AL191" s="80" t="b">
        <v>0</v>
      </c>
      <c r="AM191" s="80">
        <v>36</v>
      </c>
      <c r="AN191" s="85" t="s">
        <v>830</v>
      </c>
      <c r="AO191" s="85" t="s">
        <v>889</v>
      </c>
      <c r="AP191" s="80" t="b">
        <v>0</v>
      </c>
      <c r="AQ191" s="85" t="s">
        <v>830</v>
      </c>
      <c r="AR191" s="80" t="s">
        <v>178</v>
      </c>
      <c r="AS191" s="80">
        <v>0</v>
      </c>
      <c r="AT191" s="80">
        <v>0</v>
      </c>
      <c r="AU191" s="80"/>
      <c r="AV191" s="80"/>
      <c r="AW191" s="80"/>
      <c r="AX191" s="80"/>
      <c r="AY191" s="80"/>
      <c r="AZ191" s="80"/>
      <c r="BA191" s="80"/>
      <c r="BB191" s="80"/>
      <c r="BC191">
        <v>1</v>
      </c>
      <c r="BD191" s="79" t="str">
        <f>REPLACE(INDEX(GroupVertices[Group],MATCH(Edges[[#This Row],[Vertex 1]],GroupVertices[Vertex],0)),1,1,"")</f>
        <v>1</v>
      </c>
      <c r="BE191" s="79" t="str">
        <f>REPLACE(INDEX(GroupVertices[Group],MATCH(Edges[[#This Row],[Vertex 2]],GroupVertices[Vertex],0)),1,1,"")</f>
        <v>1</v>
      </c>
      <c r="BF191" s="49">
        <v>0</v>
      </c>
      <c r="BG191" s="50">
        <v>0</v>
      </c>
      <c r="BH191" s="49">
        <v>0</v>
      </c>
      <c r="BI191" s="50">
        <v>0</v>
      </c>
      <c r="BJ191" s="49">
        <v>0</v>
      </c>
      <c r="BK191" s="50">
        <v>0</v>
      </c>
      <c r="BL191" s="49">
        <v>38</v>
      </c>
      <c r="BM191" s="50">
        <v>100</v>
      </c>
      <c r="BN191" s="49">
        <v>38</v>
      </c>
    </row>
    <row r="192" spans="1:66" ht="15">
      <c r="A192" s="65" t="s">
        <v>317</v>
      </c>
      <c r="B192" s="65" t="s">
        <v>332</v>
      </c>
      <c r="C192" s="66" t="s">
        <v>2698</v>
      </c>
      <c r="D192" s="67">
        <v>4</v>
      </c>
      <c r="E192" s="68" t="s">
        <v>132</v>
      </c>
      <c r="F192" s="69">
        <v>30</v>
      </c>
      <c r="G192" s="66"/>
      <c r="H192" s="70"/>
      <c r="I192" s="71"/>
      <c r="J192" s="71"/>
      <c r="K192" s="35" t="s">
        <v>65</v>
      </c>
      <c r="L192" s="78">
        <v>192</v>
      </c>
      <c r="M192" s="78"/>
      <c r="N192" s="73"/>
      <c r="O192" s="80" t="s">
        <v>383</v>
      </c>
      <c r="P192" s="82">
        <v>44461.1406712963</v>
      </c>
      <c r="Q192" s="80" t="s">
        <v>425</v>
      </c>
      <c r="R192" s="80"/>
      <c r="S192" s="80"/>
      <c r="T192" s="85" t="s">
        <v>498</v>
      </c>
      <c r="U192" s="83" t="str">
        <f>HYPERLINK("https://pbs.twimg.com/media/E_1U1pPVEAImP5O.jpg")</f>
        <v>https://pbs.twimg.com/media/E_1U1pPVEAImP5O.jpg</v>
      </c>
      <c r="V192" s="83" t="str">
        <f>HYPERLINK("https://pbs.twimg.com/media/E_1U1pPVEAImP5O.jpg")</f>
        <v>https://pbs.twimg.com/media/E_1U1pPVEAImP5O.jpg</v>
      </c>
      <c r="W192" s="82">
        <v>44461.1406712963</v>
      </c>
      <c r="X192" s="88">
        <v>44461</v>
      </c>
      <c r="Y192" s="85" t="s">
        <v>641</v>
      </c>
      <c r="Z192" s="83" t="str">
        <f>HYPERLINK("https://twitter.com/argelmoren/status/1440516846831038474")</f>
        <v>https://twitter.com/argelmoren/status/1440516846831038474</v>
      </c>
      <c r="AA192" s="80"/>
      <c r="AB192" s="80"/>
      <c r="AC192" s="85" t="s">
        <v>814</v>
      </c>
      <c r="AD192" s="80"/>
      <c r="AE192" s="80" t="b">
        <v>0</v>
      </c>
      <c r="AF192" s="80">
        <v>0</v>
      </c>
      <c r="AG192" s="85" t="s">
        <v>871</v>
      </c>
      <c r="AH192" s="80" t="b">
        <v>0</v>
      </c>
      <c r="AI192" s="80" t="s">
        <v>882</v>
      </c>
      <c r="AJ192" s="80"/>
      <c r="AK192" s="85" t="s">
        <v>871</v>
      </c>
      <c r="AL192" s="80" t="b">
        <v>0</v>
      </c>
      <c r="AM192" s="80">
        <v>36</v>
      </c>
      <c r="AN192" s="85" t="s">
        <v>830</v>
      </c>
      <c r="AO192" s="85" t="s">
        <v>889</v>
      </c>
      <c r="AP192" s="80" t="b">
        <v>0</v>
      </c>
      <c r="AQ192" s="85" t="s">
        <v>830</v>
      </c>
      <c r="AR192" s="80" t="s">
        <v>178</v>
      </c>
      <c r="AS192" s="80">
        <v>0</v>
      </c>
      <c r="AT192" s="80">
        <v>0</v>
      </c>
      <c r="AU192" s="80"/>
      <c r="AV192" s="80"/>
      <c r="AW192" s="80"/>
      <c r="AX192" s="80"/>
      <c r="AY192" s="80"/>
      <c r="AZ192" s="80"/>
      <c r="BA192" s="80"/>
      <c r="BB192" s="80"/>
      <c r="BC192">
        <v>1</v>
      </c>
      <c r="BD192" s="79" t="str">
        <f>REPLACE(INDEX(GroupVertices[Group],MATCH(Edges[[#This Row],[Vertex 1]],GroupVertices[Vertex],0)),1,1,"")</f>
        <v>1</v>
      </c>
      <c r="BE192" s="79" t="str">
        <f>REPLACE(INDEX(GroupVertices[Group],MATCH(Edges[[#This Row],[Vertex 2]],GroupVertices[Vertex],0)),1,1,"")</f>
        <v>1</v>
      </c>
      <c r="BF192" s="49">
        <v>0</v>
      </c>
      <c r="BG192" s="50">
        <v>0</v>
      </c>
      <c r="BH192" s="49">
        <v>0</v>
      </c>
      <c r="BI192" s="50">
        <v>0</v>
      </c>
      <c r="BJ192" s="49">
        <v>0</v>
      </c>
      <c r="BK192" s="50">
        <v>0</v>
      </c>
      <c r="BL192" s="49">
        <v>38</v>
      </c>
      <c r="BM192" s="50">
        <v>100</v>
      </c>
      <c r="BN192" s="49">
        <v>38</v>
      </c>
    </row>
    <row r="193" spans="1:66" ht="15">
      <c r="A193" s="65" t="s">
        <v>318</v>
      </c>
      <c r="B193" s="65" t="s">
        <v>332</v>
      </c>
      <c r="C193" s="66" t="s">
        <v>2698</v>
      </c>
      <c r="D193" s="67">
        <v>4</v>
      </c>
      <c r="E193" s="68" t="s">
        <v>132</v>
      </c>
      <c r="F193" s="69">
        <v>30</v>
      </c>
      <c r="G193" s="66"/>
      <c r="H193" s="70"/>
      <c r="I193" s="71"/>
      <c r="J193" s="71"/>
      <c r="K193" s="35" t="s">
        <v>65</v>
      </c>
      <c r="L193" s="78">
        <v>193</v>
      </c>
      <c r="M193" s="78"/>
      <c r="N193" s="73"/>
      <c r="O193" s="80" t="s">
        <v>383</v>
      </c>
      <c r="P193" s="82">
        <v>44461.176458333335</v>
      </c>
      <c r="Q193" s="80" t="s">
        <v>425</v>
      </c>
      <c r="R193" s="80"/>
      <c r="S193" s="80"/>
      <c r="T193" s="85" t="s">
        <v>498</v>
      </c>
      <c r="U193" s="83" t="str">
        <f>HYPERLINK("https://pbs.twimg.com/media/E_1U1pPVEAImP5O.jpg")</f>
        <v>https://pbs.twimg.com/media/E_1U1pPVEAImP5O.jpg</v>
      </c>
      <c r="V193" s="83" t="str">
        <f>HYPERLINK("https://pbs.twimg.com/media/E_1U1pPVEAImP5O.jpg")</f>
        <v>https://pbs.twimg.com/media/E_1U1pPVEAImP5O.jpg</v>
      </c>
      <c r="W193" s="82">
        <v>44461.176458333335</v>
      </c>
      <c r="X193" s="88">
        <v>44461</v>
      </c>
      <c r="Y193" s="85" t="s">
        <v>642</v>
      </c>
      <c r="Z193" s="83" t="str">
        <f>HYPERLINK("https://twitter.com/febl/status/1440529817766555649")</f>
        <v>https://twitter.com/febl/status/1440529817766555649</v>
      </c>
      <c r="AA193" s="80"/>
      <c r="AB193" s="80"/>
      <c r="AC193" s="85" t="s">
        <v>815</v>
      </c>
      <c r="AD193" s="80"/>
      <c r="AE193" s="80" t="b">
        <v>0</v>
      </c>
      <c r="AF193" s="80">
        <v>0</v>
      </c>
      <c r="AG193" s="85" t="s">
        <v>871</v>
      </c>
      <c r="AH193" s="80" t="b">
        <v>0</v>
      </c>
      <c r="AI193" s="80" t="s">
        <v>882</v>
      </c>
      <c r="AJ193" s="80"/>
      <c r="AK193" s="85" t="s">
        <v>871</v>
      </c>
      <c r="AL193" s="80" t="b">
        <v>0</v>
      </c>
      <c r="AM193" s="80">
        <v>36</v>
      </c>
      <c r="AN193" s="85" t="s">
        <v>830</v>
      </c>
      <c r="AO193" s="85" t="s">
        <v>890</v>
      </c>
      <c r="AP193" s="80" t="b">
        <v>0</v>
      </c>
      <c r="AQ193" s="85" t="s">
        <v>830</v>
      </c>
      <c r="AR193" s="80" t="s">
        <v>178</v>
      </c>
      <c r="AS193" s="80">
        <v>0</v>
      </c>
      <c r="AT193" s="80">
        <v>0</v>
      </c>
      <c r="AU193" s="80"/>
      <c r="AV193" s="80"/>
      <c r="AW193" s="80"/>
      <c r="AX193" s="80"/>
      <c r="AY193" s="80"/>
      <c r="AZ193" s="80"/>
      <c r="BA193" s="80"/>
      <c r="BB193" s="80"/>
      <c r="BC193">
        <v>1</v>
      </c>
      <c r="BD193" s="79" t="str">
        <f>REPLACE(INDEX(GroupVertices[Group],MATCH(Edges[[#This Row],[Vertex 1]],GroupVertices[Vertex],0)),1,1,"")</f>
        <v>1</v>
      </c>
      <c r="BE193" s="79" t="str">
        <f>REPLACE(INDEX(GroupVertices[Group],MATCH(Edges[[#This Row],[Vertex 2]],GroupVertices[Vertex],0)),1,1,"")</f>
        <v>1</v>
      </c>
      <c r="BF193" s="49">
        <v>0</v>
      </c>
      <c r="BG193" s="50">
        <v>0</v>
      </c>
      <c r="BH193" s="49">
        <v>0</v>
      </c>
      <c r="BI193" s="50">
        <v>0</v>
      </c>
      <c r="BJ193" s="49">
        <v>0</v>
      </c>
      <c r="BK193" s="50">
        <v>0</v>
      </c>
      <c r="BL193" s="49">
        <v>38</v>
      </c>
      <c r="BM193" s="50">
        <v>100</v>
      </c>
      <c r="BN193" s="49">
        <v>38</v>
      </c>
    </row>
    <row r="194" spans="1:66" ht="15">
      <c r="A194" s="65" t="s">
        <v>319</v>
      </c>
      <c r="B194" s="65" t="s">
        <v>376</v>
      </c>
      <c r="C194" s="66" t="s">
        <v>2698</v>
      </c>
      <c r="D194" s="67">
        <v>4</v>
      </c>
      <c r="E194" s="68" t="s">
        <v>132</v>
      </c>
      <c r="F194" s="69">
        <v>30</v>
      </c>
      <c r="G194" s="66"/>
      <c r="H194" s="70"/>
      <c r="I194" s="71"/>
      <c r="J194" s="71"/>
      <c r="K194" s="35" t="s">
        <v>65</v>
      </c>
      <c r="L194" s="78">
        <v>194</v>
      </c>
      <c r="M194" s="78"/>
      <c r="N194" s="73"/>
      <c r="O194" s="80" t="s">
        <v>382</v>
      </c>
      <c r="P194" s="82">
        <v>44461.200694444444</v>
      </c>
      <c r="Q194" s="80" t="s">
        <v>426</v>
      </c>
      <c r="R194" s="80"/>
      <c r="S194" s="80"/>
      <c r="T194" s="85" t="s">
        <v>499</v>
      </c>
      <c r="U194" s="83" t="str">
        <f>HYPERLINK("https://pbs.twimg.com/media/E_1Ow97UUAYV0Is.jpg")</f>
        <v>https://pbs.twimg.com/media/E_1Ow97UUAYV0Is.jpg</v>
      </c>
      <c r="V194" s="83" t="str">
        <f>HYPERLINK("https://pbs.twimg.com/media/E_1Ow97UUAYV0Is.jpg")</f>
        <v>https://pbs.twimg.com/media/E_1Ow97UUAYV0Is.jpg</v>
      </c>
      <c r="W194" s="82">
        <v>44461.200694444444</v>
      </c>
      <c r="X194" s="88">
        <v>44461</v>
      </c>
      <c r="Y194" s="85" t="s">
        <v>643</v>
      </c>
      <c r="Z194" s="83" t="str">
        <f>HYPERLINK("https://twitter.com/jan_aguileram/status/1440538598973980680")</f>
        <v>https://twitter.com/jan_aguileram/status/1440538598973980680</v>
      </c>
      <c r="AA194" s="80"/>
      <c r="AB194" s="80"/>
      <c r="AC194" s="85" t="s">
        <v>816</v>
      </c>
      <c r="AD194" s="80"/>
      <c r="AE194" s="80" t="b">
        <v>0</v>
      </c>
      <c r="AF194" s="80">
        <v>0</v>
      </c>
      <c r="AG194" s="85" t="s">
        <v>871</v>
      </c>
      <c r="AH194" s="80" t="b">
        <v>0</v>
      </c>
      <c r="AI194" s="80" t="s">
        <v>882</v>
      </c>
      <c r="AJ194" s="80"/>
      <c r="AK194" s="85" t="s">
        <v>871</v>
      </c>
      <c r="AL194" s="80" t="b">
        <v>0</v>
      </c>
      <c r="AM194" s="80">
        <v>3</v>
      </c>
      <c r="AN194" s="85" t="s">
        <v>857</v>
      </c>
      <c r="AO194" s="85" t="s">
        <v>890</v>
      </c>
      <c r="AP194" s="80" t="b">
        <v>0</v>
      </c>
      <c r="AQ194" s="85" t="s">
        <v>857</v>
      </c>
      <c r="AR194" s="80" t="s">
        <v>178</v>
      </c>
      <c r="AS194" s="80">
        <v>0</v>
      </c>
      <c r="AT194" s="80">
        <v>0</v>
      </c>
      <c r="AU194" s="80"/>
      <c r="AV194" s="80"/>
      <c r="AW194" s="80"/>
      <c r="AX194" s="80"/>
      <c r="AY194" s="80"/>
      <c r="AZ194" s="80"/>
      <c r="BA194" s="80"/>
      <c r="BB194" s="80"/>
      <c r="BC194">
        <v>1</v>
      </c>
      <c r="BD194" s="79" t="str">
        <f>REPLACE(INDEX(GroupVertices[Group],MATCH(Edges[[#This Row],[Vertex 1]],GroupVertices[Vertex],0)),1,1,"")</f>
        <v>7</v>
      </c>
      <c r="BE194" s="79" t="str">
        <f>REPLACE(INDEX(GroupVertices[Group],MATCH(Edges[[#This Row],[Vertex 2]],GroupVertices[Vertex],0)),1,1,"")</f>
        <v>7</v>
      </c>
      <c r="BF194" s="49"/>
      <c r="BG194" s="50"/>
      <c r="BH194" s="49"/>
      <c r="BI194" s="50"/>
      <c r="BJ194" s="49"/>
      <c r="BK194" s="50"/>
      <c r="BL194" s="49"/>
      <c r="BM194" s="50"/>
      <c r="BN194" s="49"/>
    </row>
    <row r="195" spans="1:66" ht="15">
      <c r="A195" s="65" t="s">
        <v>319</v>
      </c>
      <c r="B195" s="65" t="s">
        <v>355</v>
      </c>
      <c r="C195" s="66" t="s">
        <v>2698</v>
      </c>
      <c r="D195" s="67">
        <v>4</v>
      </c>
      <c r="E195" s="68" t="s">
        <v>132</v>
      </c>
      <c r="F195" s="69">
        <v>30</v>
      </c>
      <c r="G195" s="66"/>
      <c r="H195" s="70"/>
      <c r="I195" s="71"/>
      <c r="J195" s="71"/>
      <c r="K195" s="35" t="s">
        <v>65</v>
      </c>
      <c r="L195" s="78">
        <v>195</v>
      </c>
      <c r="M195" s="78"/>
      <c r="N195" s="73"/>
      <c r="O195" s="80" t="s">
        <v>383</v>
      </c>
      <c r="P195" s="82">
        <v>44461.200694444444</v>
      </c>
      <c r="Q195" s="80" t="s">
        <v>426</v>
      </c>
      <c r="R195" s="80"/>
      <c r="S195" s="80"/>
      <c r="T195" s="85" t="s">
        <v>499</v>
      </c>
      <c r="U195" s="83" t="str">
        <f>HYPERLINK("https://pbs.twimg.com/media/E_1Ow97UUAYV0Is.jpg")</f>
        <v>https://pbs.twimg.com/media/E_1Ow97UUAYV0Is.jpg</v>
      </c>
      <c r="V195" s="83" t="str">
        <f>HYPERLINK("https://pbs.twimg.com/media/E_1Ow97UUAYV0Is.jpg")</f>
        <v>https://pbs.twimg.com/media/E_1Ow97UUAYV0Is.jpg</v>
      </c>
      <c r="W195" s="82">
        <v>44461.200694444444</v>
      </c>
      <c r="X195" s="88">
        <v>44461</v>
      </c>
      <c r="Y195" s="85" t="s">
        <v>643</v>
      </c>
      <c r="Z195" s="83" t="str">
        <f>HYPERLINK("https://twitter.com/jan_aguileram/status/1440538598973980680")</f>
        <v>https://twitter.com/jan_aguileram/status/1440538598973980680</v>
      </c>
      <c r="AA195" s="80"/>
      <c r="AB195" s="80"/>
      <c r="AC195" s="85" t="s">
        <v>816</v>
      </c>
      <c r="AD195" s="80"/>
      <c r="AE195" s="80" t="b">
        <v>0</v>
      </c>
      <c r="AF195" s="80">
        <v>0</v>
      </c>
      <c r="AG195" s="85" t="s">
        <v>871</v>
      </c>
      <c r="AH195" s="80" t="b">
        <v>0</v>
      </c>
      <c r="AI195" s="80" t="s">
        <v>882</v>
      </c>
      <c r="AJ195" s="80"/>
      <c r="AK195" s="85" t="s">
        <v>871</v>
      </c>
      <c r="AL195" s="80" t="b">
        <v>0</v>
      </c>
      <c r="AM195" s="80">
        <v>3</v>
      </c>
      <c r="AN195" s="85" t="s">
        <v>857</v>
      </c>
      <c r="AO195" s="85" t="s">
        <v>890</v>
      </c>
      <c r="AP195" s="80" t="b">
        <v>0</v>
      </c>
      <c r="AQ195" s="85" t="s">
        <v>857</v>
      </c>
      <c r="AR195" s="80" t="s">
        <v>178</v>
      </c>
      <c r="AS195" s="80">
        <v>0</v>
      </c>
      <c r="AT195" s="80">
        <v>0</v>
      </c>
      <c r="AU195" s="80"/>
      <c r="AV195" s="80"/>
      <c r="AW195" s="80"/>
      <c r="AX195" s="80"/>
      <c r="AY195" s="80"/>
      <c r="AZ195" s="80"/>
      <c r="BA195" s="80"/>
      <c r="BB195" s="80"/>
      <c r="BC195">
        <v>1</v>
      </c>
      <c r="BD195" s="79" t="str">
        <f>REPLACE(INDEX(GroupVertices[Group],MATCH(Edges[[#This Row],[Vertex 1]],GroupVertices[Vertex],0)),1,1,"")</f>
        <v>7</v>
      </c>
      <c r="BE195" s="79" t="str">
        <f>REPLACE(INDEX(GroupVertices[Group],MATCH(Edges[[#This Row],[Vertex 2]],GroupVertices[Vertex],0)),1,1,"")</f>
        <v>7</v>
      </c>
      <c r="BF195" s="49">
        <v>0</v>
      </c>
      <c r="BG195" s="50">
        <v>0</v>
      </c>
      <c r="BH195" s="49">
        <v>0</v>
      </c>
      <c r="BI195" s="50">
        <v>0</v>
      </c>
      <c r="BJ195" s="49">
        <v>0</v>
      </c>
      <c r="BK195" s="50">
        <v>0</v>
      </c>
      <c r="BL195" s="49">
        <v>22</v>
      </c>
      <c r="BM195" s="50">
        <v>100</v>
      </c>
      <c r="BN195" s="49">
        <v>22</v>
      </c>
    </row>
    <row r="196" spans="1:66" ht="15">
      <c r="A196" s="65" t="s">
        <v>320</v>
      </c>
      <c r="B196" s="65" t="s">
        <v>332</v>
      </c>
      <c r="C196" s="66" t="s">
        <v>2698</v>
      </c>
      <c r="D196" s="67">
        <v>4</v>
      </c>
      <c r="E196" s="68" t="s">
        <v>132</v>
      </c>
      <c r="F196" s="69">
        <v>30</v>
      </c>
      <c r="G196" s="66"/>
      <c r="H196" s="70"/>
      <c r="I196" s="71"/>
      <c r="J196" s="71"/>
      <c r="K196" s="35" t="s">
        <v>65</v>
      </c>
      <c r="L196" s="78">
        <v>196</v>
      </c>
      <c r="M196" s="78"/>
      <c r="N196" s="73"/>
      <c r="O196" s="80" t="s">
        <v>383</v>
      </c>
      <c r="P196" s="82">
        <v>44461.20748842593</v>
      </c>
      <c r="Q196" s="80" t="s">
        <v>425</v>
      </c>
      <c r="R196" s="80"/>
      <c r="S196" s="80"/>
      <c r="T196" s="85" t="s">
        <v>498</v>
      </c>
      <c r="U196" s="83" t="str">
        <f>HYPERLINK("https://pbs.twimg.com/media/E_1U1pPVEAImP5O.jpg")</f>
        <v>https://pbs.twimg.com/media/E_1U1pPVEAImP5O.jpg</v>
      </c>
      <c r="V196" s="83" t="str">
        <f>HYPERLINK("https://pbs.twimg.com/media/E_1U1pPVEAImP5O.jpg")</f>
        <v>https://pbs.twimg.com/media/E_1U1pPVEAImP5O.jpg</v>
      </c>
      <c r="W196" s="82">
        <v>44461.20748842593</v>
      </c>
      <c r="X196" s="88">
        <v>44461</v>
      </c>
      <c r="Y196" s="85" t="s">
        <v>644</v>
      </c>
      <c r="Z196" s="83" t="str">
        <f>HYPERLINK("https://twitter.com/caracas0057/status/1440541062267740163")</f>
        <v>https://twitter.com/caracas0057/status/1440541062267740163</v>
      </c>
      <c r="AA196" s="80"/>
      <c r="AB196" s="80"/>
      <c r="AC196" s="85" t="s">
        <v>817</v>
      </c>
      <c r="AD196" s="80"/>
      <c r="AE196" s="80" t="b">
        <v>0</v>
      </c>
      <c r="AF196" s="80">
        <v>0</v>
      </c>
      <c r="AG196" s="85" t="s">
        <v>871</v>
      </c>
      <c r="AH196" s="80" t="b">
        <v>0</v>
      </c>
      <c r="AI196" s="80" t="s">
        <v>882</v>
      </c>
      <c r="AJ196" s="80"/>
      <c r="AK196" s="85" t="s">
        <v>871</v>
      </c>
      <c r="AL196" s="80" t="b">
        <v>0</v>
      </c>
      <c r="AM196" s="80">
        <v>36</v>
      </c>
      <c r="AN196" s="85" t="s">
        <v>830</v>
      </c>
      <c r="AO196" s="85" t="s">
        <v>889</v>
      </c>
      <c r="AP196" s="80" t="b">
        <v>0</v>
      </c>
      <c r="AQ196" s="85" t="s">
        <v>830</v>
      </c>
      <c r="AR196" s="80" t="s">
        <v>178</v>
      </c>
      <c r="AS196" s="80">
        <v>0</v>
      </c>
      <c r="AT196" s="80">
        <v>0</v>
      </c>
      <c r="AU196" s="80"/>
      <c r="AV196" s="80"/>
      <c r="AW196" s="80"/>
      <c r="AX196" s="80"/>
      <c r="AY196" s="80"/>
      <c r="AZ196" s="80"/>
      <c r="BA196" s="80"/>
      <c r="BB196" s="80"/>
      <c r="BC196">
        <v>1</v>
      </c>
      <c r="BD196" s="79" t="str">
        <f>REPLACE(INDEX(GroupVertices[Group],MATCH(Edges[[#This Row],[Vertex 1]],GroupVertices[Vertex],0)),1,1,"")</f>
        <v>1</v>
      </c>
      <c r="BE196" s="79" t="str">
        <f>REPLACE(INDEX(GroupVertices[Group],MATCH(Edges[[#This Row],[Vertex 2]],GroupVertices[Vertex],0)),1,1,"")</f>
        <v>1</v>
      </c>
      <c r="BF196" s="49">
        <v>0</v>
      </c>
      <c r="BG196" s="50">
        <v>0</v>
      </c>
      <c r="BH196" s="49">
        <v>0</v>
      </c>
      <c r="BI196" s="50">
        <v>0</v>
      </c>
      <c r="BJ196" s="49">
        <v>0</v>
      </c>
      <c r="BK196" s="50">
        <v>0</v>
      </c>
      <c r="BL196" s="49">
        <v>38</v>
      </c>
      <c r="BM196" s="50">
        <v>100</v>
      </c>
      <c r="BN196" s="49">
        <v>38</v>
      </c>
    </row>
    <row r="197" spans="1:66" ht="15">
      <c r="A197" s="65" t="s">
        <v>321</v>
      </c>
      <c r="B197" s="65" t="s">
        <v>332</v>
      </c>
      <c r="C197" s="66" t="s">
        <v>2698</v>
      </c>
      <c r="D197" s="67">
        <v>4</v>
      </c>
      <c r="E197" s="68" t="s">
        <v>132</v>
      </c>
      <c r="F197" s="69">
        <v>30</v>
      </c>
      <c r="G197" s="66"/>
      <c r="H197" s="70"/>
      <c r="I197" s="71"/>
      <c r="J197" s="71"/>
      <c r="K197" s="35" t="s">
        <v>65</v>
      </c>
      <c r="L197" s="78">
        <v>197</v>
      </c>
      <c r="M197" s="78"/>
      <c r="N197" s="73"/>
      <c r="O197" s="80" t="s">
        <v>383</v>
      </c>
      <c r="P197" s="82">
        <v>44461.230219907404</v>
      </c>
      <c r="Q197" s="80" t="s">
        <v>425</v>
      </c>
      <c r="R197" s="80"/>
      <c r="S197" s="80"/>
      <c r="T197" s="85" t="s">
        <v>498</v>
      </c>
      <c r="U197" s="83" t="str">
        <f>HYPERLINK("https://pbs.twimg.com/media/E_1U1pPVEAImP5O.jpg")</f>
        <v>https://pbs.twimg.com/media/E_1U1pPVEAImP5O.jpg</v>
      </c>
      <c r="V197" s="83" t="str">
        <f>HYPERLINK("https://pbs.twimg.com/media/E_1U1pPVEAImP5O.jpg")</f>
        <v>https://pbs.twimg.com/media/E_1U1pPVEAImP5O.jpg</v>
      </c>
      <c r="W197" s="82">
        <v>44461.230219907404</v>
      </c>
      <c r="X197" s="88">
        <v>44461</v>
      </c>
      <c r="Y197" s="85" t="s">
        <v>645</v>
      </c>
      <c r="Z197" s="83" t="str">
        <f>HYPERLINK("https://twitter.com/victorvola/status/1440549299348140035")</f>
        <v>https://twitter.com/victorvola/status/1440549299348140035</v>
      </c>
      <c r="AA197" s="80"/>
      <c r="AB197" s="80"/>
      <c r="AC197" s="85" t="s">
        <v>818</v>
      </c>
      <c r="AD197" s="80"/>
      <c r="AE197" s="80" t="b">
        <v>0</v>
      </c>
      <c r="AF197" s="80">
        <v>0</v>
      </c>
      <c r="AG197" s="85" t="s">
        <v>871</v>
      </c>
      <c r="AH197" s="80" t="b">
        <v>0</v>
      </c>
      <c r="AI197" s="80" t="s">
        <v>882</v>
      </c>
      <c r="AJ197" s="80"/>
      <c r="AK197" s="85" t="s">
        <v>871</v>
      </c>
      <c r="AL197" s="80" t="b">
        <v>0</v>
      </c>
      <c r="AM197" s="80">
        <v>36</v>
      </c>
      <c r="AN197" s="85" t="s">
        <v>830</v>
      </c>
      <c r="AO197" s="85" t="s">
        <v>889</v>
      </c>
      <c r="AP197" s="80" t="b">
        <v>0</v>
      </c>
      <c r="AQ197" s="85" t="s">
        <v>830</v>
      </c>
      <c r="AR197" s="80" t="s">
        <v>178</v>
      </c>
      <c r="AS197" s="80">
        <v>0</v>
      </c>
      <c r="AT197" s="80">
        <v>0</v>
      </c>
      <c r="AU197" s="80"/>
      <c r="AV197" s="80"/>
      <c r="AW197" s="80"/>
      <c r="AX197" s="80"/>
      <c r="AY197" s="80"/>
      <c r="AZ197" s="80"/>
      <c r="BA197" s="80"/>
      <c r="BB197" s="80"/>
      <c r="BC197">
        <v>1</v>
      </c>
      <c r="BD197" s="79" t="str">
        <f>REPLACE(INDEX(GroupVertices[Group],MATCH(Edges[[#This Row],[Vertex 1]],GroupVertices[Vertex],0)),1,1,"")</f>
        <v>1</v>
      </c>
      <c r="BE197" s="79" t="str">
        <f>REPLACE(INDEX(GroupVertices[Group],MATCH(Edges[[#This Row],[Vertex 2]],GroupVertices[Vertex],0)),1,1,"")</f>
        <v>1</v>
      </c>
      <c r="BF197" s="49">
        <v>0</v>
      </c>
      <c r="BG197" s="50">
        <v>0</v>
      </c>
      <c r="BH197" s="49">
        <v>0</v>
      </c>
      <c r="BI197" s="50">
        <v>0</v>
      </c>
      <c r="BJ197" s="49">
        <v>0</v>
      </c>
      <c r="BK197" s="50">
        <v>0</v>
      </c>
      <c r="BL197" s="49">
        <v>38</v>
      </c>
      <c r="BM197" s="50">
        <v>100</v>
      </c>
      <c r="BN197" s="49">
        <v>38</v>
      </c>
    </row>
    <row r="198" spans="1:66" ht="15">
      <c r="A198" s="65" t="s">
        <v>322</v>
      </c>
      <c r="B198" s="65" t="s">
        <v>332</v>
      </c>
      <c r="C198" s="66" t="s">
        <v>2698</v>
      </c>
      <c r="D198" s="67">
        <v>4</v>
      </c>
      <c r="E198" s="68" t="s">
        <v>132</v>
      </c>
      <c r="F198" s="69">
        <v>30</v>
      </c>
      <c r="G198" s="66"/>
      <c r="H198" s="70"/>
      <c r="I198" s="71"/>
      <c r="J198" s="71"/>
      <c r="K198" s="35" t="s">
        <v>65</v>
      </c>
      <c r="L198" s="78">
        <v>198</v>
      </c>
      <c r="M198" s="78"/>
      <c r="N198" s="73"/>
      <c r="O198" s="80" t="s">
        <v>383</v>
      </c>
      <c r="P198" s="82">
        <v>44461.25283564815</v>
      </c>
      <c r="Q198" s="80" t="s">
        <v>425</v>
      </c>
      <c r="R198" s="80"/>
      <c r="S198" s="80"/>
      <c r="T198" s="85" t="s">
        <v>498</v>
      </c>
      <c r="U198" s="83" t="str">
        <f>HYPERLINK("https://pbs.twimg.com/media/E_1U1pPVEAImP5O.jpg")</f>
        <v>https://pbs.twimg.com/media/E_1U1pPVEAImP5O.jpg</v>
      </c>
      <c r="V198" s="83" t="str">
        <f>HYPERLINK("https://pbs.twimg.com/media/E_1U1pPVEAImP5O.jpg")</f>
        <v>https://pbs.twimg.com/media/E_1U1pPVEAImP5O.jpg</v>
      </c>
      <c r="W198" s="82">
        <v>44461.25283564815</v>
      </c>
      <c r="X198" s="88">
        <v>44461</v>
      </c>
      <c r="Y198" s="85" t="s">
        <v>646</v>
      </c>
      <c r="Z198" s="83" t="str">
        <f>HYPERLINK("https://twitter.com/voyagercosmic85/status/1440557495370407941")</f>
        <v>https://twitter.com/voyagercosmic85/status/1440557495370407941</v>
      </c>
      <c r="AA198" s="80"/>
      <c r="AB198" s="80"/>
      <c r="AC198" s="85" t="s">
        <v>819</v>
      </c>
      <c r="AD198" s="80"/>
      <c r="AE198" s="80" t="b">
        <v>0</v>
      </c>
      <c r="AF198" s="80">
        <v>0</v>
      </c>
      <c r="AG198" s="85" t="s">
        <v>871</v>
      </c>
      <c r="AH198" s="80" t="b">
        <v>0</v>
      </c>
      <c r="AI198" s="80" t="s">
        <v>882</v>
      </c>
      <c r="AJ198" s="80"/>
      <c r="AK198" s="85" t="s">
        <v>871</v>
      </c>
      <c r="AL198" s="80" t="b">
        <v>0</v>
      </c>
      <c r="AM198" s="80">
        <v>36</v>
      </c>
      <c r="AN198" s="85" t="s">
        <v>830</v>
      </c>
      <c r="AO198" s="85" t="s">
        <v>889</v>
      </c>
      <c r="AP198" s="80" t="b">
        <v>0</v>
      </c>
      <c r="AQ198" s="85" t="s">
        <v>830</v>
      </c>
      <c r="AR198" s="80" t="s">
        <v>178</v>
      </c>
      <c r="AS198" s="80">
        <v>0</v>
      </c>
      <c r="AT198" s="80">
        <v>0</v>
      </c>
      <c r="AU198" s="80"/>
      <c r="AV198" s="80"/>
      <c r="AW198" s="80"/>
      <c r="AX198" s="80"/>
      <c r="AY198" s="80"/>
      <c r="AZ198" s="80"/>
      <c r="BA198" s="80"/>
      <c r="BB198" s="80"/>
      <c r="BC198">
        <v>1</v>
      </c>
      <c r="BD198" s="79" t="str">
        <f>REPLACE(INDEX(GroupVertices[Group],MATCH(Edges[[#This Row],[Vertex 1]],GroupVertices[Vertex],0)),1,1,"")</f>
        <v>1</v>
      </c>
      <c r="BE198" s="79" t="str">
        <f>REPLACE(INDEX(GroupVertices[Group],MATCH(Edges[[#This Row],[Vertex 2]],GroupVertices[Vertex],0)),1,1,"")</f>
        <v>1</v>
      </c>
      <c r="BF198" s="49">
        <v>0</v>
      </c>
      <c r="BG198" s="50">
        <v>0</v>
      </c>
      <c r="BH198" s="49">
        <v>0</v>
      </c>
      <c r="BI198" s="50">
        <v>0</v>
      </c>
      <c r="BJ198" s="49">
        <v>0</v>
      </c>
      <c r="BK198" s="50">
        <v>0</v>
      </c>
      <c r="BL198" s="49">
        <v>38</v>
      </c>
      <c r="BM198" s="50">
        <v>100</v>
      </c>
      <c r="BN198" s="49">
        <v>38</v>
      </c>
    </row>
    <row r="199" spans="1:66" ht="15">
      <c r="A199" s="65" t="s">
        <v>323</v>
      </c>
      <c r="B199" s="65" t="s">
        <v>332</v>
      </c>
      <c r="C199" s="66" t="s">
        <v>2698</v>
      </c>
      <c r="D199" s="67">
        <v>4</v>
      </c>
      <c r="E199" s="68" t="s">
        <v>132</v>
      </c>
      <c r="F199" s="69">
        <v>30</v>
      </c>
      <c r="G199" s="66"/>
      <c r="H199" s="70"/>
      <c r="I199" s="71"/>
      <c r="J199" s="71"/>
      <c r="K199" s="35" t="s">
        <v>65</v>
      </c>
      <c r="L199" s="78">
        <v>199</v>
      </c>
      <c r="M199" s="78"/>
      <c r="N199" s="73"/>
      <c r="O199" s="80" t="s">
        <v>383</v>
      </c>
      <c r="P199" s="82">
        <v>44461.26341435185</v>
      </c>
      <c r="Q199" s="80" t="s">
        <v>425</v>
      </c>
      <c r="R199" s="80"/>
      <c r="S199" s="80"/>
      <c r="T199" s="85" t="s">
        <v>498</v>
      </c>
      <c r="U199" s="83" t="str">
        <f>HYPERLINK("https://pbs.twimg.com/media/E_1U1pPVEAImP5O.jpg")</f>
        <v>https://pbs.twimg.com/media/E_1U1pPVEAImP5O.jpg</v>
      </c>
      <c r="V199" s="83" t="str">
        <f>HYPERLINK("https://pbs.twimg.com/media/E_1U1pPVEAImP5O.jpg")</f>
        <v>https://pbs.twimg.com/media/E_1U1pPVEAImP5O.jpg</v>
      </c>
      <c r="W199" s="82">
        <v>44461.26341435185</v>
      </c>
      <c r="X199" s="88">
        <v>44461</v>
      </c>
      <c r="Y199" s="85" t="s">
        <v>647</v>
      </c>
      <c r="Z199" s="83" t="str">
        <f>HYPERLINK("https://twitter.com/_riverasergio/status/1440561329320775682")</f>
        <v>https://twitter.com/_riverasergio/status/1440561329320775682</v>
      </c>
      <c r="AA199" s="80"/>
      <c r="AB199" s="80"/>
      <c r="AC199" s="85" t="s">
        <v>820</v>
      </c>
      <c r="AD199" s="80"/>
      <c r="AE199" s="80" t="b">
        <v>0</v>
      </c>
      <c r="AF199" s="80">
        <v>0</v>
      </c>
      <c r="AG199" s="85" t="s">
        <v>871</v>
      </c>
      <c r="AH199" s="80" t="b">
        <v>0</v>
      </c>
      <c r="AI199" s="80" t="s">
        <v>882</v>
      </c>
      <c r="AJ199" s="80"/>
      <c r="AK199" s="85" t="s">
        <v>871</v>
      </c>
      <c r="AL199" s="80" t="b">
        <v>0</v>
      </c>
      <c r="AM199" s="80">
        <v>36</v>
      </c>
      <c r="AN199" s="85" t="s">
        <v>830</v>
      </c>
      <c r="AO199" s="85" t="s">
        <v>889</v>
      </c>
      <c r="AP199" s="80" t="b">
        <v>0</v>
      </c>
      <c r="AQ199" s="85" t="s">
        <v>830</v>
      </c>
      <c r="AR199" s="80" t="s">
        <v>178</v>
      </c>
      <c r="AS199" s="80">
        <v>0</v>
      </c>
      <c r="AT199" s="80">
        <v>0</v>
      </c>
      <c r="AU199" s="80"/>
      <c r="AV199" s="80"/>
      <c r="AW199" s="80"/>
      <c r="AX199" s="80"/>
      <c r="AY199" s="80"/>
      <c r="AZ199" s="80"/>
      <c r="BA199" s="80"/>
      <c r="BB199" s="80"/>
      <c r="BC199">
        <v>1</v>
      </c>
      <c r="BD199" s="79" t="str">
        <f>REPLACE(INDEX(GroupVertices[Group],MATCH(Edges[[#This Row],[Vertex 1]],GroupVertices[Vertex],0)),1,1,"")</f>
        <v>1</v>
      </c>
      <c r="BE199" s="79" t="str">
        <f>REPLACE(INDEX(GroupVertices[Group],MATCH(Edges[[#This Row],[Vertex 2]],GroupVertices[Vertex],0)),1,1,"")</f>
        <v>1</v>
      </c>
      <c r="BF199" s="49">
        <v>0</v>
      </c>
      <c r="BG199" s="50">
        <v>0</v>
      </c>
      <c r="BH199" s="49">
        <v>0</v>
      </c>
      <c r="BI199" s="50">
        <v>0</v>
      </c>
      <c r="BJ199" s="49">
        <v>0</v>
      </c>
      <c r="BK199" s="50">
        <v>0</v>
      </c>
      <c r="BL199" s="49">
        <v>38</v>
      </c>
      <c r="BM199" s="50">
        <v>100</v>
      </c>
      <c r="BN199" s="49">
        <v>38</v>
      </c>
    </row>
    <row r="200" spans="1:66" ht="15">
      <c r="A200" s="65" t="s">
        <v>324</v>
      </c>
      <c r="B200" s="65" t="s">
        <v>332</v>
      </c>
      <c r="C200" s="66" t="s">
        <v>2698</v>
      </c>
      <c r="D200" s="67">
        <v>4</v>
      </c>
      <c r="E200" s="68" t="s">
        <v>132</v>
      </c>
      <c r="F200" s="69">
        <v>30</v>
      </c>
      <c r="G200" s="66"/>
      <c r="H200" s="70"/>
      <c r="I200" s="71"/>
      <c r="J200" s="71"/>
      <c r="K200" s="35" t="s">
        <v>65</v>
      </c>
      <c r="L200" s="78">
        <v>200</v>
      </c>
      <c r="M200" s="78"/>
      <c r="N200" s="73"/>
      <c r="O200" s="80" t="s">
        <v>383</v>
      </c>
      <c r="P200" s="82">
        <v>44461.26767361111</v>
      </c>
      <c r="Q200" s="80" t="s">
        <v>425</v>
      </c>
      <c r="R200" s="80"/>
      <c r="S200" s="80"/>
      <c r="T200" s="85" t="s">
        <v>498</v>
      </c>
      <c r="U200" s="83" t="str">
        <f>HYPERLINK("https://pbs.twimg.com/media/E_1U1pPVEAImP5O.jpg")</f>
        <v>https://pbs.twimg.com/media/E_1U1pPVEAImP5O.jpg</v>
      </c>
      <c r="V200" s="83" t="str">
        <f>HYPERLINK("https://pbs.twimg.com/media/E_1U1pPVEAImP5O.jpg")</f>
        <v>https://pbs.twimg.com/media/E_1U1pPVEAImP5O.jpg</v>
      </c>
      <c r="W200" s="82">
        <v>44461.26767361111</v>
      </c>
      <c r="X200" s="88">
        <v>44461</v>
      </c>
      <c r="Y200" s="85" t="s">
        <v>648</v>
      </c>
      <c r="Z200" s="83" t="str">
        <f>HYPERLINK("https://twitter.com/juanocanasr/status/1440562871897755648")</f>
        <v>https://twitter.com/juanocanasr/status/1440562871897755648</v>
      </c>
      <c r="AA200" s="80"/>
      <c r="AB200" s="80"/>
      <c r="AC200" s="85" t="s">
        <v>821</v>
      </c>
      <c r="AD200" s="80"/>
      <c r="AE200" s="80" t="b">
        <v>0</v>
      </c>
      <c r="AF200" s="80">
        <v>0</v>
      </c>
      <c r="AG200" s="85" t="s">
        <v>871</v>
      </c>
      <c r="AH200" s="80" t="b">
        <v>0</v>
      </c>
      <c r="AI200" s="80" t="s">
        <v>882</v>
      </c>
      <c r="AJ200" s="80"/>
      <c r="AK200" s="85" t="s">
        <v>871</v>
      </c>
      <c r="AL200" s="80" t="b">
        <v>0</v>
      </c>
      <c r="AM200" s="80">
        <v>36</v>
      </c>
      <c r="AN200" s="85" t="s">
        <v>830</v>
      </c>
      <c r="AO200" s="85" t="s">
        <v>890</v>
      </c>
      <c r="AP200" s="80" t="b">
        <v>0</v>
      </c>
      <c r="AQ200" s="85" t="s">
        <v>830</v>
      </c>
      <c r="AR200" s="80" t="s">
        <v>178</v>
      </c>
      <c r="AS200" s="80">
        <v>0</v>
      </c>
      <c r="AT200" s="80">
        <v>0</v>
      </c>
      <c r="AU200" s="80"/>
      <c r="AV200" s="80"/>
      <c r="AW200" s="80"/>
      <c r="AX200" s="80"/>
      <c r="AY200" s="80"/>
      <c r="AZ200" s="80"/>
      <c r="BA200" s="80"/>
      <c r="BB200" s="80"/>
      <c r="BC200">
        <v>1</v>
      </c>
      <c r="BD200" s="79" t="str">
        <f>REPLACE(INDEX(GroupVertices[Group],MATCH(Edges[[#This Row],[Vertex 1]],GroupVertices[Vertex],0)),1,1,"")</f>
        <v>1</v>
      </c>
      <c r="BE200" s="79" t="str">
        <f>REPLACE(INDEX(GroupVertices[Group],MATCH(Edges[[#This Row],[Vertex 2]],GroupVertices[Vertex],0)),1,1,"")</f>
        <v>1</v>
      </c>
      <c r="BF200" s="49">
        <v>0</v>
      </c>
      <c r="BG200" s="50">
        <v>0</v>
      </c>
      <c r="BH200" s="49">
        <v>0</v>
      </c>
      <c r="BI200" s="50">
        <v>0</v>
      </c>
      <c r="BJ200" s="49">
        <v>0</v>
      </c>
      <c r="BK200" s="50">
        <v>0</v>
      </c>
      <c r="BL200" s="49">
        <v>38</v>
      </c>
      <c r="BM200" s="50">
        <v>100</v>
      </c>
      <c r="BN200" s="49">
        <v>38</v>
      </c>
    </row>
    <row r="201" spans="1:66" ht="15">
      <c r="A201" s="65" t="s">
        <v>325</v>
      </c>
      <c r="B201" s="65" t="s">
        <v>368</v>
      </c>
      <c r="C201" s="66" t="s">
        <v>2699</v>
      </c>
      <c r="D201" s="67">
        <v>10</v>
      </c>
      <c r="E201" s="68" t="s">
        <v>132</v>
      </c>
      <c r="F201" s="69">
        <v>10</v>
      </c>
      <c r="G201" s="66"/>
      <c r="H201" s="70"/>
      <c r="I201" s="71"/>
      <c r="J201" s="71"/>
      <c r="K201" s="35" t="s">
        <v>65</v>
      </c>
      <c r="L201" s="78">
        <v>201</v>
      </c>
      <c r="M201" s="78"/>
      <c r="N201" s="73"/>
      <c r="O201" s="80" t="s">
        <v>384</v>
      </c>
      <c r="P201" s="82">
        <v>44460.924305555556</v>
      </c>
      <c r="Q201" s="80" t="s">
        <v>428</v>
      </c>
      <c r="R201" s="83" t="str">
        <f>HYPERLINK("https://www.ejecentral.com.mx/inm-lleva-a-120-migrantes-a-chiapas-haitianos-siguen-llegando-al-norte/")</f>
        <v>https://www.ejecentral.com.mx/inm-lleva-a-120-migrantes-a-chiapas-haitianos-siguen-llegando-al-norte/</v>
      </c>
      <c r="S201" s="80" t="s">
        <v>451</v>
      </c>
      <c r="T201" s="85" t="s">
        <v>501</v>
      </c>
      <c r="U201" s="80"/>
      <c r="V201" s="83" t="str">
        <f>HYPERLINK("https://pbs.twimg.com/profile_images/1440508109965783041/weHvwUbF_normal.jpg")</f>
        <v>https://pbs.twimg.com/profile_images/1440508109965783041/weHvwUbF_normal.jpg</v>
      </c>
      <c r="W201" s="82">
        <v>44460.924305555556</v>
      </c>
      <c r="X201" s="88">
        <v>44460</v>
      </c>
      <c r="Y201" s="85" t="s">
        <v>649</v>
      </c>
      <c r="Z201" s="83" t="str">
        <f>HYPERLINK("https://twitter.com/ejecentral/status/1440438437618716677")</f>
        <v>https://twitter.com/ejecentral/status/1440438437618716677</v>
      </c>
      <c r="AA201" s="80"/>
      <c r="AB201" s="80"/>
      <c r="AC201" s="85" t="s">
        <v>822</v>
      </c>
      <c r="AD201" s="80"/>
      <c r="AE201" s="80" t="b">
        <v>0</v>
      </c>
      <c r="AF201" s="80">
        <v>3</v>
      </c>
      <c r="AG201" s="85" t="s">
        <v>871</v>
      </c>
      <c r="AH201" s="80" t="b">
        <v>0</v>
      </c>
      <c r="AI201" s="80" t="s">
        <v>882</v>
      </c>
      <c r="AJ201" s="80"/>
      <c r="AK201" s="85" t="s">
        <v>871</v>
      </c>
      <c r="AL201" s="80" t="b">
        <v>0</v>
      </c>
      <c r="AM201" s="80">
        <v>1</v>
      </c>
      <c r="AN201" s="85" t="s">
        <v>871</v>
      </c>
      <c r="AO201" s="85" t="s">
        <v>893</v>
      </c>
      <c r="AP201" s="80" t="b">
        <v>0</v>
      </c>
      <c r="AQ201" s="85" t="s">
        <v>822</v>
      </c>
      <c r="AR201" s="80" t="s">
        <v>178</v>
      </c>
      <c r="AS201" s="80">
        <v>0</v>
      </c>
      <c r="AT201" s="80">
        <v>0</v>
      </c>
      <c r="AU201" s="80"/>
      <c r="AV201" s="80"/>
      <c r="AW201" s="80"/>
      <c r="AX201" s="80"/>
      <c r="AY201" s="80"/>
      <c r="AZ201" s="80"/>
      <c r="BA201" s="80"/>
      <c r="BB201" s="80"/>
      <c r="BC201">
        <v>4</v>
      </c>
      <c r="BD201" s="79" t="str">
        <f>REPLACE(INDEX(GroupVertices[Group],MATCH(Edges[[#This Row],[Vertex 1]],GroupVertices[Vertex],0)),1,1,"")</f>
        <v>2</v>
      </c>
      <c r="BE201" s="79" t="str">
        <f>REPLACE(INDEX(GroupVertices[Group],MATCH(Edges[[#This Row],[Vertex 2]],GroupVertices[Vertex],0)),1,1,"")</f>
        <v>2</v>
      </c>
      <c r="BF201" s="49">
        <v>0</v>
      </c>
      <c r="BG201" s="50">
        <v>0</v>
      </c>
      <c r="BH201" s="49">
        <v>0</v>
      </c>
      <c r="BI201" s="50">
        <v>0</v>
      </c>
      <c r="BJ201" s="49">
        <v>0</v>
      </c>
      <c r="BK201" s="50">
        <v>0</v>
      </c>
      <c r="BL201" s="49">
        <v>22</v>
      </c>
      <c r="BM201" s="50">
        <v>100</v>
      </c>
      <c r="BN201" s="49">
        <v>22</v>
      </c>
    </row>
    <row r="202" spans="1:66" ht="15">
      <c r="A202" s="65" t="s">
        <v>325</v>
      </c>
      <c r="B202" s="65" t="s">
        <v>368</v>
      </c>
      <c r="C202" s="66" t="s">
        <v>2699</v>
      </c>
      <c r="D202" s="67">
        <v>10</v>
      </c>
      <c r="E202" s="68" t="s">
        <v>132</v>
      </c>
      <c r="F202" s="69">
        <v>10</v>
      </c>
      <c r="G202" s="66"/>
      <c r="H202" s="70"/>
      <c r="I202" s="71"/>
      <c r="J202" s="71"/>
      <c r="K202" s="35" t="s">
        <v>65</v>
      </c>
      <c r="L202" s="78">
        <v>202</v>
      </c>
      <c r="M202" s="78"/>
      <c r="N202" s="73"/>
      <c r="O202" s="80" t="s">
        <v>384</v>
      </c>
      <c r="P202" s="82">
        <v>44461.486805555556</v>
      </c>
      <c r="Q202" s="80" t="s">
        <v>429</v>
      </c>
      <c r="R202" s="83" t="str">
        <f>HYPERLINK("https://cutt.ly/IEhgLyr")</f>
        <v>https://cutt.ly/IEhgLyr</v>
      </c>
      <c r="S202" s="80" t="s">
        <v>462</v>
      </c>
      <c r="T202" s="85" t="s">
        <v>501</v>
      </c>
      <c r="U202" s="80"/>
      <c r="V202" s="83" t="str">
        <f>HYPERLINK("https://pbs.twimg.com/profile_images/1440508109965783041/weHvwUbF_normal.jpg")</f>
        <v>https://pbs.twimg.com/profile_images/1440508109965783041/weHvwUbF_normal.jpg</v>
      </c>
      <c r="W202" s="82">
        <v>44461.486805555556</v>
      </c>
      <c r="X202" s="88">
        <v>44461</v>
      </c>
      <c r="Y202" s="85" t="s">
        <v>650</v>
      </c>
      <c r="Z202" s="83" t="str">
        <f>HYPERLINK("https://twitter.com/ejecentral/status/1440642280998666251")</f>
        <v>https://twitter.com/ejecentral/status/1440642280998666251</v>
      </c>
      <c r="AA202" s="80"/>
      <c r="AB202" s="80"/>
      <c r="AC202" s="85" t="s">
        <v>823</v>
      </c>
      <c r="AD202" s="80"/>
      <c r="AE202" s="80" t="b">
        <v>0</v>
      </c>
      <c r="AF202" s="80">
        <v>2</v>
      </c>
      <c r="AG202" s="85" t="s">
        <v>871</v>
      </c>
      <c r="AH202" s="80" t="b">
        <v>0</v>
      </c>
      <c r="AI202" s="80" t="s">
        <v>882</v>
      </c>
      <c r="AJ202" s="80"/>
      <c r="AK202" s="85" t="s">
        <v>871</v>
      </c>
      <c r="AL202" s="80" t="b">
        <v>0</v>
      </c>
      <c r="AM202" s="80">
        <v>0</v>
      </c>
      <c r="AN202" s="85" t="s">
        <v>871</v>
      </c>
      <c r="AO202" s="85" t="s">
        <v>893</v>
      </c>
      <c r="AP202" s="80" t="b">
        <v>0</v>
      </c>
      <c r="AQ202" s="85" t="s">
        <v>823</v>
      </c>
      <c r="AR202" s="80" t="s">
        <v>178</v>
      </c>
      <c r="AS202" s="80">
        <v>0</v>
      </c>
      <c r="AT202" s="80">
        <v>0</v>
      </c>
      <c r="AU202" s="80"/>
      <c r="AV202" s="80"/>
      <c r="AW202" s="80"/>
      <c r="AX202" s="80"/>
      <c r="AY202" s="80"/>
      <c r="AZ202" s="80"/>
      <c r="BA202" s="80"/>
      <c r="BB202" s="80"/>
      <c r="BC202">
        <v>4</v>
      </c>
      <c r="BD202" s="79" t="str">
        <f>REPLACE(INDEX(GroupVertices[Group],MATCH(Edges[[#This Row],[Vertex 1]],GroupVertices[Vertex],0)),1,1,"")</f>
        <v>2</v>
      </c>
      <c r="BE202" s="79" t="str">
        <f>REPLACE(INDEX(GroupVertices[Group],MATCH(Edges[[#This Row],[Vertex 2]],GroupVertices[Vertex],0)),1,1,"")</f>
        <v>2</v>
      </c>
      <c r="BF202" s="49">
        <v>0</v>
      </c>
      <c r="BG202" s="50">
        <v>0</v>
      </c>
      <c r="BH202" s="49">
        <v>0</v>
      </c>
      <c r="BI202" s="50">
        <v>0</v>
      </c>
      <c r="BJ202" s="49">
        <v>0</v>
      </c>
      <c r="BK202" s="50">
        <v>0</v>
      </c>
      <c r="BL202" s="49">
        <v>22</v>
      </c>
      <c r="BM202" s="50">
        <v>100</v>
      </c>
      <c r="BN202" s="49">
        <v>22</v>
      </c>
    </row>
    <row r="203" spans="1:66" ht="15">
      <c r="A203" s="65" t="s">
        <v>326</v>
      </c>
      <c r="B203" s="65" t="s">
        <v>368</v>
      </c>
      <c r="C203" s="66" t="s">
        <v>2698</v>
      </c>
      <c r="D203" s="67">
        <v>4</v>
      </c>
      <c r="E203" s="68" t="s">
        <v>132</v>
      </c>
      <c r="F203" s="69">
        <v>30</v>
      </c>
      <c r="G203" s="66"/>
      <c r="H203" s="70"/>
      <c r="I203" s="71"/>
      <c r="J203" s="71"/>
      <c r="K203" s="35" t="s">
        <v>65</v>
      </c>
      <c r="L203" s="78">
        <v>203</v>
      </c>
      <c r="M203" s="78"/>
      <c r="N203" s="73"/>
      <c r="O203" s="80" t="s">
        <v>382</v>
      </c>
      <c r="P203" s="82">
        <v>44461.596967592595</v>
      </c>
      <c r="Q203" s="80" t="s">
        <v>418</v>
      </c>
      <c r="R203" s="80"/>
      <c r="S203" s="80"/>
      <c r="T203" s="85" t="s">
        <v>491</v>
      </c>
      <c r="U203" s="83" t="str">
        <f>HYPERLINK("https://pbs.twimg.com/ext_tw_video_thumb/1440152056862441476/pu/img/RypVaHbX_jWL8ylr.jpg")</f>
        <v>https://pbs.twimg.com/ext_tw_video_thumb/1440152056862441476/pu/img/RypVaHbX_jWL8ylr.jpg</v>
      </c>
      <c r="V203" s="83" t="str">
        <f>HYPERLINK("https://pbs.twimg.com/ext_tw_video_thumb/1440152056862441476/pu/img/RypVaHbX_jWL8ylr.jpg")</f>
        <v>https://pbs.twimg.com/ext_tw_video_thumb/1440152056862441476/pu/img/RypVaHbX_jWL8ylr.jpg</v>
      </c>
      <c r="W203" s="82">
        <v>44461.596967592595</v>
      </c>
      <c r="X203" s="88">
        <v>44461</v>
      </c>
      <c r="Y203" s="85" t="s">
        <v>651</v>
      </c>
      <c r="Z203" s="83" t="str">
        <f>HYPERLINK("https://twitter.com/ferdapartida/status/1440682205047504913")</f>
        <v>https://twitter.com/ferdapartida/status/1440682205047504913</v>
      </c>
      <c r="AA203" s="80"/>
      <c r="AB203" s="80"/>
      <c r="AC203" s="85" t="s">
        <v>824</v>
      </c>
      <c r="AD203" s="80"/>
      <c r="AE203" s="80" t="b">
        <v>0</v>
      </c>
      <c r="AF203" s="80">
        <v>0</v>
      </c>
      <c r="AG203" s="85" t="s">
        <v>871</v>
      </c>
      <c r="AH203" s="80" t="b">
        <v>0</v>
      </c>
      <c r="AI203" s="80" t="s">
        <v>882</v>
      </c>
      <c r="AJ203" s="80"/>
      <c r="AK203" s="85" t="s">
        <v>871</v>
      </c>
      <c r="AL203" s="80" t="b">
        <v>0</v>
      </c>
      <c r="AM203" s="80">
        <v>13</v>
      </c>
      <c r="AN203" s="85" t="s">
        <v>835</v>
      </c>
      <c r="AO203" s="85" t="s">
        <v>891</v>
      </c>
      <c r="AP203" s="80" t="b">
        <v>0</v>
      </c>
      <c r="AQ203" s="85" t="s">
        <v>835</v>
      </c>
      <c r="AR203" s="80" t="s">
        <v>178</v>
      </c>
      <c r="AS203" s="80">
        <v>0</v>
      </c>
      <c r="AT203" s="80">
        <v>0</v>
      </c>
      <c r="AU203" s="80"/>
      <c r="AV203" s="80"/>
      <c r="AW203" s="80"/>
      <c r="AX203" s="80"/>
      <c r="AY203" s="80"/>
      <c r="AZ203" s="80"/>
      <c r="BA203" s="80"/>
      <c r="BB203" s="80"/>
      <c r="BC203">
        <v>1</v>
      </c>
      <c r="BD203" s="79" t="str">
        <f>REPLACE(INDEX(GroupVertices[Group],MATCH(Edges[[#This Row],[Vertex 1]],GroupVertices[Vertex],0)),1,1,"")</f>
        <v>2</v>
      </c>
      <c r="BE203" s="79" t="str">
        <f>REPLACE(INDEX(GroupVertices[Group],MATCH(Edges[[#This Row],[Vertex 2]],GroupVertices[Vertex],0)),1,1,"")</f>
        <v>2</v>
      </c>
      <c r="BF203" s="49"/>
      <c r="BG203" s="50"/>
      <c r="BH203" s="49"/>
      <c r="BI203" s="50"/>
      <c r="BJ203" s="49"/>
      <c r="BK203" s="50"/>
      <c r="BL203" s="49"/>
      <c r="BM203" s="50"/>
      <c r="BN203" s="49"/>
    </row>
    <row r="204" spans="1:66" ht="15">
      <c r="A204" s="65" t="s">
        <v>326</v>
      </c>
      <c r="B204" s="65" t="s">
        <v>370</v>
      </c>
      <c r="C204" s="66" t="s">
        <v>2698</v>
      </c>
      <c r="D204" s="67">
        <v>4</v>
      </c>
      <c r="E204" s="68" t="s">
        <v>132</v>
      </c>
      <c r="F204" s="69">
        <v>30</v>
      </c>
      <c r="G204" s="66"/>
      <c r="H204" s="70"/>
      <c r="I204" s="71"/>
      <c r="J204" s="71"/>
      <c r="K204" s="35" t="s">
        <v>65</v>
      </c>
      <c r="L204" s="78">
        <v>204</v>
      </c>
      <c r="M204" s="78"/>
      <c r="N204" s="73"/>
      <c r="O204" s="80" t="s">
        <v>382</v>
      </c>
      <c r="P204" s="82">
        <v>44461.596967592595</v>
      </c>
      <c r="Q204" s="80" t="s">
        <v>418</v>
      </c>
      <c r="R204" s="80"/>
      <c r="S204" s="80"/>
      <c r="T204" s="85" t="s">
        <v>491</v>
      </c>
      <c r="U204" s="83" t="str">
        <f>HYPERLINK("https://pbs.twimg.com/ext_tw_video_thumb/1440152056862441476/pu/img/RypVaHbX_jWL8ylr.jpg")</f>
        <v>https://pbs.twimg.com/ext_tw_video_thumb/1440152056862441476/pu/img/RypVaHbX_jWL8ylr.jpg</v>
      </c>
      <c r="V204" s="83" t="str">
        <f>HYPERLINK("https://pbs.twimg.com/ext_tw_video_thumb/1440152056862441476/pu/img/RypVaHbX_jWL8ylr.jpg")</f>
        <v>https://pbs.twimg.com/ext_tw_video_thumb/1440152056862441476/pu/img/RypVaHbX_jWL8ylr.jpg</v>
      </c>
      <c r="W204" s="82">
        <v>44461.596967592595</v>
      </c>
      <c r="X204" s="88">
        <v>44461</v>
      </c>
      <c r="Y204" s="85" t="s">
        <v>651</v>
      </c>
      <c r="Z204" s="83" t="str">
        <f>HYPERLINK("https://twitter.com/ferdapartida/status/1440682205047504913")</f>
        <v>https://twitter.com/ferdapartida/status/1440682205047504913</v>
      </c>
      <c r="AA204" s="80"/>
      <c r="AB204" s="80"/>
      <c r="AC204" s="85" t="s">
        <v>824</v>
      </c>
      <c r="AD204" s="80"/>
      <c r="AE204" s="80" t="b">
        <v>0</v>
      </c>
      <c r="AF204" s="80">
        <v>0</v>
      </c>
      <c r="AG204" s="85" t="s">
        <v>871</v>
      </c>
      <c r="AH204" s="80" t="b">
        <v>0</v>
      </c>
      <c r="AI204" s="80" t="s">
        <v>882</v>
      </c>
      <c r="AJ204" s="80"/>
      <c r="AK204" s="85" t="s">
        <v>871</v>
      </c>
      <c r="AL204" s="80" t="b">
        <v>0</v>
      </c>
      <c r="AM204" s="80">
        <v>13</v>
      </c>
      <c r="AN204" s="85" t="s">
        <v>835</v>
      </c>
      <c r="AO204" s="85" t="s">
        <v>891</v>
      </c>
      <c r="AP204" s="80" t="b">
        <v>0</v>
      </c>
      <c r="AQ204" s="85" t="s">
        <v>835</v>
      </c>
      <c r="AR204" s="80" t="s">
        <v>178</v>
      </c>
      <c r="AS204" s="80">
        <v>0</v>
      </c>
      <c r="AT204" s="80">
        <v>0</v>
      </c>
      <c r="AU204" s="80"/>
      <c r="AV204" s="80"/>
      <c r="AW204" s="80"/>
      <c r="AX204" s="80"/>
      <c r="AY204" s="80"/>
      <c r="AZ204" s="80"/>
      <c r="BA204" s="80"/>
      <c r="BB204" s="80"/>
      <c r="BC204">
        <v>1</v>
      </c>
      <c r="BD204" s="79" t="str">
        <f>REPLACE(INDEX(GroupVertices[Group],MATCH(Edges[[#This Row],[Vertex 1]],GroupVertices[Vertex],0)),1,1,"")</f>
        <v>2</v>
      </c>
      <c r="BE204" s="79" t="str">
        <f>REPLACE(INDEX(GroupVertices[Group],MATCH(Edges[[#This Row],[Vertex 2]],GroupVertices[Vertex],0)),1,1,"")</f>
        <v>2</v>
      </c>
      <c r="BF204" s="49"/>
      <c r="BG204" s="50"/>
      <c r="BH204" s="49"/>
      <c r="BI204" s="50"/>
      <c r="BJ204" s="49"/>
      <c r="BK204" s="50"/>
      <c r="BL204" s="49"/>
      <c r="BM204" s="50"/>
      <c r="BN204" s="49"/>
    </row>
    <row r="205" spans="1:66" ht="15">
      <c r="A205" s="65" t="s">
        <v>326</v>
      </c>
      <c r="B205" s="65" t="s">
        <v>337</v>
      </c>
      <c r="C205" s="66" t="s">
        <v>2698</v>
      </c>
      <c r="D205" s="67">
        <v>4</v>
      </c>
      <c r="E205" s="68" t="s">
        <v>132</v>
      </c>
      <c r="F205" s="69">
        <v>30</v>
      </c>
      <c r="G205" s="66"/>
      <c r="H205" s="70"/>
      <c r="I205" s="71"/>
      <c r="J205" s="71"/>
      <c r="K205" s="35" t="s">
        <v>65</v>
      </c>
      <c r="L205" s="78">
        <v>205</v>
      </c>
      <c r="M205" s="78"/>
      <c r="N205" s="73"/>
      <c r="O205" s="80" t="s">
        <v>383</v>
      </c>
      <c r="P205" s="82">
        <v>44461.596967592595</v>
      </c>
      <c r="Q205" s="80" t="s">
        <v>418</v>
      </c>
      <c r="R205" s="80"/>
      <c r="S205" s="80"/>
      <c r="T205" s="85" t="s">
        <v>491</v>
      </c>
      <c r="U205" s="83" t="str">
        <f>HYPERLINK("https://pbs.twimg.com/ext_tw_video_thumb/1440152056862441476/pu/img/RypVaHbX_jWL8ylr.jpg")</f>
        <v>https://pbs.twimg.com/ext_tw_video_thumb/1440152056862441476/pu/img/RypVaHbX_jWL8ylr.jpg</v>
      </c>
      <c r="V205" s="83" t="str">
        <f>HYPERLINK("https://pbs.twimg.com/ext_tw_video_thumb/1440152056862441476/pu/img/RypVaHbX_jWL8ylr.jpg")</f>
        <v>https://pbs.twimg.com/ext_tw_video_thumb/1440152056862441476/pu/img/RypVaHbX_jWL8ylr.jpg</v>
      </c>
      <c r="W205" s="82">
        <v>44461.596967592595</v>
      </c>
      <c r="X205" s="88">
        <v>44461</v>
      </c>
      <c r="Y205" s="85" t="s">
        <v>651</v>
      </c>
      <c r="Z205" s="83" t="str">
        <f>HYPERLINK("https://twitter.com/ferdapartida/status/1440682205047504913")</f>
        <v>https://twitter.com/ferdapartida/status/1440682205047504913</v>
      </c>
      <c r="AA205" s="80"/>
      <c r="AB205" s="80"/>
      <c r="AC205" s="85" t="s">
        <v>824</v>
      </c>
      <c r="AD205" s="80"/>
      <c r="AE205" s="80" t="b">
        <v>0</v>
      </c>
      <c r="AF205" s="80">
        <v>0</v>
      </c>
      <c r="AG205" s="85" t="s">
        <v>871</v>
      </c>
      <c r="AH205" s="80" t="b">
        <v>0</v>
      </c>
      <c r="AI205" s="80" t="s">
        <v>882</v>
      </c>
      <c r="AJ205" s="80"/>
      <c r="AK205" s="85" t="s">
        <v>871</v>
      </c>
      <c r="AL205" s="80" t="b">
        <v>0</v>
      </c>
      <c r="AM205" s="80">
        <v>13</v>
      </c>
      <c r="AN205" s="85" t="s">
        <v>835</v>
      </c>
      <c r="AO205" s="85" t="s">
        <v>891</v>
      </c>
      <c r="AP205" s="80" t="b">
        <v>0</v>
      </c>
      <c r="AQ205" s="85" t="s">
        <v>835</v>
      </c>
      <c r="AR205" s="80" t="s">
        <v>178</v>
      </c>
      <c r="AS205" s="80">
        <v>0</v>
      </c>
      <c r="AT205" s="80">
        <v>0</v>
      </c>
      <c r="AU205" s="80"/>
      <c r="AV205" s="80"/>
      <c r="AW205" s="80"/>
      <c r="AX205" s="80"/>
      <c r="AY205" s="80"/>
      <c r="AZ205" s="80"/>
      <c r="BA205" s="80"/>
      <c r="BB205" s="80"/>
      <c r="BC205">
        <v>1</v>
      </c>
      <c r="BD205" s="79" t="str">
        <f>REPLACE(INDEX(GroupVertices[Group],MATCH(Edges[[#This Row],[Vertex 1]],GroupVertices[Vertex],0)),1,1,"")</f>
        <v>2</v>
      </c>
      <c r="BE205" s="79" t="str">
        <f>REPLACE(INDEX(GroupVertices[Group],MATCH(Edges[[#This Row],[Vertex 2]],GroupVertices[Vertex],0)),1,1,"")</f>
        <v>2</v>
      </c>
      <c r="BF205" s="49">
        <v>0</v>
      </c>
      <c r="BG205" s="50">
        <v>0</v>
      </c>
      <c r="BH205" s="49">
        <v>0</v>
      </c>
      <c r="BI205" s="50">
        <v>0</v>
      </c>
      <c r="BJ205" s="49">
        <v>0</v>
      </c>
      <c r="BK205" s="50">
        <v>0</v>
      </c>
      <c r="BL205" s="49">
        <v>25</v>
      </c>
      <c r="BM205" s="50">
        <v>100</v>
      </c>
      <c r="BN205" s="49">
        <v>25</v>
      </c>
    </row>
    <row r="206" spans="1:66" ht="15">
      <c r="A206" s="65" t="s">
        <v>327</v>
      </c>
      <c r="B206" s="65" t="s">
        <v>368</v>
      </c>
      <c r="C206" s="66" t="s">
        <v>2698</v>
      </c>
      <c r="D206" s="67">
        <v>4</v>
      </c>
      <c r="E206" s="68" t="s">
        <v>132</v>
      </c>
      <c r="F206" s="69">
        <v>30</v>
      </c>
      <c r="G206" s="66"/>
      <c r="H206" s="70"/>
      <c r="I206" s="71"/>
      <c r="J206" s="71"/>
      <c r="K206" s="35" t="s">
        <v>65</v>
      </c>
      <c r="L206" s="78">
        <v>206</v>
      </c>
      <c r="M206" s="78"/>
      <c r="N206" s="73"/>
      <c r="O206" s="80" t="s">
        <v>382</v>
      </c>
      <c r="P206" s="82">
        <v>44461.59773148148</v>
      </c>
      <c r="Q206" s="80" t="s">
        <v>418</v>
      </c>
      <c r="R206" s="80"/>
      <c r="S206" s="80"/>
      <c r="T206" s="85" t="s">
        <v>491</v>
      </c>
      <c r="U206" s="83" t="str">
        <f>HYPERLINK("https://pbs.twimg.com/ext_tw_video_thumb/1440152056862441476/pu/img/RypVaHbX_jWL8ylr.jpg")</f>
        <v>https://pbs.twimg.com/ext_tw_video_thumb/1440152056862441476/pu/img/RypVaHbX_jWL8ylr.jpg</v>
      </c>
      <c r="V206" s="83" t="str">
        <f>HYPERLINK("https://pbs.twimg.com/ext_tw_video_thumb/1440152056862441476/pu/img/RypVaHbX_jWL8ylr.jpg")</f>
        <v>https://pbs.twimg.com/ext_tw_video_thumb/1440152056862441476/pu/img/RypVaHbX_jWL8ylr.jpg</v>
      </c>
      <c r="W206" s="82">
        <v>44461.59773148148</v>
      </c>
      <c r="X206" s="88">
        <v>44461</v>
      </c>
      <c r="Y206" s="85" t="s">
        <v>652</v>
      </c>
      <c r="Z206" s="83" t="str">
        <f>HYPERLINK("https://twitter.com/cusaru68/status/1440682478008627202")</f>
        <v>https://twitter.com/cusaru68/status/1440682478008627202</v>
      </c>
      <c r="AA206" s="80"/>
      <c r="AB206" s="80"/>
      <c r="AC206" s="85" t="s">
        <v>825</v>
      </c>
      <c r="AD206" s="80"/>
      <c r="AE206" s="80" t="b">
        <v>0</v>
      </c>
      <c r="AF206" s="80">
        <v>0</v>
      </c>
      <c r="AG206" s="85" t="s">
        <v>871</v>
      </c>
      <c r="AH206" s="80" t="b">
        <v>0</v>
      </c>
      <c r="AI206" s="80" t="s">
        <v>882</v>
      </c>
      <c r="AJ206" s="80"/>
      <c r="AK206" s="85" t="s">
        <v>871</v>
      </c>
      <c r="AL206" s="80" t="b">
        <v>0</v>
      </c>
      <c r="AM206" s="80">
        <v>13</v>
      </c>
      <c r="AN206" s="85" t="s">
        <v>835</v>
      </c>
      <c r="AO206" s="85" t="s">
        <v>890</v>
      </c>
      <c r="AP206" s="80" t="b">
        <v>0</v>
      </c>
      <c r="AQ206" s="85" t="s">
        <v>835</v>
      </c>
      <c r="AR206" s="80" t="s">
        <v>178</v>
      </c>
      <c r="AS206" s="80">
        <v>0</v>
      </c>
      <c r="AT206" s="80">
        <v>0</v>
      </c>
      <c r="AU206" s="80"/>
      <c r="AV206" s="80"/>
      <c r="AW206" s="80"/>
      <c r="AX206" s="80"/>
      <c r="AY206" s="80"/>
      <c r="AZ206" s="80"/>
      <c r="BA206" s="80"/>
      <c r="BB206" s="80"/>
      <c r="BC206">
        <v>1</v>
      </c>
      <c r="BD206" s="79" t="str">
        <f>REPLACE(INDEX(GroupVertices[Group],MATCH(Edges[[#This Row],[Vertex 1]],GroupVertices[Vertex],0)),1,1,"")</f>
        <v>2</v>
      </c>
      <c r="BE206" s="79" t="str">
        <f>REPLACE(INDEX(GroupVertices[Group],MATCH(Edges[[#This Row],[Vertex 2]],GroupVertices[Vertex],0)),1,1,"")</f>
        <v>2</v>
      </c>
      <c r="BF206" s="49"/>
      <c r="BG206" s="50"/>
      <c r="BH206" s="49"/>
      <c r="BI206" s="50"/>
      <c r="BJ206" s="49"/>
      <c r="BK206" s="50"/>
      <c r="BL206" s="49"/>
      <c r="BM206" s="50"/>
      <c r="BN206" s="49"/>
    </row>
    <row r="207" spans="1:66" ht="15">
      <c r="A207" s="65" t="s">
        <v>327</v>
      </c>
      <c r="B207" s="65" t="s">
        <v>370</v>
      </c>
      <c r="C207" s="66" t="s">
        <v>2698</v>
      </c>
      <c r="D207" s="67">
        <v>4</v>
      </c>
      <c r="E207" s="68" t="s">
        <v>132</v>
      </c>
      <c r="F207" s="69">
        <v>30</v>
      </c>
      <c r="G207" s="66"/>
      <c r="H207" s="70"/>
      <c r="I207" s="71"/>
      <c r="J207" s="71"/>
      <c r="K207" s="35" t="s">
        <v>65</v>
      </c>
      <c r="L207" s="78">
        <v>207</v>
      </c>
      <c r="M207" s="78"/>
      <c r="N207" s="73"/>
      <c r="O207" s="80" t="s">
        <v>382</v>
      </c>
      <c r="P207" s="82">
        <v>44461.59773148148</v>
      </c>
      <c r="Q207" s="80" t="s">
        <v>418</v>
      </c>
      <c r="R207" s="80"/>
      <c r="S207" s="80"/>
      <c r="T207" s="85" t="s">
        <v>491</v>
      </c>
      <c r="U207" s="83" t="str">
        <f>HYPERLINK("https://pbs.twimg.com/ext_tw_video_thumb/1440152056862441476/pu/img/RypVaHbX_jWL8ylr.jpg")</f>
        <v>https://pbs.twimg.com/ext_tw_video_thumb/1440152056862441476/pu/img/RypVaHbX_jWL8ylr.jpg</v>
      </c>
      <c r="V207" s="83" t="str">
        <f>HYPERLINK("https://pbs.twimg.com/ext_tw_video_thumb/1440152056862441476/pu/img/RypVaHbX_jWL8ylr.jpg")</f>
        <v>https://pbs.twimg.com/ext_tw_video_thumb/1440152056862441476/pu/img/RypVaHbX_jWL8ylr.jpg</v>
      </c>
      <c r="W207" s="82">
        <v>44461.59773148148</v>
      </c>
      <c r="X207" s="88">
        <v>44461</v>
      </c>
      <c r="Y207" s="85" t="s">
        <v>652</v>
      </c>
      <c r="Z207" s="83" t="str">
        <f>HYPERLINK("https://twitter.com/cusaru68/status/1440682478008627202")</f>
        <v>https://twitter.com/cusaru68/status/1440682478008627202</v>
      </c>
      <c r="AA207" s="80"/>
      <c r="AB207" s="80"/>
      <c r="AC207" s="85" t="s">
        <v>825</v>
      </c>
      <c r="AD207" s="80"/>
      <c r="AE207" s="80" t="b">
        <v>0</v>
      </c>
      <c r="AF207" s="80">
        <v>0</v>
      </c>
      <c r="AG207" s="85" t="s">
        <v>871</v>
      </c>
      <c r="AH207" s="80" t="b">
        <v>0</v>
      </c>
      <c r="AI207" s="80" t="s">
        <v>882</v>
      </c>
      <c r="AJ207" s="80"/>
      <c r="AK207" s="85" t="s">
        <v>871</v>
      </c>
      <c r="AL207" s="80" t="b">
        <v>0</v>
      </c>
      <c r="AM207" s="80">
        <v>13</v>
      </c>
      <c r="AN207" s="85" t="s">
        <v>835</v>
      </c>
      <c r="AO207" s="85" t="s">
        <v>890</v>
      </c>
      <c r="AP207" s="80" t="b">
        <v>0</v>
      </c>
      <c r="AQ207" s="85" t="s">
        <v>835</v>
      </c>
      <c r="AR207" s="80" t="s">
        <v>178</v>
      </c>
      <c r="AS207" s="80">
        <v>0</v>
      </c>
      <c r="AT207" s="80">
        <v>0</v>
      </c>
      <c r="AU207" s="80"/>
      <c r="AV207" s="80"/>
      <c r="AW207" s="80"/>
      <c r="AX207" s="80"/>
      <c r="AY207" s="80"/>
      <c r="AZ207" s="80"/>
      <c r="BA207" s="80"/>
      <c r="BB207" s="80"/>
      <c r="BC207">
        <v>1</v>
      </c>
      <c r="BD207" s="79" t="str">
        <f>REPLACE(INDEX(GroupVertices[Group],MATCH(Edges[[#This Row],[Vertex 1]],GroupVertices[Vertex],0)),1,1,"")</f>
        <v>2</v>
      </c>
      <c r="BE207" s="79" t="str">
        <f>REPLACE(INDEX(GroupVertices[Group],MATCH(Edges[[#This Row],[Vertex 2]],GroupVertices[Vertex],0)),1,1,"")</f>
        <v>2</v>
      </c>
      <c r="BF207" s="49"/>
      <c r="BG207" s="50"/>
      <c r="BH207" s="49"/>
      <c r="BI207" s="50"/>
      <c r="BJ207" s="49"/>
      <c r="BK207" s="50"/>
      <c r="BL207" s="49"/>
      <c r="BM207" s="50"/>
      <c r="BN207" s="49"/>
    </row>
    <row r="208" spans="1:66" ht="15">
      <c r="A208" s="65" t="s">
        <v>327</v>
      </c>
      <c r="B208" s="65" t="s">
        <v>337</v>
      </c>
      <c r="C208" s="66" t="s">
        <v>2698</v>
      </c>
      <c r="D208" s="67">
        <v>4</v>
      </c>
      <c r="E208" s="68" t="s">
        <v>132</v>
      </c>
      <c r="F208" s="69">
        <v>30</v>
      </c>
      <c r="G208" s="66"/>
      <c r="H208" s="70"/>
      <c r="I208" s="71"/>
      <c r="J208" s="71"/>
      <c r="K208" s="35" t="s">
        <v>65</v>
      </c>
      <c r="L208" s="78">
        <v>208</v>
      </c>
      <c r="M208" s="78"/>
      <c r="N208" s="73"/>
      <c r="O208" s="80" t="s">
        <v>383</v>
      </c>
      <c r="P208" s="82">
        <v>44461.59773148148</v>
      </c>
      <c r="Q208" s="80" t="s">
        <v>418</v>
      </c>
      <c r="R208" s="80"/>
      <c r="S208" s="80"/>
      <c r="T208" s="85" t="s">
        <v>491</v>
      </c>
      <c r="U208" s="83" t="str">
        <f>HYPERLINK("https://pbs.twimg.com/ext_tw_video_thumb/1440152056862441476/pu/img/RypVaHbX_jWL8ylr.jpg")</f>
        <v>https://pbs.twimg.com/ext_tw_video_thumb/1440152056862441476/pu/img/RypVaHbX_jWL8ylr.jpg</v>
      </c>
      <c r="V208" s="83" t="str">
        <f>HYPERLINK("https://pbs.twimg.com/ext_tw_video_thumb/1440152056862441476/pu/img/RypVaHbX_jWL8ylr.jpg")</f>
        <v>https://pbs.twimg.com/ext_tw_video_thumb/1440152056862441476/pu/img/RypVaHbX_jWL8ylr.jpg</v>
      </c>
      <c r="W208" s="82">
        <v>44461.59773148148</v>
      </c>
      <c r="X208" s="88">
        <v>44461</v>
      </c>
      <c r="Y208" s="85" t="s">
        <v>652</v>
      </c>
      <c r="Z208" s="83" t="str">
        <f>HYPERLINK("https://twitter.com/cusaru68/status/1440682478008627202")</f>
        <v>https://twitter.com/cusaru68/status/1440682478008627202</v>
      </c>
      <c r="AA208" s="80"/>
      <c r="AB208" s="80"/>
      <c r="AC208" s="85" t="s">
        <v>825</v>
      </c>
      <c r="AD208" s="80"/>
      <c r="AE208" s="80" t="b">
        <v>0</v>
      </c>
      <c r="AF208" s="80">
        <v>0</v>
      </c>
      <c r="AG208" s="85" t="s">
        <v>871</v>
      </c>
      <c r="AH208" s="80" t="b">
        <v>0</v>
      </c>
      <c r="AI208" s="80" t="s">
        <v>882</v>
      </c>
      <c r="AJ208" s="80"/>
      <c r="AK208" s="85" t="s">
        <v>871</v>
      </c>
      <c r="AL208" s="80" t="b">
        <v>0</v>
      </c>
      <c r="AM208" s="80">
        <v>13</v>
      </c>
      <c r="AN208" s="85" t="s">
        <v>835</v>
      </c>
      <c r="AO208" s="85" t="s">
        <v>890</v>
      </c>
      <c r="AP208" s="80" t="b">
        <v>0</v>
      </c>
      <c r="AQ208" s="85" t="s">
        <v>835</v>
      </c>
      <c r="AR208" s="80" t="s">
        <v>178</v>
      </c>
      <c r="AS208" s="80">
        <v>0</v>
      </c>
      <c r="AT208" s="80">
        <v>0</v>
      </c>
      <c r="AU208" s="80"/>
      <c r="AV208" s="80"/>
      <c r="AW208" s="80"/>
      <c r="AX208" s="80"/>
      <c r="AY208" s="80"/>
      <c r="AZ208" s="80"/>
      <c r="BA208" s="80"/>
      <c r="BB208" s="80"/>
      <c r="BC208">
        <v>1</v>
      </c>
      <c r="BD208" s="79" t="str">
        <f>REPLACE(INDEX(GroupVertices[Group],MATCH(Edges[[#This Row],[Vertex 1]],GroupVertices[Vertex],0)),1,1,"")</f>
        <v>2</v>
      </c>
      <c r="BE208" s="79" t="str">
        <f>REPLACE(INDEX(GroupVertices[Group],MATCH(Edges[[#This Row],[Vertex 2]],GroupVertices[Vertex],0)),1,1,"")</f>
        <v>2</v>
      </c>
      <c r="BF208" s="49">
        <v>0</v>
      </c>
      <c r="BG208" s="50">
        <v>0</v>
      </c>
      <c r="BH208" s="49">
        <v>0</v>
      </c>
      <c r="BI208" s="50">
        <v>0</v>
      </c>
      <c r="BJ208" s="49">
        <v>0</v>
      </c>
      <c r="BK208" s="50">
        <v>0</v>
      </c>
      <c r="BL208" s="49">
        <v>25</v>
      </c>
      <c r="BM208" s="50">
        <v>100</v>
      </c>
      <c r="BN208" s="49">
        <v>25</v>
      </c>
    </row>
    <row r="209" spans="1:66" ht="15">
      <c r="A209" s="65" t="s">
        <v>328</v>
      </c>
      <c r="B209" s="65" t="s">
        <v>368</v>
      </c>
      <c r="C209" s="66" t="s">
        <v>2698</v>
      </c>
      <c r="D209" s="67">
        <v>4</v>
      </c>
      <c r="E209" s="68" t="s">
        <v>132</v>
      </c>
      <c r="F209" s="69">
        <v>30</v>
      </c>
      <c r="G209" s="66"/>
      <c r="H209" s="70"/>
      <c r="I209" s="71"/>
      <c r="J209" s="71"/>
      <c r="K209" s="35" t="s">
        <v>65</v>
      </c>
      <c r="L209" s="78">
        <v>209</v>
      </c>
      <c r="M209" s="78"/>
      <c r="N209" s="73"/>
      <c r="O209" s="80" t="s">
        <v>382</v>
      </c>
      <c r="P209" s="82">
        <v>44461.59900462963</v>
      </c>
      <c r="Q209" s="80" t="s">
        <v>418</v>
      </c>
      <c r="R209" s="80"/>
      <c r="S209" s="80"/>
      <c r="T209" s="85" t="s">
        <v>491</v>
      </c>
      <c r="U209" s="83" t="str">
        <f>HYPERLINK("https://pbs.twimg.com/ext_tw_video_thumb/1440152056862441476/pu/img/RypVaHbX_jWL8ylr.jpg")</f>
        <v>https://pbs.twimg.com/ext_tw_video_thumb/1440152056862441476/pu/img/RypVaHbX_jWL8ylr.jpg</v>
      </c>
      <c r="V209" s="83" t="str">
        <f>HYPERLINK("https://pbs.twimg.com/ext_tw_video_thumb/1440152056862441476/pu/img/RypVaHbX_jWL8ylr.jpg")</f>
        <v>https://pbs.twimg.com/ext_tw_video_thumb/1440152056862441476/pu/img/RypVaHbX_jWL8ylr.jpg</v>
      </c>
      <c r="W209" s="82">
        <v>44461.59900462963</v>
      </c>
      <c r="X209" s="88">
        <v>44461</v>
      </c>
      <c r="Y209" s="85" t="s">
        <v>653</v>
      </c>
      <c r="Z209" s="83" t="str">
        <f>HYPERLINK("https://twitter.com/eliszpta/status/1440682943563792398")</f>
        <v>https://twitter.com/eliszpta/status/1440682943563792398</v>
      </c>
      <c r="AA209" s="80"/>
      <c r="AB209" s="80"/>
      <c r="AC209" s="85" t="s">
        <v>826</v>
      </c>
      <c r="AD209" s="80"/>
      <c r="AE209" s="80" t="b">
        <v>0</v>
      </c>
      <c r="AF209" s="80">
        <v>0</v>
      </c>
      <c r="AG209" s="85" t="s">
        <v>871</v>
      </c>
      <c r="AH209" s="80" t="b">
        <v>0</v>
      </c>
      <c r="AI209" s="80" t="s">
        <v>882</v>
      </c>
      <c r="AJ209" s="80"/>
      <c r="AK209" s="85" t="s">
        <v>871</v>
      </c>
      <c r="AL209" s="80" t="b">
        <v>0</v>
      </c>
      <c r="AM209" s="80">
        <v>13</v>
      </c>
      <c r="AN209" s="85" t="s">
        <v>835</v>
      </c>
      <c r="AO209" s="85" t="s">
        <v>889</v>
      </c>
      <c r="AP209" s="80" t="b">
        <v>0</v>
      </c>
      <c r="AQ209" s="85" t="s">
        <v>835</v>
      </c>
      <c r="AR209" s="80" t="s">
        <v>178</v>
      </c>
      <c r="AS209" s="80">
        <v>0</v>
      </c>
      <c r="AT209" s="80">
        <v>0</v>
      </c>
      <c r="AU209" s="80"/>
      <c r="AV209" s="80"/>
      <c r="AW209" s="80"/>
      <c r="AX209" s="80"/>
      <c r="AY209" s="80"/>
      <c r="AZ209" s="80"/>
      <c r="BA209" s="80"/>
      <c r="BB209" s="80"/>
      <c r="BC209">
        <v>1</v>
      </c>
      <c r="BD209" s="79" t="str">
        <f>REPLACE(INDEX(GroupVertices[Group],MATCH(Edges[[#This Row],[Vertex 1]],GroupVertices[Vertex],0)),1,1,"")</f>
        <v>2</v>
      </c>
      <c r="BE209" s="79" t="str">
        <f>REPLACE(INDEX(GroupVertices[Group],MATCH(Edges[[#This Row],[Vertex 2]],GroupVertices[Vertex],0)),1,1,"")</f>
        <v>2</v>
      </c>
      <c r="BF209" s="49"/>
      <c r="BG209" s="50"/>
      <c r="BH209" s="49"/>
      <c r="BI209" s="50"/>
      <c r="BJ209" s="49"/>
      <c r="BK209" s="50"/>
      <c r="BL209" s="49"/>
      <c r="BM209" s="50"/>
      <c r="BN209" s="49"/>
    </row>
    <row r="210" spans="1:66" ht="15">
      <c r="A210" s="65" t="s">
        <v>328</v>
      </c>
      <c r="B210" s="65" t="s">
        <v>370</v>
      </c>
      <c r="C210" s="66" t="s">
        <v>2698</v>
      </c>
      <c r="D210" s="67">
        <v>4</v>
      </c>
      <c r="E210" s="68" t="s">
        <v>132</v>
      </c>
      <c r="F210" s="69">
        <v>30</v>
      </c>
      <c r="G210" s="66"/>
      <c r="H210" s="70"/>
      <c r="I210" s="71"/>
      <c r="J210" s="71"/>
      <c r="K210" s="35" t="s">
        <v>65</v>
      </c>
      <c r="L210" s="78">
        <v>210</v>
      </c>
      <c r="M210" s="78"/>
      <c r="N210" s="73"/>
      <c r="O210" s="80" t="s">
        <v>382</v>
      </c>
      <c r="P210" s="82">
        <v>44461.59900462963</v>
      </c>
      <c r="Q210" s="80" t="s">
        <v>418</v>
      </c>
      <c r="R210" s="80"/>
      <c r="S210" s="80"/>
      <c r="T210" s="85" t="s">
        <v>491</v>
      </c>
      <c r="U210" s="83" t="str">
        <f>HYPERLINK("https://pbs.twimg.com/ext_tw_video_thumb/1440152056862441476/pu/img/RypVaHbX_jWL8ylr.jpg")</f>
        <v>https://pbs.twimg.com/ext_tw_video_thumb/1440152056862441476/pu/img/RypVaHbX_jWL8ylr.jpg</v>
      </c>
      <c r="V210" s="83" t="str">
        <f>HYPERLINK("https://pbs.twimg.com/ext_tw_video_thumb/1440152056862441476/pu/img/RypVaHbX_jWL8ylr.jpg")</f>
        <v>https://pbs.twimg.com/ext_tw_video_thumb/1440152056862441476/pu/img/RypVaHbX_jWL8ylr.jpg</v>
      </c>
      <c r="W210" s="82">
        <v>44461.59900462963</v>
      </c>
      <c r="X210" s="88">
        <v>44461</v>
      </c>
      <c r="Y210" s="85" t="s">
        <v>653</v>
      </c>
      <c r="Z210" s="83" t="str">
        <f>HYPERLINK("https://twitter.com/eliszpta/status/1440682943563792398")</f>
        <v>https://twitter.com/eliszpta/status/1440682943563792398</v>
      </c>
      <c r="AA210" s="80"/>
      <c r="AB210" s="80"/>
      <c r="AC210" s="85" t="s">
        <v>826</v>
      </c>
      <c r="AD210" s="80"/>
      <c r="AE210" s="80" t="b">
        <v>0</v>
      </c>
      <c r="AF210" s="80">
        <v>0</v>
      </c>
      <c r="AG210" s="85" t="s">
        <v>871</v>
      </c>
      <c r="AH210" s="80" t="b">
        <v>0</v>
      </c>
      <c r="AI210" s="80" t="s">
        <v>882</v>
      </c>
      <c r="AJ210" s="80"/>
      <c r="AK210" s="85" t="s">
        <v>871</v>
      </c>
      <c r="AL210" s="80" t="b">
        <v>0</v>
      </c>
      <c r="AM210" s="80">
        <v>13</v>
      </c>
      <c r="AN210" s="85" t="s">
        <v>835</v>
      </c>
      <c r="AO210" s="85" t="s">
        <v>889</v>
      </c>
      <c r="AP210" s="80" t="b">
        <v>0</v>
      </c>
      <c r="AQ210" s="85" t="s">
        <v>835</v>
      </c>
      <c r="AR210" s="80" t="s">
        <v>178</v>
      </c>
      <c r="AS210" s="80">
        <v>0</v>
      </c>
      <c r="AT210" s="80">
        <v>0</v>
      </c>
      <c r="AU210" s="80"/>
      <c r="AV210" s="80"/>
      <c r="AW210" s="80"/>
      <c r="AX210" s="80"/>
      <c r="AY210" s="80"/>
      <c r="AZ210" s="80"/>
      <c r="BA210" s="80"/>
      <c r="BB210" s="80"/>
      <c r="BC210">
        <v>1</v>
      </c>
      <c r="BD210" s="79" t="str">
        <f>REPLACE(INDEX(GroupVertices[Group],MATCH(Edges[[#This Row],[Vertex 1]],GroupVertices[Vertex],0)),1,1,"")</f>
        <v>2</v>
      </c>
      <c r="BE210" s="79" t="str">
        <f>REPLACE(INDEX(GroupVertices[Group],MATCH(Edges[[#This Row],[Vertex 2]],GroupVertices[Vertex],0)),1,1,"")</f>
        <v>2</v>
      </c>
      <c r="BF210" s="49"/>
      <c r="BG210" s="50"/>
      <c r="BH210" s="49"/>
      <c r="BI210" s="50"/>
      <c r="BJ210" s="49"/>
      <c r="BK210" s="50"/>
      <c r="BL210" s="49"/>
      <c r="BM210" s="50"/>
      <c r="BN210" s="49"/>
    </row>
    <row r="211" spans="1:66" ht="15">
      <c r="A211" s="65" t="s">
        <v>328</v>
      </c>
      <c r="B211" s="65" t="s">
        <v>337</v>
      </c>
      <c r="C211" s="66" t="s">
        <v>2698</v>
      </c>
      <c r="D211" s="67">
        <v>4</v>
      </c>
      <c r="E211" s="68" t="s">
        <v>132</v>
      </c>
      <c r="F211" s="69">
        <v>30</v>
      </c>
      <c r="G211" s="66"/>
      <c r="H211" s="70"/>
      <c r="I211" s="71"/>
      <c r="J211" s="71"/>
      <c r="K211" s="35" t="s">
        <v>65</v>
      </c>
      <c r="L211" s="78">
        <v>211</v>
      </c>
      <c r="M211" s="78"/>
      <c r="N211" s="73"/>
      <c r="O211" s="80" t="s">
        <v>383</v>
      </c>
      <c r="P211" s="82">
        <v>44461.59900462963</v>
      </c>
      <c r="Q211" s="80" t="s">
        <v>418</v>
      </c>
      <c r="R211" s="80"/>
      <c r="S211" s="80"/>
      <c r="T211" s="85" t="s">
        <v>491</v>
      </c>
      <c r="U211" s="83" t="str">
        <f>HYPERLINK("https://pbs.twimg.com/ext_tw_video_thumb/1440152056862441476/pu/img/RypVaHbX_jWL8ylr.jpg")</f>
        <v>https://pbs.twimg.com/ext_tw_video_thumb/1440152056862441476/pu/img/RypVaHbX_jWL8ylr.jpg</v>
      </c>
      <c r="V211" s="83" t="str">
        <f>HYPERLINK("https://pbs.twimg.com/ext_tw_video_thumb/1440152056862441476/pu/img/RypVaHbX_jWL8ylr.jpg")</f>
        <v>https://pbs.twimg.com/ext_tw_video_thumb/1440152056862441476/pu/img/RypVaHbX_jWL8ylr.jpg</v>
      </c>
      <c r="W211" s="82">
        <v>44461.59900462963</v>
      </c>
      <c r="X211" s="88">
        <v>44461</v>
      </c>
      <c r="Y211" s="85" t="s">
        <v>653</v>
      </c>
      <c r="Z211" s="83" t="str">
        <f>HYPERLINK("https://twitter.com/eliszpta/status/1440682943563792398")</f>
        <v>https://twitter.com/eliszpta/status/1440682943563792398</v>
      </c>
      <c r="AA211" s="80"/>
      <c r="AB211" s="80"/>
      <c r="AC211" s="85" t="s">
        <v>826</v>
      </c>
      <c r="AD211" s="80"/>
      <c r="AE211" s="80" t="b">
        <v>0</v>
      </c>
      <c r="AF211" s="80">
        <v>0</v>
      </c>
      <c r="AG211" s="85" t="s">
        <v>871</v>
      </c>
      <c r="AH211" s="80" t="b">
        <v>0</v>
      </c>
      <c r="AI211" s="80" t="s">
        <v>882</v>
      </c>
      <c r="AJ211" s="80"/>
      <c r="AK211" s="85" t="s">
        <v>871</v>
      </c>
      <c r="AL211" s="80" t="b">
        <v>0</v>
      </c>
      <c r="AM211" s="80">
        <v>13</v>
      </c>
      <c r="AN211" s="85" t="s">
        <v>835</v>
      </c>
      <c r="AO211" s="85" t="s">
        <v>889</v>
      </c>
      <c r="AP211" s="80" t="b">
        <v>0</v>
      </c>
      <c r="AQ211" s="85" t="s">
        <v>835</v>
      </c>
      <c r="AR211" s="80" t="s">
        <v>178</v>
      </c>
      <c r="AS211" s="80">
        <v>0</v>
      </c>
      <c r="AT211" s="80">
        <v>0</v>
      </c>
      <c r="AU211" s="80"/>
      <c r="AV211" s="80"/>
      <c r="AW211" s="80"/>
      <c r="AX211" s="80"/>
      <c r="AY211" s="80"/>
      <c r="AZ211" s="80"/>
      <c r="BA211" s="80"/>
      <c r="BB211" s="80"/>
      <c r="BC211">
        <v>1</v>
      </c>
      <c r="BD211" s="79" t="str">
        <f>REPLACE(INDEX(GroupVertices[Group],MATCH(Edges[[#This Row],[Vertex 1]],GroupVertices[Vertex],0)),1,1,"")</f>
        <v>2</v>
      </c>
      <c r="BE211" s="79" t="str">
        <f>REPLACE(INDEX(GroupVertices[Group],MATCH(Edges[[#This Row],[Vertex 2]],GroupVertices[Vertex],0)),1,1,"")</f>
        <v>2</v>
      </c>
      <c r="BF211" s="49">
        <v>0</v>
      </c>
      <c r="BG211" s="50">
        <v>0</v>
      </c>
      <c r="BH211" s="49">
        <v>0</v>
      </c>
      <c r="BI211" s="50">
        <v>0</v>
      </c>
      <c r="BJ211" s="49">
        <v>0</v>
      </c>
      <c r="BK211" s="50">
        <v>0</v>
      </c>
      <c r="BL211" s="49">
        <v>25</v>
      </c>
      <c r="BM211" s="50">
        <v>100</v>
      </c>
      <c r="BN211" s="49">
        <v>25</v>
      </c>
    </row>
    <row r="212" spans="1:66" ht="15">
      <c r="A212" s="65" t="s">
        <v>329</v>
      </c>
      <c r="B212" s="65" t="s">
        <v>368</v>
      </c>
      <c r="C212" s="66" t="s">
        <v>2698</v>
      </c>
      <c r="D212" s="67">
        <v>4</v>
      </c>
      <c r="E212" s="68" t="s">
        <v>132</v>
      </c>
      <c r="F212" s="69">
        <v>30</v>
      </c>
      <c r="G212" s="66"/>
      <c r="H212" s="70"/>
      <c r="I212" s="71"/>
      <c r="J212" s="71"/>
      <c r="K212" s="35" t="s">
        <v>65</v>
      </c>
      <c r="L212" s="78">
        <v>212</v>
      </c>
      <c r="M212" s="78"/>
      <c r="N212" s="73"/>
      <c r="O212" s="80" t="s">
        <v>382</v>
      </c>
      <c r="P212" s="82">
        <v>44461.60896990741</v>
      </c>
      <c r="Q212" s="80" t="s">
        <v>418</v>
      </c>
      <c r="R212" s="80"/>
      <c r="S212" s="80"/>
      <c r="T212" s="85" t="s">
        <v>491</v>
      </c>
      <c r="U212" s="83" t="str">
        <f>HYPERLINK("https://pbs.twimg.com/ext_tw_video_thumb/1440152056862441476/pu/img/RypVaHbX_jWL8ylr.jpg")</f>
        <v>https://pbs.twimg.com/ext_tw_video_thumb/1440152056862441476/pu/img/RypVaHbX_jWL8ylr.jpg</v>
      </c>
      <c r="V212" s="83" t="str">
        <f>HYPERLINK("https://pbs.twimg.com/ext_tw_video_thumb/1440152056862441476/pu/img/RypVaHbX_jWL8ylr.jpg")</f>
        <v>https://pbs.twimg.com/ext_tw_video_thumb/1440152056862441476/pu/img/RypVaHbX_jWL8ylr.jpg</v>
      </c>
      <c r="W212" s="82">
        <v>44461.60896990741</v>
      </c>
      <c r="X212" s="88">
        <v>44461</v>
      </c>
      <c r="Y212" s="85" t="s">
        <v>654</v>
      </c>
      <c r="Z212" s="83" t="str">
        <f>HYPERLINK("https://twitter.com/monroygar/status/1440686552934326289")</f>
        <v>https://twitter.com/monroygar/status/1440686552934326289</v>
      </c>
      <c r="AA212" s="80"/>
      <c r="AB212" s="80"/>
      <c r="AC212" s="85" t="s">
        <v>827</v>
      </c>
      <c r="AD212" s="80"/>
      <c r="AE212" s="80" t="b">
        <v>0</v>
      </c>
      <c r="AF212" s="80">
        <v>0</v>
      </c>
      <c r="AG212" s="85" t="s">
        <v>871</v>
      </c>
      <c r="AH212" s="80" t="b">
        <v>0</v>
      </c>
      <c r="AI212" s="80" t="s">
        <v>882</v>
      </c>
      <c r="AJ212" s="80"/>
      <c r="AK212" s="85" t="s">
        <v>871</v>
      </c>
      <c r="AL212" s="80" t="b">
        <v>0</v>
      </c>
      <c r="AM212" s="80">
        <v>13</v>
      </c>
      <c r="AN212" s="85" t="s">
        <v>835</v>
      </c>
      <c r="AO212" s="85" t="s">
        <v>889</v>
      </c>
      <c r="AP212" s="80" t="b">
        <v>0</v>
      </c>
      <c r="AQ212" s="85" t="s">
        <v>835</v>
      </c>
      <c r="AR212" s="80" t="s">
        <v>178</v>
      </c>
      <c r="AS212" s="80">
        <v>0</v>
      </c>
      <c r="AT212" s="80">
        <v>0</v>
      </c>
      <c r="AU212" s="80"/>
      <c r="AV212" s="80"/>
      <c r="AW212" s="80"/>
      <c r="AX212" s="80"/>
      <c r="AY212" s="80"/>
      <c r="AZ212" s="80"/>
      <c r="BA212" s="80"/>
      <c r="BB212" s="80"/>
      <c r="BC212">
        <v>1</v>
      </c>
      <c r="BD212" s="79" t="str">
        <f>REPLACE(INDEX(GroupVertices[Group],MATCH(Edges[[#This Row],[Vertex 1]],GroupVertices[Vertex],0)),1,1,"")</f>
        <v>2</v>
      </c>
      <c r="BE212" s="79" t="str">
        <f>REPLACE(INDEX(GroupVertices[Group],MATCH(Edges[[#This Row],[Vertex 2]],GroupVertices[Vertex],0)),1,1,"")</f>
        <v>2</v>
      </c>
      <c r="BF212" s="49"/>
      <c r="BG212" s="50"/>
      <c r="BH212" s="49"/>
      <c r="BI212" s="50"/>
      <c r="BJ212" s="49"/>
      <c r="BK212" s="50"/>
      <c r="BL212" s="49"/>
      <c r="BM212" s="50"/>
      <c r="BN212" s="49"/>
    </row>
    <row r="213" spans="1:66" ht="15">
      <c r="A213" s="65" t="s">
        <v>329</v>
      </c>
      <c r="B213" s="65" t="s">
        <v>370</v>
      </c>
      <c r="C213" s="66" t="s">
        <v>2698</v>
      </c>
      <c r="D213" s="67">
        <v>4</v>
      </c>
      <c r="E213" s="68" t="s">
        <v>132</v>
      </c>
      <c r="F213" s="69">
        <v>30</v>
      </c>
      <c r="G213" s="66"/>
      <c r="H213" s="70"/>
      <c r="I213" s="71"/>
      <c r="J213" s="71"/>
      <c r="K213" s="35" t="s">
        <v>65</v>
      </c>
      <c r="L213" s="78">
        <v>213</v>
      </c>
      <c r="M213" s="78"/>
      <c r="N213" s="73"/>
      <c r="O213" s="80" t="s">
        <v>382</v>
      </c>
      <c r="P213" s="82">
        <v>44461.60896990741</v>
      </c>
      <c r="Q213" s="80" t="s">
        <v>418</v>
      </c>
      <c r="R213" s="80"/>
      <c r="S213" s="80"/>
      <c r="T213" s="85" t="s">
        <v>491</v>
      </c>
      <c r="U213" s="83" t="str">
        <f>HYPERLINK("https://pbs.twimg.com/ext_tw_video_thumb/1440152056862441476/pu/img/RypVaHbX_jWL8ylr.jpg")</f>
        <v>https://pbs.twimg.com/ext_tw_video_thumb/1440152056862441476/pu/img/RypVaHbX_jWL8ylr.jpg</v>
      </c>
      <c r="V213" s="83" t="str">
        <f>HYPERLINK("https://pbs.twimg.com/ext_tw_video_thumb/1440152056862441476/pu/img/RypVaHbX_jWL8ylr.jpg")</f>
        <v>https://pbs.twimg.com/ext_tw_video_thumb/1440152056862441476/pu/img/RypVaHbX_jWL8ylr.jpg</v>
      </c>
      <c r="W213" s="82">
        <v>44461.60896990741</v>
      </c>
      <c r="X213" s="88">
        <v>44461</v>
      </c>
      <c r="Y213" s="85" t="s">
        <v>654</v>
      </c>
      <c r="Z213" s="83" t="str">
        <f>HYPERLINK("https://twitter.com/monroygar/status/1440686552934326289")</f>
        <v>https://twitter.com/monroygar/status/1440686552934326289</v>
      </c>
      <c r="AA213" s="80"/>
      <c r="AB213" s="80"/>
      <c r="AC213" s="85" t="s">
        <v>827</v>
      </c>
      <c r="AD213" s="80"/>
      <c r="AE213" s="80" t="b">
        <v>0</v>
      </c>
      <c r="AF213" s="80">
        <v>0</v>
      </c>
      <c r="AG213" s="85" t="s">
        <v>871</v>
      </c>
      <c r="AH213" s="80" t="b">
        <v>0</v>
      </c>
      <c r="AI213" s="80" t="s">
        <v>882</v>
      </c>
      <c r="AJ213" s="80"/>
      <c r="AK213" s="85" t="s">
        <v>871</v>
      </c>
      <c r="AL213" s="80" t="b">
        <v>0</v>
      </c>
      <c r="AM213" s="80">
        <v>13</v>
      </c>
      <c r="AN213" s="85" t="s">
        <v>835</v>
      </c>
      <c r="AO213" s="85" t="s">
        <v>889</v>
      </c>
      <c r="AP213" s="80" t="b">
        <v>0</v>
      </c>
      <c r="AQ213" s="85" t="s">
        <v>835</v>
      </c>
      <c r="AR213" s="80" t="s">
        <v>178</v>
      </c>
      <c r="AS213" s="80">
        <v>0</v>
      </c>
      <c r="AT213" s="80">
        <v>0</v>
      </c>
      <c r="AU213" s="80"/>
      <c r="AV213" s="80"/>
      <c r="AW213" s="80"/>
      <c r="AX213" s="80"/>
      <c r="AY213" s="80"/>
      <c r="AZ213" s="80"/>
      <c r="BA213" s="80"/>
      <c r="BB213" s="80"/>
      <c r="BC213">
        <v>1</v>
      </c>
      <c r="BD213" s="79" t="str">
        <f>REPLACE(INDEX(GroupVertices[Group],MATCH(Edges[[#This Row],[Vertex 1]],GroupVertices[Vertex],0)),1,1,"")</f>
        <v>2</v>
      </c>
      <c r="BE213" s="79" t="str">
        <f>REPLACE(INDEX(GroupVertices[Group],MATCH(Edges[[#This Row],[Vertex 2]],GroupVertices[Vertex],0)),1,1,"")</f>
        <v>2</v>
      </c>
      <c r="BF213" s="49"/>
      <c r="BG213" s="50"/>
      <c r="BH213" s="49"/>
      <c r="BI213" s="50"/>
      <c r="BJ213" s="49"/>
      <c r="BK213" s="50"/>
      <c r="BL213" s="49"/>
      <c r="BM213" s="50"/>
      <c r="BN213" s="49"/>
    </row>
    <row r="214" spans="1:66" ht="15">
      <c r="A214" s="65" t="s">
        <v>329</v>
      </c>
      <c r="B214" s="65" t="s">
        <v>337</v>
      </c>
      <c r="C214" s="66" t="s">
        <v>2698</v>
      </c>
      <c r="D214" s="67">
        <v>4</v>
      </c>
      <c r="E214" s="68" t="s">
        <v>132</v>
      </c>
      <c r="F214" s="69">
        <v>30</v>
      </c>
      <c r="G214" s="66"/>
      <c r="H214" s="70"/>
      <c r="I214" s="71"/>
      <c r="J214" s="71"/>
      <c r="K214" s="35" t="s">
        <v>65</v>
      </c>
      <c r="L214" s="78">
        <v>214</v>
      </c>
      <c r="M214" s="78"/>
      <c r="N214" s="73"/>
      <c r="O214" s="80" t="s">
        <v>383</v>
      </c>
      <c r="P214" s="82">
        <v>44461.60896990741</v>
      </c>
      <c r="Q214" s="80" t="s">
        <v>418</v>
      </c>
      <c r="R214" s="80"/>
      <c r="S214" s="80"/>
      <c r="T214" s="85" t="s">
        <v>491</v>
      </c>
      <c r="U214" s="83" t="str">
        <f>HYPERLINK("https://pbs.twimg.com/ext_tw_video_thumb/1440152056862441476/pu/img/RypVaHbX_jWL8ylr.jpg")</f>
        <v>https://pbs.twimg.com/ext_tw_video_thumb/1440152056862441476/pu/img/RypVaHbX_jWL8ylr.jpg</v>
      </c>
      <c r="V214" s="83" t="str">
        <f>HYPERLINK("https://pbs.twimg.com/ext_tw_video_thumb/1440152056862441476/pu/img/RypVaHbX_jWL8ylr.jpg")</f>
        <v>https://pbs.twimg.com/ext_tw_video_thumb/1440152056862441476/pu/img/RypVaHbX_jWL8ylr.jpg</v>
      </c>
      <c r="W214" s="82">
        <v>44461.60896990741</v>
      </c>
      <c r="X214" s="88">
        <v>44461</v>
      </c>
      <c r="Y214" s="85" t="s">
        <v>654</v>
      </c>
      <c r="Z214" s="83" t="str">
        <f>HYPERLINK("https://twitter.com/monroygar/status/1440686552934326289")</f>
        <v>https://twitter.com/monroygar/status/1440686552934326289</v>
      </c>
      <c r="AA214" s="80"/>
      <c r="AB214" s="80"/>
      <c r="AC214" s="85" t="s">
        <v>827</v>
      </c>
      <c r="AD214" s="80"/>
      <c r="AE214" s="80" t="b">
        <v>0</v>
      </c>
      <c r="AF214" s="80">
        <v>0</v>
      </c>
      <c r="AG214" s="85" t="s">
        <v>871</v>
      </c>
      <c r="AH214" s="80" t="b">
        <v>0</v>
      </c>
      <c r="AI214" s="80" t="s">
        <v>882</v>
      </c>
      <c r="AJ214" s="80"/>
      <c r="AK214" s="85" t="s">
        <v>871</v>
      </c>
      <c r="AL214" s="80" t="b">
        <v>0</v>
      </c>
      <c r="AM214" s="80">
        <v>13</v>
      </c>
      <c r="AN214" s="85" t="s">
        <v>835</v>
      </c>
      <c r="AO214" s="85" t="s">
        <v>889</v>
      </c>
      <c r="AP214" s="80" t="b">
        <v>0</v>
      </c>
      <c r="AQ214" s="85" t="s">
        <v>835</v>
      </c>
      <c r="AR214" s="80" t="s">
        <v>178</v>
      </c>
      <c r="AS214" s="80">
        <v>0</v>
      </c>
      <c r="AT214" s="80">
        <v>0</v>
      </c>
      <c r="AU214" s="80"/>
      <c r="AV214" s="80"/>
      <c r="AW214" s="80"/>
      <c r="AX214" s="80"/>
      <c r="AY214" s="80"/>
      <c r="AZ214" s="80"/>
      <c r="BA214" s="80"/>
      <c r="BB214" s="80"/>
      <c r="BC214">
        <v>1</v>
      </c>
      <c r="BD214" s="79" t="str">
        <f>REPLACE(INDEX(GroupVertices[Group],MATCH(Edges[[#This Row],[Vertex 1]],GroupVertices[Vertex],0)),1,1,"")</f>
        <v>2</v>
      </c>
      <c r="BE214" s="79" t="str">
        <f>REPLACE(INDEX(GroupVertices[Group],MATCH(Edges[[#This Row],[Vertex 2]],GroupVertices[Vertex],0)),1,1,"")</f>
        <v>2</v>
      </c>
      <c r="BF214" s="49">
        <v>0</v>
      </c>
      <c r="BG214" s="50">
        <v>0</v>
      </c>
      <c r="BH214" s="49">
        <v>0</v>
      </c>
      <c r="BI214" s="50">
        <v>0</v>
      </c>
      <c r="BJ214" s="49">
        <v>0</v>
      </c>
      <c r="BK214" s="50">
        <v>0</v>
      </c>
      <c r="BL214" s="49">
        <v>25</v>
      </c>
      <c r="BM214" s="50">
        <v>100</v>
      </c>
      <c r="BN214" s="49">
        <v>25</v>
      </c>
    </row>
    <row r="215" spans="1:66" ht="15">
      <c r="A215" s="65" t="s">
        <v>330</v>
      </c>
      <c r="B215" s="65" t="s">
        <v>368</v>
      </c>
      <c r="C215" s="66" t="s">
        <v>2698</v>
      </c>
      <c r="D215" s="67">
        <v>4</v>
      </c>
      <c r="E215" s="68" t="s">
        <v>132</v>
      </c>
      <c r="F215" s="69">
        <v>30</v>
      </c>
      <c r="G215" s="66"/>
      <c r="H215" s="70"/>
      <c r="I215" s="71"/>
      <c r="J215" s="71"/>
      <c r="K215" s="35" t="s">
        <v>65</v>
      </c>
      <c r="L215" s="78">
        <v>215</v>
      </c>
      <c r="M215" s="78"/>
      <c r="N215" s="73"/>
      <c r="O215" s="80" t="s">
        <v>382</v>
      </c>
      <c r="P215" s="82">
        <v>44461.61736111111</v>
      </c>
      <c r="Q215" s="80" t="s">
        <v>418</v>
      </c>
      <c r="R215" s="80"/>
      <c r="S215" s="80"/>
      <c r="T215" s="85" t="s">
        <v>491</v>
      </c>
      <c r="U215" s="83" t="str">
        <f>HYPERLINK("https://pbs.twimg.com/ext_tw_video_thumb/1440152056862441476/pu/img/RypVaHbX_jWL8ylr.jpg")</f>
        <v>https://pbs.twimg.com/ext_tw_video_thumb/1440152056862441476/pu/img/RypVaHbX_jWL8ylr.jpg</v>
      </c>
      <c r="V215" s="83" t="str">
        <f>HYPERLINK("https://pbs.twimg.com/ext_tw_video_thumb/1440152056862441476/pu/img/RypVaHbX_jWL8ylr.jpg")</f>
        <v>https://pbs.twimg.com/ext_tw_video_thumb/1440152056862441476/pu/img/RypVaHbX_jWL8ylr.jpg</v>
      </c>
      <c r="W215" s="82">
        <v>44461.61736111111</v>
      </c>
      <c r="X215" s="88">
        <v>44461</v>
      </c>
      <c r="Y215" s="85" t="s">
        <v>655</v>
      </c>
      <c r="Z215" s="83" t="str">
        <f>HYPERLINK("https://twitter.com/vdmmty/status/1440689594073161735")</f>
        <v>https://twitter.com/vdmmty/status/1440689594073161735</v>
      </c>
      <c r="AA215" s="80"/>
      <c r="AB215" s="80"/>
      <c r="AC215" s="85" t="s">
        <v>828</v>
      </c>
      <c r="AD215" s="80"/>
      <c r="AE215" s="80" t="b">
        <v>0</v>
      </c>
      <c r="AF215" s="80">
        <v>0</v>
      </c>
      <c r="AG215" s="85" t="s">
        <v>871</v>
      </c>
      <c r="AH215" s="80" t="b">
        <v>0</v>
      </c>
      <c r="AI215" s="80" t="s">
        <v>882</v>
      </c>
      <c r="AJ215" s="80"/>
      <c r="AK215" s="85" t="s">
        <v>871</v>
      </c>
      <c r="AL215" s="80" t="b">
        <v>0</v>
      </c>
      <c r="AM215" s="80">
        <v>13</v>
      </c>
      <c r="AN215" s="85" t="s">
        <v>835</v>
      </c>
      <c r="AO215" s="85" t="s">
        <v>891</v>
      </c>
      <c r="AP215" s="80" t="b">
        <v>0</v>
      </c>
      <c r="AQ215" s="85" t="s">
        <v>835</v>
      </c>
      <c r="AR215" s="80" t="s">
        <v>178</v>
      </c>
      <c r="AS215" s="80">
        <v>0</v>
      </c>
      <c r="AT215" s="80">
        <v>0</v>
      </c>
      <c r="AU215" s="80"/>
      <c r="AV215" s="80"/>
      <c r="AW215" s="80"/>
      <c r="AX215" s="80"/>
      <c r="AY215" s="80"/>
      <c r="AZ215" s="80"/>
      <c r="BA215" s="80"/>
      <c r="BB215" s="80"/>
      <c r="BC215">
        <v>1</v>
      </c>
      <c r="BD215" s="79" t="str">
        <f>REPLACE(INDEX(GroupVertices[Group],MATCH(Edges[[#This Row],[Vertex 1]],GroupVertices[Vertex],0)),1,1,"")</f>
        <v>2</v>
      </c>
      <c r="BE215" s="79" t="str">
        <f>REPLACE(INDEX(GroupVertices[Group],MATCH(Edges[[#This Row],[Vertex 2]],GroupVertices[Vertex],0)),1,1,"")</f>
        <v>2</v>
      </c>
      <c r="BF215" s="49"/>
      <c r="BG215" s="50"/>
      <c r="BH215" s="49"/>
      <c r="BI215" s="50"/>
      <c r="BJ215" s="49"/>
      <c r="BK215" s="50"/>
      <c r="BL215" s="49"/>
      <c r="BM215" s="50"/>
      <c r="BN215" s="49"/>
    </row>
    <row r="216" spans="1:66" ht="15">
      <c r="A216" s="65" t="s">
        <v>330</v>
      </c>
      <c r="B216" s="65" t="s">
        <v>370</v>
      </c>
      <c r="C216" s="66" t="s">
        <v>2698</v>
      </c>
      <c r="D216" s="67">
        <v>4</v>
      </c>
      <c r="E216" s="68" t="s">
        <v>132</v>
      </c>
      <c r="F216" s="69">
        <v>30</v>
      </c>
      <c r="G216" s="66"/>
      <c r="H216" s="70"/>
      <c r="I216" s="71"/>
      <c r="J216" s="71"/>
      <c r="K216" s="35" t="s">
        <v>65</v>
      </c>
      <c r="L216" s="78">
        <v>216</v>
      </c>
      <c r="M216" s="78"/>
      <c r="N216" s="73"/>
      <c r="O216" s="80" t="s">
        <v>382</v>
      </c>
      <c r="P216" s="82">
        <v>44461.61736111111</v>
      </c>
      <c r="Q216" s="80" t="s">
        <v>418</v>
      </c>
      <c r="R216" s="80"/>
      <c r="S216" s="80"/>
      <c r="T216" s="85" t="s">
        <v>491</v>
      </c>
      <c r="U216" s="83" t="str">
        <f>HYPERLINK("https://pbs.twimg.com/ext_tw_video_thumb/1440152056862441476/pu/img/RypVaHbX_jWL8ylr.jpg")</f>
        <v>https://pbs.twimg.com/ext_tw_video_thumb/1440152056862441476/pu/img/RypVaHbX_jWL8ylr.jpg</v>
      </c>
      <c r="V216" s="83" t="str">
        <f>HYPERLINK("https://pbs.twimg.com/ext_tw_video_thumb/1440152056862441476/pu/img/RypVaHbX_jWL8ylr.jpg")</f>
        <v>https://pbs.twimg.com/ext_tw_video_thumb/1440152056862441476/pu/img/RypVaHbX_jWL8ylr.jpg</v>
      </c>
      <c r="W216" s="82">
        <v>44461.61736111111</v>
      </c>
      <c r="X216" s="88">
        <v>44461</v>
      </c>
      <c r="Y216" s="85" t="s">
        <v>655</v>
      </c>
      <c r="Z216" s="83" t="str">
        <f>HYPERLINK("https://twitter.com/vdmmty/status/1440689594073161735")</f>
        <v>https://twitter.com/vdmmty/status/1440689594073161735</v>
      </c>
      <c r="AA216" s="80"/>
      <c r="AB216" s="80"/>
      <c r="AC216" s="85" t="s">
        <v>828</v>
      </c>
      <c r="AD216" s="80"/>
      <c r="AE216" s="80" t="b">
        <v>0</v>
      </c>
      <c r="AF216" s="80">
        <v>0</v>
      </c>
      <c r="AG216" s="85" t="s">
        <v>871</v>
      </c>
      <c r="AH216" s="80" t="b">
        <v>0</v>
      </c>
      <c r="AI216" s="80" t="s">
        <v>882</v>
      </c>
      <c r="AJ216" s="80"/>
      <c r="AK216" s="85" t="s">
        <v>871</v>
      </c>
      <c r="AL216" s="80" t="b">
        <v>0</v>
      </c>
      <c r="AM216" s="80">
        <v>13</v>
      </c>
      <c r="AN216" s="85" t="s">
        <v>835</v>
      </c>
      <c r="AO216" s="85" t="s">
        <v>891</v>
      </c>
      <c r="AP216" s="80" t="b">
        <v>0</v>
      </c>
      <c r="AQ216" s="85" t="s">
        <v>835</v>
      </c>
      <c r="AR216" s="80" t="s">
        <v>178</v>
      </c>
      <c r="AS216" s="80">
        <v>0</v>
      </c>
      <c r="AT216" s="80">
        <v>0</v>
      </c>
      <c r="AU216" s="80"/>
      <c r="AV216" s="80"/>
      <c r="AW216" s="80"/>
      <c r="AX216" s="80"/>
      <c r="AY216" s="80"/>
      <c r="AZ216" s="80"/>
      <c r="BA216" s="80"/>
      <c r="BB216" s="80"/>
      <c r="BC216">
        <v>1</v>
      </c>
      <c r="BD216" s="79" t="str">
        <f>REPLACE(INDEX(GroupVertices[Group],MATCH(Edges[[#This Row],[Vertex 1]],GroupVertices[Vertex],0)),1,1,"")</f>
        <v>2</v>
      </c>
      <c r="BE216" s="79" t="str">
        <f>REPLACE(INDEX(GroupVertices[Group],MATCH(Edges[[#This Row],[Vertex 2]],GroupVertices[Vertex],0)),1,1,"")</f>
        <v>2</v>
      </c>
      <c r="BF216" s="49"/>
      <c r="BG216" s="50"/>
      <c r="BH216" s="49"/>
      <c r="BI216" s="50"/>
      <c r="BJ216" s="49"/>
      <c r="BK216" s="50"/>
      <c r="BL216" s="49"/>
      <c r="BM216" s="50"/>
      <c r="BN216" s="49"/>
    </row>
    <row r="217" spans="1:66" ht="15">
      <c r="A217" s="65" t="s">
        <v>330</v>
      </c>
      <c r="B217" s="65" t="s">
        <v>337</v>
      </c>
      <c r="C217" s="66" t="s">
        <v>2698</v>
      </c>
      <c r="D217" s="67">
        <v>4</v>
      </c>
      <c r="E217" s="68" t="s">
        <v>132</v>
      </c>
      <c r="F217" s="69">
        <v>30</v>
      </c>
      <c r="G217" s="66"/>
      <c r="H217" s="70"/>
      <c r="I217" s="71"/>
      <c r="J217" s="71"/>
      <c r="K217" s="35" t="s">
        <v>65</v>
      </c>
      <c r="L217" s="78">
        <v>217</v>
      </c>
      <c r="M217" s="78"/>
      <c r="N217" s="73"/>
      <c r="O217" s="80" t="s">
        <v>383</v>
      </c>
      <c r="P217" s="82">
        <v>44461.61736111111</v>
      </c>
      <c r="Q217" s="80" t="s">
        <v>418</v>
      </c>
      <c r="R217" s="80"/>
      <c r="S217" s="80"/>
      <c r="T217" s="85" t="s">
        <v>491</v>
      </c>
      <c r="U217" s="83" t="str">
        <f>HYPERLINK("https://pbs.twimg.com/ext_tw_video_thumb/1440152056862441476/pu/img/RypVaHbX_jWL8ylr.jpg")</f>
        <v>https://pbs.twimg.com/ext_tw_video_thumb/1440152056862441476/pu/img/RypVaHbX_jWL8ylr.jpg</v>
      </c>
      <c r="V217" s="83" t="str">
        <f>HYPERLINK("https://pbs.twimg.com/ext_tw_video_thumb/1440152056862441476/pu/img/RypVaHbX_jWL8ylr.jpg")</f>
        <v>https://pbs.twimg.com/ext_tw_video_thumb/1440152056862441476/pu/img/RypVaHbX_jWL8ylr.jpg</v>
      </c>
      <c r="W217" s="82">
        <v>44461.61736111111</v>
      </c>
      <c r="X217" s="88">
        <v>44461</v>
      </c>
      <c r="Y217" s="85" t="s">
        <v>655</v>
      </c>
      <c r="Z217" s="83" t="str">
        <f>HYPERLINK("https://twitter.com/vdmmty/status/1440689594073161735")</f>
        <v>https://twitter.com/vdmmty/status/1440689594073161735</v>
      </c>
      <c r="AA217" s="80"/>
      <c r="AB217" s="80"/>
      <c r="AC217" s="85" t="s">
        <v>828</v>
      </c>
      <c r="AD217" s="80"/>
      <c r="AE217" s="80" t="b">
        <v>0</v>
      </c>
      <c r="AF217" s="80">
        <v>0</v>
      </c>
      <c r="AG217" s="85" t="s">
        <v>871</v>
      </c>
      <c r="AH217" s="80" t="b">
        <v>0</v>
      </c>
      <c r="AI217" s="80" t="s">
        <v>882</v>
      </c>
      <c r="AJ217" s="80"/>
      <c r="AK217" s="85" t="s">
        <v>871</v>
      </c>
      <c r="AL217" s="80" t="b">
        <v>0</v>
      </c>
      <c r="AM217" s="80">
        <v>13</v>
      </c>
      <c r="AN217" s="85" t="s">
        <v>835</v>
      </c>
      <c r="AO217" s="85" t="s">
        <v>891</v>
      </c>
      <c r="AP217" s="80" t="b">
        <v>0</v>
      </c>
      <c r="AQ217" s="85" t="s">
        <v>835</v>
      </c>
      <c r="AR217" s="80" t="s">
        <v>178</v>
      </c>
      <c r="AS217" s="80">
        <v>0</v>
      </c>
      <c r="AT217" s="80">
        <v>0</v>
      </c>
      <c r="AU217" s="80"/>
      <c r="AV217" s="80"/>
      <c r="AW217" s="80"/>
      <c r="AX217" s="80"/>
      <c r="AY217" s="80"/>
      <c r="AZ217" s="80"/>
      <c r="BA217" s="80"/>
      <c r="BB217" s="80"/>
      <c r="BC217">
        <v>1</v>
      </c>
      <c r="BD217" s="79" t="str">
        <f>REPLACE(INDEX(GroupVertices[Group],MATCH(Edges[[#This Row],[Vertex 1]],GroupVertices[Vertex],0)),1,1,"")</f>
        <v>2</v>
      </c>
      <c r="BE217" s="79" t="str">
        <f>REPLACE(INDEX(GroupVertices[Group],MATCH(Edges[[#This Row],[Vertex 2]],GroupVertices[Vertex],0)),1,1,"")</f>
        <v>2</v>
      </c>
      <c r="BF217" s="49">
        <v>0</v>
      </c>
      <c r="BG217" s="50">
        <v>0</v>
      </c>
      <c r="BH217" s="49">
        <v>0</v>
      </c>
      <c r="BI217" s="50">
        <v>0</v>
      </c>
      <c r="BJ217" s="49">
        <v>0</v>
      </c>
      <c r="BK217" s="50">
        <v>0</v>
      </c>
      <c r="BL217" s="49">
        <v>25</v>
      </c>
      <c r="BM217" s="50">
        <v>100</v>
      </c>
      <c r="BN217" s="49">
        <v>25</v>
      </c>
    </row>
    <row r="218" spans="1:66" ht="15">
      <c r="A218" s="65" t="s">
        <v>331</v>
      </c>
      <c r="B218" s="65" t="s">
        <v>368</v>
      </c>
      <c r="C218" s="66" t="s">
        <v>2698</v>
      </c>
      <c r="D218" s="67">
        <v>4</v>
      </c>
      <c r="E218" s="68" t="s">
        <v>132</v>
      </c>
      <c r="F218" s="69">
        <v>30</v>
      </c>
      <c r="G218" s="66"/>
      <c r="H218" s="70"/>
      <c r="I218" s="71"/>
      <c r="J218" s="71"/>
      <c r="K218" s="35" t="s">
        <v>65</v>
      </c>
      <c r="L218" s="78">
        <v>218</v>
      </c>
      <c r="M218" s="78"/>
      <c r="N218" s="73"/>
      <c r="O218" s="80" t="s">
        <v>382</v>
      </c>
      <c r="P218" s="82">
        <v>44461.63170138889</v>
      </c>
      <c r="Q218" s="80" t="s">
        <v>418</v>
      </c>
      <c r="R218" s="80"/>
      <c r="S218" s="80"/>
      <c r="T218" s="85" t="s">
        <v>491</v>
      </c>
      <c r="U218" s="83" t="str">
        <f>HYPERLINK("https://pbs.twimg.com/ext_tw_video_thumb/1440152056862441476/pu/img/RypVaHbX_jWL8ylr.jpg")</f>
        <v>https://pbs.twimg.com/ext_tw_video_thumb/1440152056862441476/pu/img/RypVaHbX_jWL8ylr.jpg</v>
      </c>
      <c r="V218" s="83" t="str">
        <f>HYPERLINK("https://pbs.twimg.com/ext_tw_video_thumb/1440152056862441476/pu/img/RypVaHbX_jWL8ylr.jpg")</f>
        <v>https://pbs.twimg.com/ext_tw_video_thumb/1440152056862441476/pu/img/RypVaHbX_jWL8ylr.jpg</v>
      </c>
      <c r="W218" s="82">
        <v>44461.63170138889</v>
      </c>
      <c r="X218" s="88">
        <v>44461</v>
      </c>
      <c r="Y218" s="85" t="s">
        <v>544</v>
      </c>
      <c r="Z218" s="83" t="str">
        <f>HYPERLINK("https://twitter.com/javierffrankie1/status/1440694789914054659")</f>
        <v>https://twitter.com/javierffrankie1/status/1440694789914054659</v>
      </c>
      <c r="AA218" s="80"/>
      <c r="AB218" s="80"/>
      <c r="AC218" s="85" t="s">
        <v>829</v>
      </c>
      <c r="AD218" s="80"/>
      <c r="AE218" s="80" t="b">
        <v>0</v>
      </c>
      <c r="AF218" s="80">
        <v>0</v>
      </c>
      <c r="AG218" s="85" t="s">
        <v>871</v>
      </c>
      <c r="AH218" s="80" t="b">
        <v>0</v>
      </c>
      <c r="AI218" s="80" t="s">
        <v>882</v>
      </c>
      <c r="AJ218" s="80"/>
      <c r="AK218" s="85" t="s">
        <v>871</v>
      </c>
      <c r="AL218" s="80" t="b">
        <v>0</v>
      </c>
      <c r="AM218" s="80">
        <v>13</v>
      </c>
      <c r="AN218" s="85" t="s">
        <v>835</v>
      </c>
      <c r="AO218" s="85" t="s">
        <v>889</v>
      </c>
      <c r="AP218" s="80" t="b">
        <v>0</v>
      </c>
      <c r="AQ218" s="85" t="s">
        <v>835</v>
      </c>
      <c r="AR218" s="80" t="s">
        <v>178</v>
      </c>
      <c r="AS218" s="80">
        <v>0</v>
      </c>
      <c r="AT218" s="80">
        <v>0</v>
      </c>
      <c r="AU218" s="80"/>
      <c r="AV218" s="80"/>
      <c r="AW218" s="80"/>
      <c r="AX218" s="80"/>
      <c r="AY218" s="80"/>
      <c r="AZ218" s="80"/>
      <c r="BA218" s="80"/>
      <c r="BB218" s="80"/>
      <c r="BC218">
        <v>1</v>
      </c>
      <c r="BD218" s="79" t="str">
        <f>REPLACE(INDEX(GroupVertices[Group],MATCH(Edges[[#This Row],[Vertex 1]],GroupVertices[Vertex],0)),1,1,"")</f>
        <v>2</v>
      </c>
      <c r="BE218" s="79" t="str">
        <f>REPLACE(INDEX(GroupVertices[Group],MATCH(Edges[[#This Row],[Vertex 2]],GroupVertices[Vertex],0)),1,1,"")</f>
        <v>2</v>
      </c>
      <c r="BF218" s="49"/>
      <c r="BG218" s="50"/>
      <c r="BH218" s="49"/>
      <c r="BI218" s="50"/>
      <c r="BJ218" s="49"/>
      <c r="BK218" s="50"/>
      <c r="BL218" s="49"/>
      <c r="BM218" s="50"/>
      <c r="BN218" s="49"/>
    </row>
    <row r="219" spans="1:66" ht="15">
      <c r="A219" s="65" t="s">
        <v>331</v>
      </c>
      <c r="B219" s="65" t="s">
        <v>370</v>
      </c>
      <c r="C219" s="66" t="s">
        <v>2698</v>
      </c>
      <c r="D219" s="67">
        <v>4</v>
      </c>
      <c r="E219" s="68" t="s">
        <v>132</v>
      </c>
      <c r="F219" s="69">
        <v>30</v>
      </c>
      <c r="G219" s="66"/>
      <c r="H219" s="70"/>
      <c r="I219" s="71"/>
      <c r="J219" s="71"/>
      <c r="K219" s="35" t="s">
        <v>65</v>
      </c>
      <c r="L219" s="78">
        <v>219</v>
      </c>
      <c r="M219" s="78"/>
      <c r="N219" s="73"/>
      <c r="O219" s="80" t="s">
        <v>382</v>
      </c>
      <c r="P219" s="82">
        <v>44461.63170138889</v>
      </c>
      <c r="Q219" s="80" t="s">
        <v>418</v>
      </c>
      <c r="R219" s="80"/>
      <c r="S219" s="80"/>
      <c r="T219" s="85" t="s">
        <v>491</v>
      </c>
      <c r="U219" s="83" t="str">
        <f>HYPERLINK("https://pbs.twimg.com/ext_tw_video_thumb/1440152056862441476/pu/img/RypVaHbX_jWL8ylr.jpg")</f>
        <v>https://pbs.twimg.com/ext_tw_video_thumb/1440152056862441476/pu/img/RypVaHbX_jWL8ylr.jpg</v>
      </c>
      <c r="V219" s="83" t="str">
        <f>HYPERLINK("https://pbs.twimg.com/ext_tw_video_thumb/1440152056862441476/pu/img/RypVaHbX_jWL8ylr.jpg")</f>
        <v>https://pbs.twimg.com/ext_tw_video_thumb/1440152056862441476/pu/img/RypVaHbX_jWL8ylr.jpg</v>
      </c>
      <c r="W219" s="82">
        <v>44461.63170138889</v>
      </c>
      <c r="X219" s="88">
        <v>44461</v>
      </c>
      <c r="Y219" s="85" t="s">
        <v>544</v>
      </c>
      <c r="Z219" s="83" t="str">
        <f>HYPERLINK("https://twitter.com/javierffrankie1/status/1440694789914054659")</f>
        <v>https://twitter.com/javierffrankie1/status/1440694789914054659</v>
      </c>
      <c r="AA219" s="80"/>
      <c r="AB219" s="80"/>
      <c r="AC219" s="85" t="s">
        <v>829</v>
      </c>
      <c r="AD219" s="80"/>
      <c r="AE219" s="80" t="b">
        <v>0</v>
      </c>
      <c r="AF219" s="80">
        <v>0</v>
      </c>
      <c r="AG219" s="85" t="s">
        <v>871</v>
      </c>
      <c r="AH219" s="80" t="b">
        <v>0</v>
      </c>
      <c r="AI219" s="80" t="s">
        <v>882</v>
      </c>
      <c r="AJ219" s="80"/>
      <c r="AK219" s="85" t="s">
        <v>871</v>
      </c>
      <c r="AL219" s="80" t="b">
        <v>0</v>
      </c>
      <c r="AM219" s="80">
        <v>13</v>
      </c>
      <c r="AN219" s="85" t="s">
        <v>835</v>
      </c>
      <c r="AO219" s="85" t="s">
        <v>889</v>
      </c>
      <c r="AP219" s="80" t="b">
        <v>0</v>
      </c>
      <c r="AQ219" s="85" t="s">
        <v>835</v>
      </c>
      <c r="AR219" s="80" t="s">
        <v>178</v>
      </c>
      <c r="AS219" s="80">
        <v>0</v>
      </c>
      <c r="AT219" s="80">
        <v>0</v>
      </c>
      <c r="AU219" s="80"/>
      <c r="AV219" s="80"/>
      <c r="AW219" s="80"/>
      <c r="AX219" s="80"/>
      <c r="AY219" s="80"/>
      <c r="AZ219" s="80"/>
      <c r="BA219" s="80"/>
      <c r="BB219" s="80"/>
      <c r="BC219">
        <v>1</v>
      </c>
      <c r="BD219" s="79" t="str">
        <f>REPLACE(INDEX(GroupVertices[Group],MATCH(Edges[[#This Row],[Vertex 1]],GroupVertices[Vertex],0)),1,1,"")</f>
        <v>2</v>
      </c>
      <c r="BE219" s="79" t="str">
        <f>REPLACE(INDEX(GroupVertices[Group],MATCH(Edges[[#This Row],[Vertex 2]],GroupVertices[Vertex],0)),1,1,"")</f>
        <v>2</v>
      </c>
      <c r="BF219" s="49"/>
      <c r="BG219" s="50"/>
      <c r="BH219" s="49"/>
      <c r="BI219" s="50"/>
      <c r="BJ219" s="49"/>
      <c r="BK219" s="50"/>
      <c r="BL219" s="49"/>
      <c r="BM219" s="50"/>
      <c r="BN219" s="49"/>
    </row>
    <row r="220" spans="1:66" ht="15">
      <c r="A220" s="65" t="s">
        <v>331</v>
      </c>
      <c r="B220" s="65" t="s">
        <v>337</v>
      </c>
      <c r="C220" s="66" t="s">
        <v>2698</v>
      </c>
      <c r="D220" s="67">
        <v>4</v>
      </c>
      <c r="E220" s="68" t="s">
        <v>132</v>
      </c>
      <c r="F220" s="69">
        <v>30</v>
      </c>
      <c r="G220" s="66"/>
      <c r="H220" s="70"/>
      <c r="I220" s="71"/>
      <c r="J220" s="71"/>
      <c r="K220" s="35" t="s">
        <v>65</v>
      </c>
      <c r="L220" s="78">
        <v>220</v>
      </c>
      <c r="M220" s="78"/>
      <c r="N220" s="73"/>
      <c r="O220" s="80" t="s">
        <v>383</v>
      </c>
      <c r="P220" s="82">
        <v>44461.63170138889</v>
      </c>
      <c r="Q220" s="80" t="s">
        <v>418</v>
      </c>
      <c r="R220" s="80"/>
      <c r="S220" s="80"/>
      <c r="T220" s="85" t="s">
        <v>491</v>
      </c>
      <c r="U220" s="83" t="str">
        <f>HYPERLINK("https://pbs.twimg.com/ext_tw_video_thumb/1440152056862441476/pu/img/RypVaHbX_jWL8ylr.jpg")</f>
        <v>https://pbs.twimg.com/ext_tw_video_thumb/1440152056862441476/pu/img/RypVaHbX_jWL8ylr.jpg</v>
      </c>
      <c r="V220" s="83" t="str">
        <f>HYPERLINK("https://pbs.twimg.com/ext_tw_video_thumb/1440152056862441476/pu/img/RypVaHbX_jWL8ylr.jpg")</f>
        <v>https://pbs.twimg.com/ext_tw_video_thumb/1440152056862441476/pu/img/RypVaHbX_jWL8ylr.jpg</v>
      </c>
      <c r="W220" s="82">
        <v>44461.63170138889</v>
      </c>
      <c r="X220" s="88">
        <v>44461</v>
      </c>
      <c r="Y220" s="85" t="s">
        <v>544</v>
      </c>
      <c r="Z220" s="83" t="str">
        <f>HYPERLINK("https://twitter.com/javierffrankie1/status/1440694789914054659")</f>
        <v>https://twitter.com/javierffrankie1/status/1440694789914054659</v>
      </c>
      <c r="AA220" s="80"/>
      <c r="AB220" s="80"/>
      <c r="AC220" s="85" t="s">
        <v>829</v>
      </c>
      <c r="AD220" s="80"/>
      <c r="AE220" s="80" t="b">
        <v>0</v>
      </c>
      <c r="AF220" s="80">
        <v>0</v>
      </c>
      <c r="AG220" s="85" t="s">
        <v>871</v>
      </c>
      <c r="AH220" s="80" t="b">
        <v>0</v>
      </c>
      <c r="AI220" s="80" t="s">
        <v>882</v>
      </c>
      <c r="AJ220" s="80"/>
      <c r="AK220" s="85" t="s">
        <v>871</v>
      </c>
      <c r="AL220" s="80" t="b">
        <v>0</v>
      </c>
      <c r="AM220" s="80">
        <v>13</v>
      </c>
      <c r="AN220" s="85" t="s">
        <v>835</v>
      </c>
      <c r="AO220" s="85" t="s">
        <v>889</v>
      </c>
      <c r="AP220" s="80" t="b">
        <v>0</v>
      </c>
      <c r="AQ220" s="85" t="s">
        <v>835</v>
      </c>
      <c r="AR220" s="80" t="s">
        <v>178</v>
      </c>
      <c r="AS220" s="80">
        <v>0</v>
      </c>
      <c r="AT220" s="80">
        <v>0</v>
      </c>
      <c r="AU220" s="80"/>
      <c r="AV220" s="80"/>
      <c r="AW220" s="80"/>
      <c r="AX220" s="80"/>
      <c r="AY220" s="80"/>
      <c r="AZ220" s="80"/>
      <c r="BA220" s="80"/>
      <c r="BB220" s="80"/>
      <c r="BC220">
        <v>1</v>
      </c>
      <c r="BD220" s="79" t="str">
        <f>REPLACE(INDEX(GroupVertices[Group],MATCH(Edges[[#This Row],[Vertex 1]],GroupVertices[Vertex],0)),1,1,"")</f>
        <v>2</v>
      </c>
      <c r="BE220" s="79" t="str">
        <f>REPLACE(INDEX(GroupVertices[Group],MATCH(Edges[[#This Row],[Vertex 2]],GroupVertices[Vertex],0)),1,1,"")</f>
        <v>2</v>
      </c>
      <c r="BF220" s="49">
        <v>0</v>
      </c>
      <c r="BG220" s="50">
        <v>0</v>
      </c>
      <c r="BH220" s="49">
        <v>0</v>
      </c>
      <c r="BI220" s="50">
        <v>0</v>
      </c>
      <c r="BJ220" s="49">
        <v>0</v>
      </c>
      <c r="BK220" s="50">
        <v>0</v>
      </c>
      <c r="BL220" s="49">
        <v>25</v>
      </c>
      <c r="BM220" s="50">
        <v>100</v>
      </c>
      <c r="BN220" s="49">
        <v>25</v>
      </c>
    </row>
    <row r="221" spans="1:66" ht="15">
      <c r="A221" s="65" t="s">
        <v>332</v>
      </c>
      <c r="B221" s="65" t="s">
        <v>332</v>
      </c>
      <c r="C221" s="66" t="s">
        <v>2698</v>
      </c>
      <c r="D221" s="67">
        <v>4</v>
      </c>
      <c r="E221" s="68" t="s">
        <v>132</v>
      </c>
      <c r="F221" s="69">
        <v>30</v>
      </c>
      <c r="G221" s="66"/>
      <c r="H221" s="70"/>
      <c r="I221" s="71"/>
      <c r="J221" s="71"/>
      <c r="K221" s="35" t="s">
        <v>65</v>
      </c>
      <c r="L221" s="78">
        <v>221</v>
      </c>
      <c r="M221" s="78"/>
      <c r="N221" s="73"/>
      <c r="O221" s="80" t="s">
        <v>178</v>
      </c>
      <c r="P221" s="82">
        <v>44460.82027777778</v>
      </c>
      <c r="Q221" s="80" t="s">
        <v>425</v>
      </c>
      <c r="R221" s="80"/>
      <c r="S221" s="80"/>
      <c r="T221" s="85" t="s">
        <v>498</v>
      </c>
      <c r="U221" s="83" t="str">
        <f>HYPERLINK("https://pbs.twimg.com/media/E_1U1pPVEAImP5O.jpg")</f>
        <v>https://pbs.twimg.com/media/E_1U1pPVEAImP5O.jpg</v>
      </c>
      <c r="V221" s="83" t="str">
        <f>HYPERLINK("https://pbs.twimg.com/media/E_1U1pPVEAImP5O.jpg")</f>
        <v>https://pbs.twimg.com/media/E_1U1pPVEAImP5O.jpg</v>
      </c>
      <c r="W221" s="82">
        <v>44460.82027777778</v>
      </c>
      <c r="X221" s="88">
        <v>44460</v>
      </c>
      <c r="Y221" s="85" t="s">
        <v>656</v>
      </c>
      <c r="Z221" s="83" t="str">
        <f>HYPERLINK("https://twitter.com/nelvaldez/status/1440400738719440904")</f>
        <v>https://twitter.com/nelvaldez/status/1440400738719440904</v>
      </c>
      <c r="AA221" s="80"/>
      <c r="AB221" s="80"/>
      <c r="AC221" s="85" t="s">
        <v>830</v>
      </c>
      <c r="AD221" s="80"/>
      <c r="AE221" s="80" t="b">
        <v>0</v>
      </c>
      <c r="AF221" s="80">
        <v>156</v>
      </c>
      <c r="AG221" s="85" t="s">
        <v>871</v>
      </c>
      <c r="AH221" s="80" t="b">
        <v>0</v>
      </c>
      <c r="AI221" s="80" t="s">
        <v>882</v>
      </c>
      <c r="AJ221" s="80"/>
      <c r="AK221" s="85" t="s">
        <v>871</v>
      </c>
      <c r="AL221" s="80" t="b">
        <v>0</v>
      </c>
      <c r="AM221" s="80">
        <v>36</v>
      </c>
      <c r="AN221" s="85" t="s">
        <v>871</v>
      </c>
      <c r="AO221" s="85" t="s">
        <v>889</v>
      </c>
      <c r="AP221" s="80" t="b">
        <v>0</v>
      </c>
      <c r="AQ221" s="85" t="s">
        <v>830</v>
      </c>
      <c r="AR221" s="80" t="s">
        <v>178</v>
      </c>
      <c r="AS221" s="80">
        <v>0</v>
      </c>
      <c r="AT221" s="80">
        <v>0</v>
      </c>
      <c r="AU221" s="80"/>
      <c r="AV221" s="80"/>
      <c r="AW221" s="80"/>
      <c r="AX221" s="80"/>
      <c r="AY221" s="80"/>
      <c r="AZ221" s="80"/>
      <c r="BA221" s="80"/>
      <c r="BB221" s="80"/>
      <c r="BC221">
        <v>1</v>
      </c>
      <c r="BD221" s="79" t="str">
        <f>REPLACE(INDEX(GroupVertices[Group],MATCH(Edges[[#This Row],[Vertex 1]],GroupVertices[Vertex],0)),1,1,"")</f>
        <v>1</v>
      </c>
      <c r="BE221" s="79" t="str">
        <f>REPLACE(INDEX(GroupVertices[Group],MATCH(Edges[[#This Row],[Vertex 2]],GroupVertices[Vertex],0)),1,1,"")</f>
        <v>1</v>
      </c>
      <c r="BF221" s="49">
        <v>0</v>
      </c>
      <c r="BG221" s="50">
        <v>0</v>
      </c>
      <c r="BH221" s="49">
        <v>0</v>
      </c>
      <c r="BI221" s="50">
        <v>0</v>
      </c>
      <c r="BJ221" s="49">
        <v>0</v>
      </c>
      <c r="BK221" s="50">
        <v>0</v>
      </c>
      <c r="BL221" s="49">
        <v>38</v>
      </c>
      <c r="BM221" s="50">
        <v>100</v>
      </c>
      <c r="BN221" s="49">
        <v>38</v>
      </c>
    </row>
    <row r="222" spans="1:66" ht="15">
      <c r="A222" s="65" t="s">
        <v>333</v>
      </c>
      <c r="B222" s="65" t="s">
        <v>332</v>
      </c>
      <c r="C222" s="66" t="s">
        <v>2698</v>
      </c>
      <c r="D222" s="67">
        <v>4</v>
      </c>
      <c r="E222" s="68" t="s">
        <v>132</v>
      </c>
      <c r="F222" s="69">
        <v>30</v>
      </c>
      <c r="G222" s="66"/>
      <c r="H222" s="70"/>
      <c r="I222" s="71"/>
      <c r="J222" s="71"/>
      <c r="K222" s="35" t="s">
        <v>65</v>
      </c>
      <c r="L222" s="78">
        <v>222</v>
      </c>
      <c r="M222" s="78"/>
      <c r="N222" s="73"/>
      <c r="O222" s="80" t="s">
        <v>383</v>
      </c>
      <c r="P222" s="82">
        <v>44461.6390625</v>
      </c>
      <c r="Q222" s="80" t="s">
        <v>425</v>
      </c>
      <c r="R222" s="80"/>
      <c r="S222" s="80"/>
      <c r="T222" s="85" t="s">
        <v>498</v>
      </c>
      <c r="U222" s="83" t="str">
        <f>HYPERLINK("https://pbs.twimg.com/media/E_1U1pPVEAImP5O.jpg")</f>
        <v>https://pbs.twimg.com/media/E_1U1pPVEAImP5O.jpg</v>
      </c>
      <c r="V222" s="83" t="str">
        <f>HYPERLINK("https://pbs.twimg.com/media/E_1U1pPVEAImP5O.jpg")</f>
        <v>https://pbs.twimg.com/media/E_1U1pPVEAImP5O.jpg</v>
      </c>
      <c r="W222" s="82">
        <v>44461.6390625</v>
      </c>
      <c r="X222" s="88">
        <v>44461</v>
      </c>
      <c r="Y222" s="85" t="s">
        <v>657</v>
      </c>
      <c r="Z222" s="83" t="str">
        <f>HYPERLINK("https://twitter.com/libraryadd/status/1440697458019889163")</f>
        <v>https://twitter.com/libraryadd/status/1440697458019889163</v>
      </c>
      <c r="AA222" s="80"/>
      <c r="AB222" s="80"/>
      <c r="AC222" s="85" t="s">
        <v>831</v>
      </c>
      <c r="AD222" s="80"/>
      <c r="AE222" s="80" t="b">
        <v>0</v>
      </c>
      <c r="AF222" s="80">
        <v>0</v>
      </c>
      <c r="AG222" s="85" t="s">
        <v>871</v>
      </c>
      <c r="AH222" s="80" t="b">
        <v>0</v>
      </c>
      <c r="AI222" s="80" t="s">
        <v>882</v>
      </c>
      <c r="AJ222" s="80"/>
      <c r="AK222" s="85" t="s">
        <v>871</v>
      </c>
      <c r="AL222" s="80" t="b">
        <v>0</v>
      </c>
      <c r="AM222" s="80">
        <v>36</v>
      </c>
      <c r="AN222" s="85" t="s">
        <v>830</v>
      </c>
      <c r="AO222" s="85" t="s">
        <v>889</v>
      </c>
      <c r="AP222" s="80" t="b">
        <v>0</v>
      </c>
      <c r="AQ222" s="85" t="s">
        <v>830</v>
      </c>
      <c r="AR222" s="80" t="s">
        <v>178</v>
      </c>
      <c r="AS222" s="80">
        <v>0</v>
      </c>
      <c r="AT222" s="80">
        <v>0</v>
      </c>
      <c r="AU222" s="80"/>
      <c r="AV222" s="80"/>
      <c r="AW222" s="80"/>
      <c r="AX222" s="80"/>
      <c r="AY222" s="80"/>
      <c r="AZ222" s="80"/>
      <c r="BA222" s="80"/>
      <c r="BB222" s="80"/>
      <c r="BC222">
        <v>1</v>
      </c>
      <c r="BD222" s="79" t="str">
        <f>REPLACE(INDEX(GroupVertices[Group],MATCH(Edges[[#This Row],[Vertex 1]],GroupVertices[Vertex],0)),1,1,"")</f>
        <v>1</v>
      </c>
      <c r="BE222" s="79" t="str">
        <f>REPLACE(INDEX(GroupVertices[Group],MATCH(Edges[[#This Row],[Vertex 2]],GroupVertices[Vertex],0)),1,1,"")</f>
        <v>1</v>
      </c>
      <c r="BF222" s="49">
        <v>0</v>
      </c>
      <c r="BG222" s="50">
        <v>0</v>
      </c>
      <c r="BH222" s="49">
        <v>0</v>
      </c>
      <c r="BI222" s="50">
        <v>0</v>
      </c>
      <c r="BJ222" s="49">
        <v>0</v>
      </c>
      <c r="BK222" s="50">
        <v>0</v>
      </c>
      <c r="BL222" s="49">
        <v>38</v>
      </c>
      <c r="BM222" s="50">
        <v>100</v>
      </c>
      <c r="BN222" s="49">
        <v>38</v>
      </c>
    </row>
    <row r="223" spans="1:66" ht="15">
      <c r="A223" s="65" t="s">
        <v>334</v>
      </c>
      <c r="B223" s="65" t="s">
        <v>339</v>
      </c>
      <c r="C223" s="66" t="s">
        <v>2698</v>
      </c>
      <c r="D223" s="67">
        <v>4</v>
      </c>
      <c r="E223" s="68" t="s">
        <v>132</v>
      </c>
      <c r="F223" s="69">
        <v>30</v>
      </c>
      <c r="G223" s="66"/>
      <c r="H223" s="70"/>
      <c r="I223" s="71"/>
      <c r="J223" s="71"/>
      <c r="K223" s="35" t="s">
        <v>65</v>
      </c>
      <c r="L223" s="78">
        <v>223</v>
      </c>
      <c r="M223" s="78"/>
      <c r="N223" s="73"/>
      <c r="O223" s="80" t="s">
        <v>383</v>
      </c>
      <c r="P223" s="82">
        <v>44461.72131944444</v>
      </c>
      <c r="Q223" s="80" t="s">
        <v>430</v>
      </c>
      <c r="R223" s="80"/>
      <c r="S223" s="80"/>
      <c r="T223" s="85" t="s">
        <v>472</v>
      </c>
      <c r="U223" s="80"/>
      <c r="V223" s="83" t="str">
        <f>HYPERLINK("https://pbs.twimg.com/profile_images/1388140533160218631/iPyqHAgQ_normal.jpg")</f>
        <v>https://pbs.twimg.com/profile_images/1388140533160218631/iPyqHAgQ_normal.jpg</v>
      </c>
      <c r="W223" s="82">
        <v>44461.72131944444</v>
      </c>
      <c r="X223" s="88">
        <v>44461</v>
      </c>
      <c r="Y223" s="85" t="s">
        <v>658</v>
      </c>
      <c r="Z223" s="83" t="str">
        <f>HYPERLINK("https://twitter.com/itelloarista/status/1440727265583632396")</f>
        <v>https://twitter.com/itelloarista/status/1440727265583632396</v>
      </c>
      <c r="AA223" s="80"/>
      <c r="AB223" s="80"/>
      <c r="AC223" s="85" t="s">
        <v>832</v>
      </c>
      <c r="AD223" s="80"/>
      <c r="AE223" s="80" t="b">
        <v>0</v>
      </c>
      <c r="AF223" s="80">
        <v>0</v>
      </c>
      <c r="AG223" s="85" t="s">
        <v>871</v>
      </c>
      <c r="AH223" s="80" t="b">
        <v>0</v>
      </c>
      <c r="AI223" s="80" t="s">
        <v>882</v>
      </c>
      <c r="AJ223" s="80"/>
      <c r="AK223" s="85" t="s">
        <v>871</v>
      </c>
      <c r="AL223" s="80" t="b">
        <v>0</v>
      </c>
      <c r="AM223" s="80">
        <v>20</v>
      </c>
      <c r="AN223" s="85" t="s">
        <v>837</v>
      </c>
      <c r="AO223" s="85" t="s">
        <v>891</v>
      </c>
      <c r="AP223" s="80" t="b">
        <v>0</v>
      </c>
      <c r="AQ223" s="85" t="s">
        <v>837</v>
      </c>
      <c r="AR223" s="80" t="s">
        <v>178</v>
      </c>
      <c r="AS223" s="80">
        <v>0</v>
      </c>
      <c r="AT223" s="80">
        <v>0</v>
      </c>
      <c r="AU223" s="80"/>
      <c r="AV223" s="80"/>
      <c r="AW223" s="80"/>
      <c r="AX223" s="80"/>
      <c r="AY223" s="80"/>
      <c r="AZ223" s="80"/>
      <c r="BA223" s="80"/>
      <c r="BB223" s="80"/>
      <c r="BC223">
        <v>1</v>
      </c>
      <c r="BD223" s="79" t="str">
        <f>REPLACE(INDEX(GroupVertices[Group],MATCH(Edges[[#This Row],[Vertex 1]],GroupVertices[Vertex],0)),1,1,"")</f>
        <v>14</v>
      </c>
      <c r="BE223" s="79" t="str">
        <f>REPLACE(INDEX(GroupVertices[Group],MATCH(Edges[[#This Row],[Vertex 2]],GroupVertices[Vertex],0)),1,1,"")</f>
        <v>14</v>
      </c>
      <c r="BF223" s="49">
        <v>0</v>
      </c>
      <c r="BG223" s="50">
        <v>0</v>
      </c>
      <c r="BH223" s="49">
        <v>0</v>
      </c>
      <c r="BI223" s="50">
        <v>0</v>
      </c>
      <c r="BJ223" s="49">
        <v>0</v>
      </c>
      <c r="BK223" s="50">
        <v>0</v>
      </c>
      <c r="BL223" s="49">
        <v>31</v>
      </c>
      <c r="BM223" s="50">
        <v>100</v>
      </c>
      <c r="BN223" s="49">
        <v>31</v>
      </c>
    </row>
    <row r="224" spans="1:66" ht="15">
      <c r="A224" s="65" t="s">
        <v>335</v>
      </c>
      <c r="B224" s="65" t="s">
        <v>368</v>
      </c>
      <c r="C224" s="66" t="s">
        <v>2698</v>
      </c>
      <c r="D224" s="67">
        <v>4</v>
      </c>
      <c r="E224" s="68" t="s">
        <v>132</v>
      </c>
      <c r="F224" s="69">
        <v>30</v>
      </c>
      <c r="G224" s="66"/>
      <c r="H224" s="70"/>
      <c r="I224" s="71"/>
      <c r="J224" s="71"/>
      <c r="K224" s="35" t="s">
        <v>65</v>
      </c>
      <c r="L224" s="78">
        <v>224</v>
      </c>
      <c r="M224" s="78"/>
      <c r="N224" s="73"/>
      <c r="O224" s="80" t="s">
        <v>382</v>
      </c>
      <c r="P224" s="82">
        <v>44461.74793981481</v>
      </c>
      <c r="Q224" s="80" t="s">
        <v>418</v>
      </c>
      <c r="R224" s="80"/>
      <c r="S224" s="80"/>
      <c r="T224" s="85" t="s">
        <v>491</v>
      </c>
      <c r="U224" s="83" t="str">
        <f>HYPERLINK("https://pbs.twimg.com/ext_tw_video_thumb/1440152056862441476/pu/img/RypVaHbX_jWL8ylr.jpg")</f>
        <v>https://pbs.twimg.com/ext_tw_video_thumb/1440152056862441476/pu/img/RypVaHbX_jWL8ylr.jpg</v>
      </c>
      <c r="V224" s="83" t="str">
        <f>HYPERLINK("https://pbs.twimg.com/ext_tw_video_thumb/1440152056862441476/pu/img/RypVaHbX_jWL8ylr.jpg")</f>
        <v>https://pbs.twimg.com/ext_tw_video_thumb/1440152056862441476/pu/img/RypVaHbX_jWL8ylr.jpg</v>
      </c>
      <c r="W224" s="82">
        <v>44461.74793981481</v>
      </c>
      <c r="X224" s="88">
        <v>44461</v>
      </c>
      <c r="Y224" s="85" t="s">
        <v>659</v>
      </c>
      <c r="Z224" s="83" t="str">
        <f>HYPERLINK("https://twitter.com/c1frankietheone/status/1440736911933337607")</f>
        <v>https://twitter.com/c1frankietheone/status/1440736911933337607</v>
      </c>
      <c r="AA224" s="80"/>
      <c r="AB224" s="80"/>
      <c r="AC224" s="85" t="s">
        <v>833</v>
      </c>
      <c r="AD224" s="80"/>
      <c r="AE224" s="80" t="b">
        <v>0</v>
      </c>
      <c r="AF224" s="80">
        <v>0</v>
      </c>
      <c r="AG224" s="85" t="s">
        <v>871</v>
      </c>
      <c r="AH224" s="80" t="b">
        <v>0</v>
      </c>
      <c r="AI224" s="80" t="s">
        <v>882</v>
      </c>
      <c r="AJ224" s="80"/>
      <c r="AK224" s="85" t="s">
        <v>871</v>
      </c>
      <c r="AL224" s="80" t="b">
        <v>0</v>
      </c>
      <c r="AM224" s="80">
        <v>13</v>
      </c>
      <c r="AN224" s="85" t="s">
        <v>835</v>
      </c>
      <c r="AO224" s="85" t="s">
        <v>889</v>
      </c>
      <c r="AP224" s="80" t="b">
        <v>0</v>
      </c>
      <c r="AQ224" s="85" t="s">
        <v>835</v>
      </c>
      <c r="AR224" s="80" t="s">
        <v>178</v>
      </c>
      <c r="AS224" s="80">
        <v>0</v>
      </c>
      <c r="AT224" s="80">
        <v>0</v>
      </c>
      <c r="AU224" s="80"/>
      <c r="AV224" s="80"/>
      <c r="AW224" s="80"/>
      <c r="AX224" s="80"/>
      <c r="AY224" s="80"/>
      <c r="AZ224" s="80"/>
      <c r="BA224" s="80"/>
      <c r="BB224" s="80"/>
      <c r="BC224">
        <v>1</v>
      </c>
      <c r="BD224" s="79" t="str">
        <f>REPLACE(INDEX(GroupVertices[Group],MATCH(Edges[[#This Row],[Vertex 1]],GroupVertices[Vertex],0)),1,1,"")</f>
        <v>2</v>
      </c>
      <c r="BE224" s="79" t="str">
        <f>REPLACE(INDEX(GroupVertices[Group],MATCH(Edges[[#This Row],[Vertex 2]],GroupVertices[Vertex],0)),1,1,"")</f>
        <v>2</v>
      </c>
      <c r="BF224" s="49"/>
      <c r="BG224" s="50"/>
      <c r="BH224" s="49"/>
      <c r="BI224" s="50"/>
      <c r="BJ224" s="49"/>
      <c r="BK224" s="50"/>
      <c r="BL224" s="49"/>
      <c r="BM224" s="50"/>
      <c r="BN224" s="49"/>
    </row>
    <row r="225" spans="1:66" ht="15">
      <c r="A225" s="65" t="s">
        <v>335</v>
      </c>
      <c r="B225" s="65" t="s">
        <v>370</v>
      </c>
      <c r="C225" s="66" t="s">
        <v>2698</v>
      </c>
      <c r="D225" s="67">
        <v>4</v>
      </c>
      <c r="E225" s="68" t="s">
        <v>132</v>
      </c>
      <c r="F225" s="69">
        <v>30</v>
      </c>
      <c r="G225" s="66"/>
      <c r="H225" s="70"/>
      <c r="I225" s="71"/>
      <c r="J225" s="71"/>
      <c r="K225" s="35" t="s">
        <v>65</v>
      </c>
      <c r="L225" s="78">
        <v>225</v>
      </c>
      <c r="M225" s="78"/>
      <c r="N225" s="73"/>
      <c r="O225" s="80" t="s">
        <v>382</v>
      </c>
      <c r="P225" s="82">
        <v>44461.74793981481</v>
      </c>
      <c r="Q225" s="80" t="s">
        <v>418</v>
      </c>
      <c r="R225" s="80"/>
      <c r="S225" s="80"/>
      <c r="T225" s="85" t="s">
        <v>491</v>
      </c>
      <c r="U225" s="83" t="str">
        <f>HYPERLINK("https://pbs.twimg.com/ext_tw_video_thumb/1440152056862441476/pu/img/RypVaHbX_jWL8ylr.jpg")</f>
        <v>https://pbs.twimg.com/ext_tw_video_thumb/1440152056862441476/pu/img/RypVaHbX_jWL8ylr.jpg</v>
      </c>
      <c r="V225" s="83" t="str">
        <f>HYPERLINK("https://pbs.twimg.com/ext_tw_video_thumb/1440152056862441476/pu/img/RypVaHbX_jWL8ylr.jpg")</f>
        <v>https://pbs.twimg.com/ext_tw_video_thumb/1440152056862441476/pu/img/RypVaHbX_jWL8ylr.jpg</v>
      </c>
      <c r="W225" s="82">
        <v>44461.74793981481</v>
      </c>
      <c r="X225" s="88">
        <v>44461</v>
      </c>
      <c r="Y225" s="85" t="s">
        <v>659</v>
      </c>
      <c r="Z225" s="83" t="str">
        <f>HYPERLINK("https://twitter.com/c1frankietheone/status/1440736911933337607")</f>
        <v>https://twitter.com/c1frankietheone/status/1440736911933337607</v>
      </c>
      <c r="AA225" s="80"/>
      <c r="AB225" s="80"/>
      <c r="AC225" s="85" t="s">
        <v>833</v>
      </c>
      <c r="AD225" s="80"/>
      <c r="AE225" s="80" t="b">
        <v>0</v>
      </c>
      <c r="AF225" s="80">
        <v>0</v>
      </c>
      <c r="AG225" s="85" t="s">
        <v>871</v>
      </c>
      <c r="AH225" s="80" t="b">
        <v>0</v>
      </c>
      <c r="AI225" s="80" t="s">
        <v>882</v>
      </c>
      <c r="AJ225" s="80"/>
      <c r="AK225" s="85" t="s">
        <v>871</v>
      </c>
      <c r="AL225" s="80" t="b">
        <v>0</v>
      </c>
      <c r="AM225" s="80">
        <v>13</v>
      </c>
      <c r="AN225" s="85" t="s">
        <v>835</v>
      </c>
      <c r="AO225" s="85" t="s">
        <v>889</v>
      </c>
      <c r="AP225" s="80" t="b">
        <v>0</v>
      </c>
      <c r="AQ225" s="85" t="s">
        <v>835</v>
      </c>
      <c r="AR225" s="80" t="s">
        <v>178</v>
      </c>
      <c r="AS225" s="80">
        <v>0</v>
      </c>
      <c r="AT225" s="80">
        <v>0</v>
      </c>
      <c r="AU225" s="80"/>
      <c r="AV225" s="80"/>
      <c r="AW225" s="80"/>
      <c r="AX225" s="80"/>
      <c r="AY225" s="80"/>
      <c r="AZ225" s="80"/>
      <c r="BA225" s="80"/>
      <c r="BB225" s="80"/>
      <c r="BC225">
        <v>1</v>
      </c>
      <c r="BD225" s="79" t="str">
        <f>REPLACE(INDEX(GroupVertices[Group],MATCH(Edges[[#This Row],[Vertex 1]],GroupVertices[Vertex],0)),1,1,"")</f>
        <v>2</v>
      </c>
      <c r="BE225" s="79" t="str">
        <f>REPLACE(INDEX(GroupVertices[Group],MATCH(Edges[[#This Row],[Vertex 2]],GroupVertices[Vertex],0)),1,1,"")</f>
        <v>2</v>
      </c>
      <c r="BF225" s="49"/>
      <c r="BG225" s="50"/>
      <c r="BH225" s="49"/>
      <c r="BI225" s="50"/>
      <c r="BJ225" s="49"/>
      <c r="BK225" s="50"/>
      <c r="BL225" s="49"/>
      <c r="BM225" s="50"/>
      <c r="BN225" s="49"/>
    </row>
    <row r="226" spans="1:66" ht="15">
      <c r="A226" s="65" t="s">
        <v>335</v>
      </c>
      <c r="B226" s="65" t="s">
        <v>337</v>
      </c>
      <c r="C226" s="66" t="s">
        <v>2698</v>
      </c>
      <c r="D226" s="67">
        <v>4</v>
      </c>
      <c r="E226" s="68" t="s">
        <v>132</v>
      </c>
      <c r="F226" s="69">
        <v>30</v>
      </c>
      <c r="G226" s="66"/>
      <c r="H226" s="70"/>
      <c r="I226" s="71"/>
      <c r="J226" s="71"/>
      <c r="K226" s="35" t="s">
        <v>65</v>
      </c>
      <c r="L226" s="78">
        <v>226</v>
      </c>
      <c r="M226" s="78"/>
      <c r="N226" s="73"/>
      <c r="O226" s="80" t="s">
        <v>383</v>
      </c>
      <c r="P226" s="82">
        <v>44461.74793981481</v>
      </c>
      <c r="Q226" s="80" t="s">
        <v>418</v>
      </c>
      <c r="R226" s="80"/>
      <c r="S226" s="80"/>
      <c r="T226" s="85" t="s">
        <v>491</v>
      </c>
      <c r="U226" s="83" t="str">
        <f>HYPERLINK("https://pbs.twimg.com/ext_tw_video_thumb/1440152056862441476/pu/img/RypVaHbX_jWL8ylr.jpg")</f>
        <v>https://pbs.twimg.com/ext_tw_video_thumb/1440152056862441476/pu/img/RypVaHbX_jWL8ylr.jpg</v>
      </c>
      <c r="V226" s="83" t="str">
        <f>HYPERLINK("https://pbs.twimg.com/ext_tw_video_thumb/1440152056862441476/pu/img/RypVaHbX_jWL8ylr.jpg")</f>
        <v>https://pbs.twimg.com/ext_tw_video_thumb/1440152056862441476/pu/img/RypVaHbX_jWL8ylr.jpg</v>
      </c>
      <c r="W226" s="82">
        <v>44461.74793981481</v>
      </c>
      <c r="X226" s="88">
        <v>44461</v>
      </c>
      <c r="Y226" s="85" t="s">
        <v>659</v>
      </c>
      <c r="Z226" s="83" t="str">
        <f>HYPERLINK("https://twitter.com/c1frankietheone/status/1440736911933337607")</f>
        <v>https://twitter.com/c1frankietheone/status/1440736911933337607</v>
      </c>
      <c r="AA226" s="80"/>
      <c r="AB226" s="80"/>
      <c r="AC226" s="85" t="s">
        <v>833</v>
      </c>
      <c r="AD226" s="80"/>
      <c r="AE226" s="80" t="b">
        <v>0</v>
      </c>
      <c r="AF226" s="80">
        <v>0</v>
      </c>
      <c r="AG226" s="85" t="s">
        <v>871</v>
      </c>
      <c r="AH226" s="80" t="b">
        <v>0</v>
      </c>
      <c r="AI226" s="80" t="s">
        <v>882</v>
      </c>
      <c r="AJ226" s="80"/>
      <c r="AK226" s="85" t="s">
        <v>871</v>
      </c>
      <c r="AL226" s="80" t="b">
        <v>0</v>
      </c>
      <c r="AM226" s="80">
        <v>13</v>
      </c>
      <c r="AN226" s="85" t="s">
        <v>835</v>
      </c>
      <c r="AO226" s="85" t="s">
        <v>889</v>
      </c>
      <c r="AP226" s="80" t="b">
        <v>0</v>
      </c>
      <c r="AQ226" s="85" t="s">
        <v>835</v>
      </c>
      <c r="AR226" s="80" t="s">
        <v>178</v>
      </c>
      <c r="AS226" s="80">
        <v>0</v>
      </c>
      <c r="AT226" s="80">
        <v>0</v>
      </c>
      <c r="AU226" s="80"/>
      <c r="AV226" s="80"/>
      <c r="AW226" s="80"/>
      <c r="AX226" s="80"/>
      <c r="AY226" s="80"/>
      <c r="AZ226" s="80"/>
      <c r="BA226" s="80"/>
      <c r="BB226" s="80"/>
      <c r="BC226">
        <v>1</v>
      </c>
      <c r="BD226" s="79" t="str">
        <f>REPLACE(INDEX(GroupVertices[Group],MATCH(Edges[[#This Row],[Vertex 1]],GroupVertices[Vertex],0)),1,1,"")</f>
        <v>2</v>
      </c>
      <c r="BE226" s="79" t="str">
        <f>REPLACE(INDEX(GroupVertices[Group],MATCH(Edges[[#This Row],[Vertex 2]],GroupVertices[Vertex],0)),1,1,"")</f>
        <v>2</v>
      </c>
      <c r="BF226" s="49">
        <v>0</v>
      </c>
      <c r="BG226" s="50">
        <v>0</v>
      </c>
      <c r="BH226" s="49">
        <v>0</v>
      </c>
      <c r="BI226" s="50">
        <v>0</v>
      </c>
      <c r="BJ226" s="49">
        <v>0</v>
      </c>
      <c r="BK226" s="50">
        <v>0</v>
      </c>
      <c r="BL226" s="49">
        <v>25</v>
      </c>
      <c r="BM226" s="50">
        <v>100</v>
      </c>
      <c r="BN226" s="49">
        <v>25</v>
      </c>
    </row>
    <row r="227" spans="1:66" ht="15">
      <c r="A227" s="65" t="s">
        <v>336</v>
      </c>
      <c r="B227" s="65" t="s">
        <v>377</v>
      </c>
      <c r="C227" s="66" t="s">
        <v>2698</v>
      </c>
      <c r="D227" s="67">
        <v>4</v>
      </c>
      <c r="E227" s="68" t="s">
        <v>132</v>
      </c>
      <c r="F227" s="69">
        <v>30</v>
      </c>
      <c r="G227" s="66"/>
      <c r="H227" s="70"/>
      <c r="I227" s="71"/>
      <c r="J227" s="71"/>
      <c r="K227" s="35" t="s">
        <v>65</v>
      </c>
      <c r="L227" s="78">
        <v>227</v>
      </c>
      <c r="M227" s="78"/>
      <c r="N227" s="73"/>
      <c r="O227" s="80" t="s">
        <v>384</v>
      </c>
      <c r="P227" s="82">
        <v>44462.06459490741</v>
      </c>
      <c r="Q227" s="80" t="s">
        <v>431</v>
      </c>
      <c r="R227" s="80"/>
      <c r="S227" s="80"/>
      <c r="T227" s="85" t="s">
        <v>502</v>
      </c>
      <c r="U227" s="80"/>
      <c r="V227" s="83" t="str">
        <f>HYPERLINK("https://pbs.twimg.com/profile_images/1322362861243518976/g_uFwOm__normal.jpg")</f>
        <v>https://pbs.twimg.com/profile_images/1322362861243518976/g_uFwOm__normal.jpg</v>
      </c>
      <c r="W227" s="82">
        <v>44462.06459490741</v>
      </c>
      <c r="X227" s="88">
        <v>44462</v>
      </c>
      <c r="Y227" s="85" t="s">
        <v>660</v>
      </c>
      <c r="Z227" s="83" t="str">
        <f>HYPERLINK("https://twitter.com/borgestom/status/1440851665301745664")</f>
        <v>https://twitter.com/borgestom/status/1440851665301745664</v>
      </c>
      <c r="AA227" s="80"/>
      <c r="AB227" s="80"/>
      <c r="AC227" s="85" t="s">
        <v>834</v>
      </c>
      <c r="AD227" s="85" t="s">
        <v>868</v>
      </c>
      <c r="AE227" s="80" t="b">
        <v>0</v>
      </c>
      <c r="AF227" s="80">
        <v>0</v>
      </c>
      <c r="AG227" s="85" t="s">
        <v>877</v>
      </c>
      <c r="AH227" s="80" t="b">
        <v>0</v>
      </c>
      <c r="AI227" s="80" t="s">
        <v>882</v>
      </c>
      <c r="AJ227" s="80"/>
      <c r="AK227" s="85" t="s">
        <v>871</v>
      </c>
      <c r="AL227" s="80" t="b">
        <v>0</v>
      </c>
      <c r="AM227" s="80">
        <v>0</v>
      </c>
      <c r="AN227" s="85" t="s">
        <v>871</v>
      </c>
      <c r="AO227" s="85" t="s">
        <v>889</v>
      </c>
      <c r="AP227" s="80" t="b">
        <v>0</v>
      </c>
      <c r="AQ227" s="85" t="s">
        <v>868</v>
      </c>
      <c r="AR227" s="80" t="s">
        <v>178</v>
      </c>
      <c r="AS227" s="80">
        <v>0</v>
      </c>
      <c r="AT227" s="80">
        <v>0</v>
      </c>
      <c r="AU227" s="80"/>
      <c r="AV227" s="80"/>
      <c r="AW227" s="80"/>
      <c r="AX227" s="80"/>
      <c r="AY227" s="80"/>
      <c r="AZ227" s="80"/>
      <c r="BA227" s="80"/>
      <c r="BB227" s="80"/>
      <c r="BC227">
        <v>1</v>
      </c>
      <c r="BD227" s="79" t="str">
        <f>REPLACE(INDEX(GroupVertices[Group],MATCH(Edges[[#This Row],[Vertex 1]],GroupVertices[Vertex],0)),1,1,"")</f>
        <v>15</v>
      </c>
      <c r="BE227" s="79" t="str">
        <f>REPLACE(INDEX(GroupVertices[Group],MATCH(Edges[[#This Row],[Vertex 2]],GroupVertices[Vertex],0)),1,1,"")</f>
        <v>15</v>
      </c>
      <c r="BF227" s="49"/>
      <c r="BG227" s="50"/>
      <c r="BH227" s="49"/>
      <c r="BI227" s="50"/>
      <c r="BJ227" s="49"/>
      <c r="BK227" s="50"/>
      <c r="BL227" s="49"/>
      <c r="BM227" s="50"/>
      <c r="BN227" s="49"/>
    </row>
    <row r="228" spans="1:66" ht="15">
      <c r="A228" s="65" t="s">
        <v>336</v>
      </c>
      <c r="B228" s="65" t="s">
        <v>378</v>
      </c>
      <c r="C228" s="66" t="s">
        <v>2698</v>
      </c>
      <c r="D228" s="67">
        <v>4</v>
      </c>
      <c r="E228" s="68" t="s">
        <v>132</v>
      </c>
      <c r="F228" s="69">
        <v>30</v>
      </c>
      <c r="G228" s="66"/>
      <c r="H228" s="70"/>
      <c r="I228" s="71"/>
      <c r="J228" s="71"/>
      <c r="K228" s="35" t="s">
        <v>65</v>
      </c>
      <c r="L228" s="78">
        <v>228</v>
      </c>
      <c r="M228" s="78"/>
      <c r="N228" s="73"/>
      <c r="O228" s="80" t="s">
        <v>385</v>
      </c>
      <c r="P228" s="82">
        <v>44462.06459490741</v>
      </c>
      <c r="Q228" s="80" t="s">
        <v>431</v>
      </c>
      <c r="R228" s="80"/>
      <c r="S228" s="80"/>
      <c r="T228" s="85" t="s">
        <v>502</v>
      </c>
      <c r="U228" s="80"/>
      <c r="V228" s="83" t="str">
        <f>HYPERLINK("https://pbs.twimg.com/profile_images/1322362861243518976/g_uFwOm__normal.jpg")</f>
        <v>https://pbs.twimg.com/profile_images/1322362861243518976/g_uFwOm__normal.jpg</v>
      </c>
      <c r="W228" s="82">
        <v>44462.06459490741</v>
      </c>
      <c r="X228" s="88">
        <v>44462</v>
      </c>
      <c r="Y228" s="85" t="s">
        <v>660</v>
      </c>
      <c r="Z228" s="83" t="str">
        <f>HYPERLINK("https://twitter.com/borgestom/status/1440851665301745664")</f>
        <v>https://twitter.com/borgestom/status/1440851665301745664</v>
      </c>
      <c r="AA228" s="80"/>
      <c r="AB228" s="80"/>
      <c r="AC228" s="85" t="s">
        <v>834</v>
      </c>
      <c r="AD228" s="85" t="s">
        <v>868</v>
      </c>
      <c r="AE228" s="80" t="b">
        <v>0</v>
      </c>
      <c r="AF228" s="80">
        <v>0</v>
      </c>
      <c r="AG228" s="85" t="s">
        <v>877</v>
      </c>
      <c r="AH228" s="80" t="b">
        <v>0</v>
      </c>
      <c r="AI228" s="80" t="s">
        <v>882</v>
      </c>
      <c r="AJ228" s="80"/>
      <c r="AK228" s="85" t="s">
        <v>871</v>
      </c>
      <c r="AL228" s="80" t="b">
        <v>0</v>
      </c>
      <c r="AM228" s="80">
        <v>0</v>
      </c>
      <c r="AN228" s="85" t="s">
        <v>871</v>
      </c>
      <c r="AO228" s="85" t="s">
        <v>889</v>
      </c>
      <c r="AP228" s="80" t="b">
        <v>0</v>
      </c>
      <c r="AQ228" s="85" t="s">
        <v>868</v>
      </c>
      <c r="AR228" s="80" t="s">
        <v>178</v>
      </c>
      <c r="AS228" s="80">
        <v>0</v>
      </c>
      <c r="AT228" s="80">
        <v>0</v>
      </c>
      <c r="AU228" s="80"/>
      <c r="AV228" s="80"/>
      <c r="AW228" s="80"/>
      <c r="AX228" s="80"/>
      <c r="AY228" s="80"/>
      <c r="AZ228" s="80"/>
      <c r="BA228" s="80"/>
      <c r="BB228" s="80"/>
      <c r="BC228">
        <v>1</v>
      </c>
      <c r="BD228" s="79" t="str">
        <f>REPLACE(INDEX(GroupVertices[Group],MATCH(Edges[[#This Row],[Vertex 1]],GroupVertices[Vertex],0)),1,1,"")</f>
        <v>15</v>
      </c>
      <c r="BE228" s="79" t="str">
        <f>REPLACE(INDEX(GroupVertices[Group],MATCH(Edges[[#This Row],[Vertex 2]],GroupVertices[Vertex],0)),1,1,"")</f>
        <v>15</v>
      </c>
      <c r="BF228" s="49">
        <v>0</v>
      </c>
      <c r="BG228" s="50">
        <v>0</v>
      </c>
      <c r="BH228" s="49">
        <v>1</v>
      </c>
      <c r="BI228" s="50">
        <v>2.0833333333333335</v>
      </c>
      <c r="BJ228" s="49">
        <v>0</v>
      </c>
      <c r="BK228" s="50">
        <v>0</v>
      </c>
      <c r="BL228" s="49">
        <v>47</v>
      </c>
      <c r="BM228" s="50">
        <v>97.91666666666667</v>
      </c>
      <c r="BN228" s="49">
        <v>48</v>
      </c>
    </row>
    <row r="229" spans="1:66" ht="15">
      <c r="A229" s="65" t="s">
        <v>337</v>
      </c>
      <c r="B229" s="65" t="s">
        <v>370</v>
      </c>
      <c r="C229" s="66" t="s">
        <v>2698</v>
      </c>
      <c r="D229" s="67">
        <v>4</v>
      </c>
      <c r="E229" s="68" t="s">
        <v>132</v>
      </c>
      <c r="F229" s="69">
        <v>30</v>
      </c>
      <c r="G229" s="66"/>
      <c r="H229" s="70"/>
      <c r="I229" s="71"/>
      <c r="J229" s="71"/>
      <c r="K229" s="35" t="s">
        <v>65</v>
      </c>
      <c r="L229" s="78">
        <v>229</v>
      </c>
      <c r="M229" s="78"/>
      <c r="N229" s="73"/>
      <c r="O229" s="80" t="s">
        <v>384</v>
      </c>
      <c r="P229" s="82">
        <v>44460.13586805556</v>
      </c>
      <c r="Q229" s="80" t="s">
        <v>418</v>
      </c>
      <c r="R229" s="80"/>
      <c r="S229" s="80"/>
      <c r="T229" s="85" t="s">
        <v>491</v>
      </c>
      <c r="U229" s="83" t="str">
        <f>HYPERLINK("https://pbs.twimg.com/ext_tw_video_thumb/1440152056862441476/pu/img/RypVaHbX_jWL8ylr.jpg")</f>
        <v>https://pbs.twimg.com/ext_tw_video_thumb/1440152056862441476/pu/img/RypVaHbX_jWL8ylr.jpg</v>
      </c>
      <c r="V229" s="83" t="str">
        <f>HYPERLINK("https://pbs.twimg.com/ext_tw_video_thumb/1440152056862441476/pu/img/RypVaHbX_jWL8ylr.jpg")</f>
        <v>https://pbs.twimg.com/ext_tw_video_thumb/1440152056862441476/pu/img/RypVaHbX_jWL8ylr.jpg</v>
      </c>
      <c r="W229" s="82">
        <v>44460.13586805556</v>
      </c>
      <c r="X229" s="88">
        <v>44460</v>
      </c>
      <c r="Y229" s="85" t="s">
        <v>661</v>
      </c>
      <c r="Z229" s="83" t="str">
        <f>HYPERLINK("https://twitter.com/alertachiapas/status/1440152719369539592")</f>
        <v>https://twitter.com/alertachiapas/status/1440152719369539592</v>
      </c>
      <c r="AA229" s="80"/>
      <c r="AB229" s="80"/>
      <c r="AC229" s="85" t="s">
        <v>835</v>
      </c>
      <c r="AD229" s="80"/>
      <c r="AE229" s="80" t="b">
        <v>0</v>
      </c>
      <c r="AF229" s="80">
        <v>32</v>
      </c>
      <c r="AG229" s="85" t="s">
        <v>871</v>
      </c>
      <c r="AH229" s="80" t="b">
        <v>0</v>
      </c>
      <c r="AI229" s="80" t="s">
        <v>882</v>
      </c>
      <c r="AJ229" s="80"/>
      <c r="AK229" s="85" t="s">
        <v>871</v>
      </c>
      <c r="AL229" s="80" t="b">
        <v>0</v>
      </c>
      <c r="AM229" s="80">
        <v>13</v>
      </c>
      <c r="AN229" s="85" t="s">
        <v>871</v>
      </c>
      <c r="AO229" s="85" t="s">
        <v>889</v>
      </c>
      <c r="AP229" s="80" t="b">
        <v>0</v>
      </c>
      <c r="AQ229" s="85" t="s">
        <v>835</v>
      </c>
      <c r="AR229" s="80" t="s">
        <v>178</v>
      </c>
      <c r="AS229" s="80">
        <v>0</v>
      </c>
      <c r="AT229" s="80">
        <v>0</v>
      </c>
      <c r="AU229" s="80"/>
      <c r="AV229" s="80"/>
      <c r="AW229" s="80"/>
      <c r="AX229" s="80"/>
      <c r="AY229" s="80"/>
      <c r="AZ229" s="80"/>
      <c r="BA229" s="80"/>
      <c r="BB229" s="80"/>
      <c r="BC229">
        <v>1</v>
      </c>
      <c r="BD229" s="79" t="str">
        <f>REPLACE(INDEX(GroupVertices[Group],MATCH(Edges[[#This Row],[Vertex 1]],GroupVertices[Vertex],0)),1,1,"")</f>
        <v>2</v>
      </c>
      <c r="BE229" s="79" t="str">
        <f>REPLACE(INDEX(GroupVertices[Group],MATCH(Edges[[#This Row],[Vertex 2]],GroupVertices[Vertex],0)),1,1,"")</f>
        <v>2</v>
      </c>
      <c r="BF229" s="49"/>
      <c r="BG229" s="50"/>
      <c r="BH229" s="49"/>
      <c r="BI229" s="50"/>
      <c r="BJ229" s="49"/>
      <c r="BK229" s="50"/>
      <c r="BL229" s="49"/>
      <c r="BM229" s="50"/>
      <c r="BN229" s="49"/>
    </row>
    <row r="230" spans="1:66" ht="15">
      <c r="A230" s="65" t="s">
        <v>338</v>
      </c>
      <c r="B230" s="65" t="s">
        <v>370</v>
      </c>
      <c r="C230" s="66" t="s">
        <v>2698</v>
      </c>
      <c r="D230" s="67">
        <v>4</v>
      </c>
      <c r="E230" s="68" t="s">
        <v>132</v>
      </c>
      <c r="F230" s="69">
        <v>30</v>
      </c>
      <c r="G230" s="66"/>
      <c r="H230" s="70"/>
      <c r="I230" s="71"/>
      <c r="J230" s="71"/>
      <c r="K230" s="35" t="s">
        <v>65</v>
      </c>
      <c r="L230" s="78">
        <v>230</v>
      </c>
      <c r="M230" s="78"/>
      <c r="N230" s="73"/>
      <c r="O230" s="80" t="s">
        <v>382</v>
      </c>
      <c r="P230" s="82">
        <v>44462.11528935185</v>
      </c>
      <c r="Q230" s="80" t="s">
        <v>418</v>
      </c>
      <c r="R230" s="80"/>
      <c r="S230" s="80"/>
      <c r="T230" s="85" t="s">
        <v>491</v>
      </c>
      <c r="U230" s="83" t="str">
        <f>HYPERLINK("https://pbs.twimg.com/ext_tw_video_thumb/1440152056862441476/pu/img/RypVaHbX_jWL8ylr.jpg")</f>
        <v>https://pbs.twimg.com/ext_tw_video_thumb/1440152056862441476/pu/img/RypVaHbX_jWL8ylr.jpg</v>
      </c>
      <c r="V230" s="83" t="str">
        <f>HYPERLINK("https://pbs.twimg.com/ext_tw_video_thumb/1440152056862441476/pu/img/RypVaHbX_jWL8ylr.jpg")</f>
        <v>https://pbs.twimg.com/ext_tw_video_thumb/1440152056862441476/pu/img/RypVaHbX_jWL8ylr.jpg</v>
      </c>
      <c r="W230" s="82">
        <v>44462.11528935185</v>
      </c>
      <c r="X230" s="88">
        <v>44462</v>
      </c>
      <c r="Y230" s="85" t="s">
        <v>662</v>
      </c>
      <c r="Z230" s="83" t="str">
        <f>HYPERLINK("https://twitter.com/atzihualibre/status/1440870038110720002")</f>
        <v>https://twitter.com/atzihualibre/status/1440870038110720002</v>
      </c>
      <c r="AA230" s="80"/>
      <c r="AB230" s="80"/>
      <c r="AC230" s="85" t="s">
        <v>836</v>
      </c>
      <c r="AD230" s="80"/>
      <c r="AE230" s="80" t="b">
        <v>0</v>
      </c>
      <c r="AF230" s="80">
        <v>0</v>
      </c>
      <c r="AG230" s="85" t="s">
        <v>871</v>
      </c>
      <c r="AH230" s="80" t="b">
        <v>0</v>
      </c>
      <c r="AI230" s="80" t="s">
        <v>882</v>
      </c>
      <c r="AJ230" s="80"/>
      <c r="AK230" s="85" t="s">
        <v>871</v>
      </c>
      <c r="AL230" s="80" t="b">
        <v>0</v>
      </c>
      <c r="AM230" s="80">
        <v>13</v>
      </c>
      <c r="AN230" s="85" t="s">
        <v>835</v>
      </c>
      <c r="AO230" s="85" t="s">
        <v>889</v>
      </c>
      <c r="AP230" s="80" t="b">
        <v>0</v>
      </c>
      <c r="AQ230" s="85" t="s">
        <v>835</v>
      </c>
      <c r="AR230" s="80" t="s">
        <v>178</v>
      </c>
      <c r="AS230" s="80">
        <v>0</v>
      </c>
      <c r="AT230" s="80">
        <v>0</v>
      </c>
      <c r="AU230" s="80"/>
      <c r="AV230" s="80"/>
      <c r="AW230" s="80"/>
      <c r="AX230" s="80"/>
      <c r="AY230" s="80"/>
      <c r="AZ230" s="80"/>
      <c r="BA230" s="80"/>
      <c r="BB230" s="80"/>
      <c r="BC230">
        <v>1</v>
      </c>
      <c r="BD230" s="79" t="str">
        <f>REPLACE(INDEX(GroupVertices[Group],MATCH(Edges[[#This Row],[Vertex 1]],GroupVertices[Vertex],0)),1,1,"")</f>
        <v>2</v>
      </c>
      <c r="BE230" s="79" t="str">
        <f>REPLACE(INDEX(GroupVertices[Group],MATCH(Edges[[#This Row],[Vertex 2]],GroupVertices[Vertex],0)),1,1,"")</f>
        <v>2</v>
      </c>
      <c r="BF230" s="49"/>
      <c r="BG230" s="50"/>
      <c r="BH230" s="49"/>
      <c r="BI230" s="50"/>
      <c r="BJ230" s="49"/>
      <c r="BK230" s="50"/>
      <c r="BL230" s="49"/>
      <c r="BM230" s="50"/>
      <c r="BN230" s="49"/>
    </row>
    <row r="231" spans="1:66" ht="15">
      <c r="A231" s="65" t="s">
        <v>337</v>
      </c>
      <c r="B231" s="65" t="s">
        <v>368</v>
      </c>
      <c r="C231" s="66" t="s">
        <v>2698</v>
      </c>
      <c r="D231" s="67">
        <v>4</v>
      </c>
      <c r="E231" s="68" t="s">
        <v>132</v>
      </c>
      <c r="F231" s="69">
        <v>30</v>
      </c>
      <c r="G231" s="66"/>
      <c r="H231" s="70"/>
      <c r="I231" s="71"/>
      <c r="J231" s="71"/>
      <c r="K231" s="35" t="s">
        <v>65</v>
      </c>
      <c r="L231" s="78">
        <v>231</v>
      </c>
      <c r="M231" s="78"/>
      <c r="N231" s="73"/>
      <c r="O231" s="80" t="s">
        <v>384</v>
      </c>
      <c r="P231" s="82">
        <v>44460.13586805556</v>
      </c>
      <c r="Q231" s="80" t="s">
        <v>418</v>
      </c>
      <c r="R231" s="80"/>
      <c r="S231" s="80"/>
      <c r="T231" s="85" t="s">
        <v>491</v>
      </c>
      <c r="U231" s="83" t="str">
        <f>HYPERLINK("https://pbs.twimg.com/ext_tw_video_thumb/1440152056862441476/pu/img/RypVaHbX_jWL8ylr.jpg")</f>
        <v>https://pbs.twimg.com/ext_tw_video_thumb/1440152056862441476/pu/img/RypVaHbX_jWL8ylr.jpg</v>
      </c>
      <c r="V231" s="83" t="str">
        <f>HYPERLINK("https://pbs.twimg.com/ext_tw_video_thumb/1440152056862441476/pu/img/RypVaHbX_jWL8ylr.jpg")</f>
        <v>https://pbs.twimg.com/ext_tw_video_thumb/1440152056862441476/pu/img/RypVaHbX_jWL8ylr.jpg</v>
      </c>
      <c r="W231" s="82">
        <v>44460.13586805556</v>
      </c>
      <c r="X231" s="88">
        <v>44460</v>
      </c>
      <c r="Y231" s="85" t="s">
        <v>661</v>
      </c>
      <c r="Z231" s="83" t="str">
        <f>HYPERLINK("https://twitter.com/alertachiapas/status/1440152719369539592")</f>
        <v>https://twitter.com/alertachiapas/status/1440152719369539592</v>
      </c>
      <c r="AA231" s="80"/>
      <c r="AB231" s="80"/>
      <c r="AC231" s="85" t="s">
        <v>835</v>
      </c>
      <c r="AD231" s="80"/>
      <c r="AE231" s="80" t="b">
        <v>0</v>
      </c>
      <c r="AF231" s="80">
        <v>32</v>
      </c>
      <c r="AG231" s="85" t="s">
        <v>871</v>
      </c>
      <c r="AH231" s="80" t="b">
        <v>0</v>
      </c>
      <c r="AI231" s="80" t="s">
        <v>882</v>
      </c>
      <c r="AJ231" s="80"/>
      <c r="AK231" s="85" t="s">
        <v>871</v>
      </c>
      <c r="AL231" s="80" t="b">
        <v>0</v>
      </c>
      <c r="AM231" s="80">
        <v>13</v>
      </c>
      <c r="AN231" s="85" t="s">
        <v>871</v>
      </c>
      <c r="AO231" s="85" t="s">
        <v>889</v>
      </c>
      <c r="AP231" s="80" t="b">
        <v>0</v>
      </c>
      <c r="AQ231" s="85" t="s">
        <v>835</v>
      </c>
      <c r="AR231" s="80" t="s">
        <v>178</v>
      </c>
      <c r="AS231" s="80">
        <v>0</v>
      </c>
      <c r="AT231" s="80">
        <v>0</v>
      </c>
      <c r="AU231" s="80"/>
      <c r="AV231" s="80"/>
      <c r="AW231" s="80"/>
      <c r="AX231" s="80"/>
      <c r="AY231" s="80"/>
      <c r="AZ231" s="80"/>
      <c r="BA231" s="80"/>
      <c r="BB231" s="80"/>
      <c r="BC231">
        <v>1</v>
      </c>
      <c r="BD231" s="79" t="str">
        <f>REPLACE(INDEX(GroupVertices[Group],MATCH(Edges[[#This Row],[Vertex 1]],GroupVertices[Vertex],0)),1,1,"")</f>
        <v>2</v>
      </c>
      <c r="BE231" s="79" t="str">
        <f>REPLACE(INDEX(GroupVertices[Group],MATCH(Edges[[#This Row],[Vertex 2]],GroupVertices[Vertex],0)),1,1,"")</f>
        <v>2</v>
      </c>
      <c r="BF231" s="49">
        <v>0</v>
      </c>
      <c r="BG231" s="50">
        <v>0</v>
      </c>
      <c r="BH231" s="49">
        <v>0</v>
      </c>
      <c r="BI231" s="50">
        <v>0</v>
      </c>
      <c r="BJ231" s="49">
        <v>0</v>
      </c>
      <c r="BK231" s="50">
        <v>0</v>
      </c>
      <c r="BL231" s="49">
        <v>25</v>
      </c>
      <c r="BM231" s="50">
        <v>100</v>
      </c>
      <c r="BN231" s="49">
        <v>25</v>
      </c>
    </row>
    <row r="232" spans="1:66" ht="15">
      <c r="A232" s="65" t="s">
        <v>338</v>
      </c>
      <c r="B232" s="65" t="s">
        <v>337</v>
      </c>
      <c r="C232" s="66" t="s">
        <v>2698</v>
      </c>
      <c r="D232" s="67">
        <v>4</v>
      </c>
      <c r="E232" s="68" t="s">
        <v>132</v>
      </c>
      <c r="F232" s="69">
        <v>30</v>
      </c>
      <c r="G232" s="66"/>
      <c r="H232" s="70"/>
      <c r="I232" s="71"/>
      <c r="J232" s="71"/>
      <c r="K232" s="35" t="s">
        <v>65</v>
      </c>
      <c r="L232" s="78">
        <v>232</v>
      </c>
      <c r="M232" s="78"/>
      <c r="N232" s="73"/>
      <c r="O232" s="80" t="s">
        <v>383</v>
      </c>
      <c r="P232" s="82">
        <v>44462.11528935185</v>
      </c>
      <c r="Q232" s="80" t="s">
        <v>418</v>
      </c>
      <c r="R232" s="80"/>
      <c r="S232" s="80"/>
      <c r="T232" s="85" t="s">
        <v>491</v>
      </c>
      <c r="U232" s="83" t="str">
        <f>HYPERLINK("https://pbs.twimg.com/ext_tw_video_thumb/1440152056862441476/pu/img/RypVaHbX_jWL8ylr.jpg")</f>
        <v>https://pbs.twimg.com/ext_tw_video_thumb/1440152056862441476/pu/img/RypVaHbX_jWL8ylr.jpg</v>
      </c>
      <c r="V232" s="83" t="str">
        <f>HYPERLINK("https://pbs.twimg.com/ext_tw_video_thumb/1440152056862441476/pu/img/RypVaHbX_jWL8ylr.jpg")</f>
        <v>https://pbs.twimg.com/ext_tw_video_thumb/1440152056862441476/pu/img/RypVaHbX_jWL8ylr.jpg</v>
      </c>
      <c r="W232" s="82">
        <v>44462.11528935185</v>
      </c>
      <c r="X232" s="88">
        <v>44462</v>
      </c>
      <c r="Y232" s="85" t="s">
        <v>662</v>
      </c>
      <c r="Z232" s="83" t="str">
        <f>HYPERLINK("https://twitter.com/atzihualibre/status/1440870038110720002")</f>
        <v>https://twitter.com/atzihualibre/status/1440870038110720002</v>
      </c>
      <c r="AA232" s="80"/>
      <c r="AB232" s="80"/>
      <c r="AC232" s="85" t="s">
        <v>836</v>
      </c>
      <c r="AD232" s="80"/>
      <c r="AE232" s="80" t="b">
        <v>0</v>
      </c>
      <c r="AF232" s="80">
        <v>0</v>
      </c>
      <c r="AG232" s="85" t="s">
        <v>871</v>
      </c>
      <c r="AH232" s="80" t="b">
        <v>0</v>
      </c>
      <c r="AI232" s="80" t="s">
        <v>882</v>
      </c>
      <c r="AJ232" s="80"/>
      <c r="AK232" s="85" t="s">
        <v>871</v>
      </c>
      <c r="AL232" s="80" t="b">
        <v>0</v>
      </c>
      <c r="AM232" s="80">
        <v>13</v>
      </c>
      <c r="AN232" s="85" t="s">
        <v>835</v>
      </c>
      <c r="AO232" s="85" t="s">
        <v>889</v>
      </c>
      <c r="AP232" s="80" t="b">
        <v>0</v>
      </c>
      <c r="AQ232" s="85" t="s">
        <v>835</v>
      </c>
      <c r="AR232" s="80" t="s">
        <v>178</v>
      </c>
      <c r="AS232" s="80">
        <v>0</v>
      </c>
      <c r="AT232" s="80">
        <v>0</v>
      </c>
      <c r="AU232" s="80"/>
      <c r="AV232" s="80"/>
      <c r="AW232" s="80"/>
      <c r="AX232" s="80"/>
      <c r="AY232" s="80"/>
      <c r="AZ232" s="80"/>
      <c r="BA232" s="80"/>
      <c r="BB232" s="80"/>
      <c r="BC232">
        <v>1</v>
      </c>
      <c r="BD232" s="79" t="str">
        <f>REPLACE(INDEX(GroupVertices[Group],MATCH(Edges[[#This Row],[Vertex 1]],GroupVertices[Vertex],0)),1,1,"")</f>
        <v>2</v>
      </c>
      <c r="BE232" s="79" t="str">
        <f>REPLACE(INDEX(GroupVertices[Group],MATCH(Edges[[#This Row],[Vertex 2]],GroupVertices[Vertex],0)),1,1,"")</f>
        <v>2</v>
      </c>
      <c r="BF232" s="49"/>
      <c r="BG232" s="50"/>
      <c r="BH232" s="49"/>
      <c r="BI232" s="50"/>
      <c r="BJ232" s="49"/>
      <c r="BK232" s="50"/>
      <c r="BL232" s="49"/>
      <c r="BM232" s="50"/>
      <c r="BN232" s="49"/>
    </row>
    <row r="233" spans="1:66" ht="15">
      <c r="A233" s="65" t="s">
        <v>338</v>
      </c>
      <c r="B233" s="65" t="s">
        <v>368</v>
      </c>
      <c r="C233" s="66" t="s">
        <v>2698</v>
      </c>
      <c r="D233" s="67">
        <v>4</v>
      </c>
      <c r="E233" s="68" t="s">
        <v>132</v>
      </c>
      <c r="F233" s="69">
        <v>30</v>
      </c>
      <c r="G233" s="66"/>
      <c r="H233" s="70"/>
      <c r="I233" s="71"/>
      <c r="J233" s="71"/>
      <c r="K233" s="35" t="s">
        <v>65</v>
      </c>
      <c r="L233" s="78">
        <v>233</v>
      </c>
      <c r="M233" s="78"/>
      <c r="N233" s="73"/>
      <c r="O233" s="80" t="s">
        <v>382</v>
      </c>
      <c r="P233" s="82">
        <v>44462.11528935185</v>
      </c>
      <c r="Q233" s="80" t="s">
        <v>418</v>
      </c>
      <c r="R233" s="80"/>
      <c r="S233" s="80"/>
      <c r="T233" s="85" t="s">
        <v>491</v>
      </c>
      <c r="U233" s="83" t="str">
        <f>HYPERLINK("https://pbs.twimg.com/ext_tw_video_thumb/1440152056862441476/pu/img/RypVaHbX_jWL8ylr.jpg")</f>
        <v>https://pbs.twimg.com/ext_tw_video_thumb/1440152056862441476/pu/img/RypVaHbX_jWL8ylr.jpg</v>
      </c>
      <c r="V233" s="83" t="str">
        <f>HYPERLINK("https://pbs.twimg.com/ext_tw_video_thumb/1440152056862441476/pu/img/RypVaHbX_jWL8ylr.jpg")</f>
        <v>https://pbs.twimg.com/ext_tw_video_thumb/1440152056862441476/pu/img/RypVaHbX_jWL8ylr.jpg</v>
      </c>
      <c r="W233" s="82">
        <v>44462.11528935185</v>
      </c>
      <c r="X233" s="88">
        <v>44462</v>
      </c>
      <c r="Y233" s="85" t="s">
        <v>662</v>
      </c>
      <c r="Z233" s="83" t="str">
        <f>HYPERLINK("https://twitter.com/atzihualibre/status/1440870038110720002")</f>
        <v>https://twitter.com/atzihualibre/status/1440870038110720002</v>
      </c>
      <c r="AA233" s="80"/>
      <c r="AB233" s="80"/>
      <c r="AC233" s="85" t="s">
        <v>836</v>
      </c>
      <c r="AD233" s="80"/>
      <c r="AE233" s="80" t="b">
        <v>0</v>
      </c>
      <c r="AF233" s="80">
        <v>0</v>
      </c>
      <c r="AG233" s="85" t="s">
        <v>871</v>
      </c>
      <c r="AH233" s="80" t="b">
        <v>0</v>
      </c>
      <c r="AI233" s="80" t="s">
        <v>882</v>
      </c>
      <c r="AJ233" s="80"/>
      <c r="AK233" s="85" t="s">
        <v>871</v>
      </c>
      <c r="AL233" s="80" t="b">
        <v>0</v>
      </c>
      <c r="AM233" s="80">
        <v>13</v>
      </c>
      <c r="AN233" s="85" t="s">
        <v>835</v>
      </c>
      <c r="AO233" s="85" t="s">
        <v>889</v>
      </c>
      <c r="AP233" s="80" t="b">
        <v>0</v>
      </c>
      <c r="AQ233" s="85" t="s">
        <v>835</v>
      </c>
      <c r="AR233" s="80" t="s">
        <v>178</v>
      </c>
      <c r="AS233" s="80">
        <v>0</v>
      </c>
      <c r="AT233" s="80">
        <v>0</v>
      </c>
      <c r="AU233" s="80"/>
      <c r="AV233" s="80"/>
      <c r="AW233" s="80"/>
      <c r="AX233" s="80"/>
      <c r="AY233" s="80"/>
      <c r="AZ233" s="80"/>
      <c r="BA233" s="80"/>
      <c r="BB233" s="80"/>
      <c r="BC233">
        <v>1</v>
      </c>
      <c r="BD233" s="79" t="str">
        <f>REPLACE(INDEX(GroupVertices[Group],MATCH(Edges[[#This Row],[Vertex 1]],GroupVertices[Vertex],0)),1,1,"")</f>
        <v>2</v>
      </c>
      <c r="BE233" s="79" t="str">
        <f>REPLACE(INDEX(GroupVertices[Group],MATCH(Edges[[#This Row],[Vertex 2]],GroupVertices[Vertex],0)),1,1,"")</f>
        <v>2</v>
      </c>
      <c r="BF233" s="49">
        <v>0</v>
      </c>
      <c r="BG233" s="50">
        <v>0</v>
      </c>
      <c r="BH233" s="49">
        <v>0</v>
      </c>
      <c r="BI233" s="50">
        <v>0</v>
      </c>
      <c r="BJ233" s="49">
        <v>0</v>
      </c>
      <c r="BK233" s="50">
        <v>0</v>
      </c>
      <c r="BL233" s="49">
        <v>25</v>
      </c>
      <c r="BM233" s="50">
        <v>100</v>
      </c>
      <c r="BN233" s="49">
        <v>25</v>
      </c>
    </row>
    <row r="234" spans="1:66" ht="15">
      <c r="A234" s="65" t="s">
        <v>339</v>
      </c>
      <c r="B234" s="65" t="s">
        <v>339</v>
      </c>
      <c r="C234" s="66" t="s">
        <v>2698</v>
      </c>
      <c r="D234" s="67">
        <v>4</v>
      </c>
      <c r="E234" s="68" t="s">
        <v>132</v>
      </c>
      <c r="F234" s="69">
        <v>30</v>
      </c>
      <c r="G234" s="66"/>
      <c r="H234" s="70"/>
      <c r="I234" s="71"/>
      <c r="J234" s="71"/>
      <c r="K234" s="35" t="s">
        <v>65</v>
      </c>
      <c r="L234" s="78">
        <v>234</v>
      </c>
      <c r="M234" s="78"/>
      <c r="N234" s="73"/>
      <c r="O234" s="80" t="s">
        <v>178</v>
      </c>
      <c r="P234" s="82">
        <v>43395.89289351852</v>
      </c>
      <c r="Q234" s="80" t="s">
        <v>430</v>
      </c>
      <c r="R234" s="80"/>
      <c r="S234" s="80"/>
      <c r="T234" s="85" t="s">
        <v>472</v>
      </c>
      <c r="U234" s="80"/>
      <c r="V234" s="83" t="str">
        <f>HYPERLINK("https://pbs.twimg.com/profile_images/1392263503667417090/vvQ5zVr__normal.jpg")</f>
        <v>https://pbs.twimg.com/profile_images/1392263503667417090/vvQ5zVr__normal.jpg</v>
      </c>
      <c r="W234" s="82">
        <v>43395.89289351852</v>
      </c>
      <c r="X234" s="88">
        <v>43395</v>
      </c>
      <c r="Y234" s="85" t="s">
        <v>663</v>
      </c>
      <c r="Z234" s="83" t="str">
        <f>HYPERLINK("https://twitter.com/elbagutierrez/status/1054483977690640385")</f>
        <v>https://twitter.com/elbagutierrez/status/1054483977690640385</v>
      </c>
      <c r="AA234" s="80"/>
      <c r="AB234" s="80"/>
      <c r="AC234" s="85" t="s">
        <v>837</v>
      </c>
      <c r="AD234" s="80"/>
      <c r="AE234" s="80" t="b">
        <v>0</v>
      </c>
      <c r="AF234" s="80">
        <v>33</v>
      </c>
      <c r="AG234" s="85" t="s">
        <v>871</v>
      </c>
      <c r="AH234" s="80" t="b">
        <v>0</v>
      </c>
      <c r="AI234" s="80" t="s">
        <v>882</v>
      </c>
      <c r="AJ234" s="80"/>
      <c r="AK234" s="85" t="s">
        <v>871</v>
      </c>
      <c r="AL234" s="80" t="b">
        <v>0</v>
      </c>
      <c r="AM234" s="80">
        <v>20</v>
      </c>
      <c r="AN234" s="85" t="s">
        <v>871</v>
      </c>
      <c r="AO234" s="85" t="s">
        <v>896</v>
      </c>
      <c r="AP234" s="80" t="b">
        <v>0</v>
      </c>
      <c r="AQ234" s="85" t="s">
        <v>837</v>
      </c>
      <c r="AR234" s="80" t="s">
        <v>383</v>
      </c>
      <c r="AS234" s="80">
        <v>0</v>
      </c>
      <c r="AT234" s="80">
        <v>0</v>
      </c>
      <c r="AU234" s="80"/>
      <c r="AV234" s="80"/>
      <c r="AW234" s="80"/>
      <c r="AX234" s="80"/>
      <c r="AY234" s="80"/>
      <c r="AZ234" s="80"/>
      <c r="BA234" s="80"/>
      <c r="BB234" s="80"/>
      <c r="BC234">
        <v>1</v>
      </c>
      <c r="BD234" s="79" t="str">
        <f>REPLACE(INDEX(GroupVertices[Group],MATCH(Edges[[#This Row],[Vertex 1]],GroupVertices[Vertex],0)),1,1,"")</f>
        <v>14</v>
      </c>
      <c r="BE234" s="79" t="str">
        <f>REPLACE(INDEX(GroupVertices[Group],MATCH(Edges[[#This Row],[Vertex 2]],GroupVertices[Vertex],0)),1,1,"")</f>
        <v>14</v>
      </c>
      <c r="BF234" s="49">
        <v>0</v>
      </c>
      <c r="BG234" s="50">
        <v>0</v>
      </c>
      <c r="BH234" s="49">
        <v>0</v>
      </c>
      <c r="BI234" s="50">
        <v>0</v>
      </c>
      <c r="BJ234" s="49">
        <v>0</v>
      </c>
      <c r="BK234" s="50">
        <v>0</v>
      </c>
      <c r="BL234" s="49">
        <v>31</v>
      </c>
      <c r="BM234" s="50">
        <v>100</v>
      </c>
      <c r="BN234" s="49">
        <v>31</v>
      </c>
    </row>
    <row r="235" spans="1:66" ht="15">
      <c r="A235" s="65" t="s">
        <v>340</v>
      </c>
      <c r="B235" s="65" t="s">
        <v>339</v>
      </c>
      <c r="C235" s="66" t="s">
        <v>2698</v>
      </c>
      <c r="D235" s="67">
        <v>4</v>
      </c>
      <c r="E235" s="68" t="s">
        <v>132</v>
      </c>
      <c r="F235" s="69">
        <v>30</v>
      </c>
      <c r="G235" s="66"/>
      <c r="H235" s="70"/>
      <c r="I235" s="71"/>
      <c r="J235" s="71"/>
      <c r="K235" s="35" t="s">
        <v>65</v>
      </c>
      <c r="L235" s="78">
        <v>235</v>
      </c>
      <c r="M235" s="78"/>
      <c r="N235" s="73"/>
      <c r="O235" s="80" t="s">
        <v>383</v>
      </c>
      <c r="P235" s="82">
        <v>44462.12925925926</v>
      </c>
      <c r="Q235" s="80" t="s">
        <v>430</v>
      </c>
      <c r="R235" s="80"/>
      <c r="S235" s="80"/>
      <c r="T235" s="85" t="s">
        <v>472</v>
      </c>
      <c r="U235" s="80"/>
      <c r="V235" s="83" t="str">
        <f>HYPERLINK("https://pbs.twimg.com/profile_images/595768275432247296/7WbpMJpl_normal.jpg")</f>
        <v>https://pbs.twimg.com/profile_images/595768275432247296/7WbpMJpl_normal.jpg</v>
      </c>
      <c r="W235" s="82">
        <v>44462.12925925926</v>
      </c>
      <c r="X235" s="88">
        <v>44462</v>
      </c>
      <c r="Y235" s="85" t="s">
        <v>664</v>
      </c>
      <c r="Z235" s="83" t="str">
        <f>HYPERLINK("https://twitter.com/jorgeluisveve/status/1440875098643251200")</f>
        <v>https://twitter.com/jorgeluisveve/status/1440875098643251200</v>
      </c>
      <c r="AA235" s="80"/>
      <c r="AB235" s="80"/>
      <c r="AC235" s="85" t="s">
        <v>838</v>
      </c>
      <c r="AD235" s="80"/>
      <c r="AE235" s="80" t="b">
        <v>0</v>
      </c>
      <c r="AF235" s="80">
        <v>0</v>
      </c>
      <c r="AG235" s="85" t="s">
        <v>871</v>
      </c>
      <c r="AH235" s="80" t="b">
        <v>0</v>
      </c>
      <c r="AI235" s="80" t="s">
        <v>882</v>
      </c>
      <c r="AJ235" s="80"/>
      <c r="AK235" s="85" t="s">
        <v>871</v>
      </c>
      <c r="AL235" s="80" t="b">
        <v>0</v>
      </c>
      <c r="AM235" s="80">
        <v>20</v>
      </c>
      <c r="AN235" s="85" t="s">
        <v>837</v>
      </c>
      <c r="AO235" s="85" t="s">
        <v>889</v>
      </c>
      <c r="AP235" s="80" t="b">
        <v>0</v>
      </c>
      <c r="AQ235" s="85" t="s">
        <v>837</v>
      </c>
      <c r="AR235" s="80" t="s">
        <v>178</v>
      </c>
      <c r="AS235" s="80">
        <v>0</v>
      </c>
      <c r="AT235" s="80">
        <v>0</v>
      </c>
      <c r="AU235" s="80"/>
      <c r="AV235" s="80"/>
      <c r="AW235" s="80"/>
      <c r="AX235" s="80"/>
      <c r="AY235" s="80"/>
      <c r="AZ235" s="80"/>
      <c r="BA235" s="80"/>
      <c r="BB235" s="80"/>
      <c r="BC235">
        <v>1</v>
      </c>
      <c r="BD235" s="79" t="str">
        <f>REPLACE(INDEX(GroupVertices[Group],MATCH(Edges[[#This Row],[Vertex 1]],GroupVertices[Vertex],0)),1,1,"")</f>
        <v>14</v>
      </c>
      <c r="BE235" s="79" t="str">
        <f>REPLACE(INDEX(GroupVertices[Group],MATCH(Edges[[#This Row],[Vertex 2]],GroupVertices[Vertex],0)),1,1,"")</f>
        <v>14</v>
      </c>
      <c r="BF235" s="49">
        <v>0</v>
      </c>
      <c r="BG235" s="50">
        <v>0</v>
      </c>
      <c r="BH235" s="49">
        <v>0</v>
      </c>
      <c r="BI235" s="50">
        <v>0</v>
      </c>
      <c r="BJ235" s="49">
        <v>0</v>
      </c>
      <c r="BK235" s="50">
        <v>0</v>
      </c>
      <c r="BL235" s="49">
        <v>31</v>
      </c>
      <c r="BM235" s="50">
        <v>100</v>
      </c>
      <c r="BN235" s="49">
        <v>31</v>
      </c>
    </row>
    <row r="236" spans="1:66" ht="15">
      <c r="A236" s="65" t="s">
        <v>341</v>
      </c>
      <c r="B236" s="65" t="s">
        <v>363</v>
      </c>
      <c r="C236" s="66" t="s">
        <v>2698</v>
      </c>
      <c r="D236" s="67">
        <v>4</v>
      </c>
      <c r="E236" s="68" t="s">
        <v>132</v>
      </c>
      <c r="F236" s="69">
        <v>30</v>
      </c>
      <c r="G236" s="66"/>
      <c r="H236" s="70"/>
      <c r="I236" s="71"/>
      <c r="J236" s="71"/>
      <c r="K236" s="35" t="s">
        <v>65</v>
      </c>
      <c r="L236" s="78">
        <v>236</v>
      </c>
      <c r="M236" s="78"/>
      <c r="N236" s="73"/>
      <c r="O236" s="80" t="s">
        <v>384</v>
      </c>
      <c r="P236" s="82">
        <v>44437.723495370374</v>
      </c>
      <c r="Q236" s="80" t="s">
        <v>432</v>
      </c>
      <c r="R236" s="80"/>
      <c r="S236" s="80"/>
      <c r="T236" s="85" t="s">
        <v>503</v>
      </c>
      <c r="U236" s="83" t="str">
        <f>HYPERLINK("https://pbs.twimg.com/ext_tw_video_thumb/1432030611888349192/pu/img/MTbA1AjcWlX-SCUO.jpg")</f>
        <v>https://pbs.twimg.com/ext_tw_video_thumb/1432030611888349192/pu/img/MTbA1AjcWlX-SCUO.jpg</v>
      </c>
      <c r="V236" s="83" t="str">
        <f>HYPERLINK("https://pbs.twimg.com/ext_tw_video_thumb/1432030611888349192/pu/img/MTbA1AjcWlX-SCUO.jpg")</f>
        <v>https://pbs.twimg.com/ext_tw_video_thumb/1432030611888349192/pu/img/MTbA1AjcWlX-SCUO.jpg</v>
      </c>
      <c r="W236" s="82">
        <v>44437.723495370374</v>
      </c>
      <c r="X236" s="88">
        <v>44437</v>
      </c>
      <c r="Y236" s="85" t="s">
        <v>665</v>
      </c>
      <c r="Z236" s="83" t="str">
        <f>HYPERLINK("https://twitter.com/tapabav/status/1432030746986831881")</f>
        <v>https://twitter.com/tapabav/status/1432030746986831881</v>
      </c>
      <c r="AA236" s="80"/>
      <c r="AB236" s="80"/>
      <c r="AC236" s="85" t="s">
        <v>839</v>
      </c>
      <c r="AD236" s="80"/>
      <c r="AE236" s="80" t="b">
        <v>0</v>
      </c>
      <c r="AF236" s="80">
        <v>3750</v>
      </c>
      <c r="AG236" s="85" t="s">
        <v>871</v>
      </c>
      <c r="AH236" s="80" t="b">
        <v>0</v>
      </c>
      <c r="AI236" s="80" t="s">
        <v>882</v>
      </c>
      <c r="AJ236" s="80"/>
      <c r="AK236" s="85" t="s">
        <v>871</v>
      </c>
      <c r="AL236" s="80" t="b">
        <v>0</v>
      </c>
      <c r="AM236" s="80">
        <v>3041</v>
      </c>
      <c r="AN236" s="85" t="s">
        <v>871</v>
      </c>
      <c r="AO236" s="85" t="s">
        <v>890</v>
      </c>
      <c r="AP236" s="80" t="b">
        <v>0</v>
      </c>
      <c r="AQ236" s="85" t="s">
        <v>839</v>
      </c>
      <c r="AR236" s="80" t="s">
        <v>383</v>
      </c>
      <c r="AS236" s="80">
        <v>0</v>
      </c>
      <c r="AT236" s="80">
        <v>0</v>
      </c>
      <c r="AU236" s="80"/>
      <c r="AV236" s="80"/>
      <c r="AW236" s="80"/>
      <c r="AX236" s="80"/>
      <c r="AY236" s="80"/>
      <c r="AZ236" s="80"/>
      <c r="BA236" s="80"/>
      <c r="BB236" s="80"/>
      <c r="BC236">
        <v>1</v>
      </c>
      <c r="BD236" s="79" t="str">
        <f>REPLACE(INDEX(GroupVertices[Group],MATCH(Edges[[#This Row],[Vertex 1]],GroupVertices[Vertex],0)),1,1,"")</f>
        <v>5</v>
      </c>
      <c r="BE236" s="79" t="str">
        <f>REPLACE(INDEX(GroupVertices[Group],MATCH(Edges[[#This Row],[Vertex 2]],GroupVertices[Vertex],0)),1,1,"")</f>
        <v>5</v>
      </c>
      <c r="BF236" s="49"/>
      <c r="BG236" s="50"/>
      <c r="BH236" s="49"/>
      <c r="BI236" s="50"/>
      <c r="BJ236" s="49"/>
      <c r="BK236" s="50"/>
      <c r="BL236" s="49"/>
      <c r="BM236" s="50"/>
      <c r="BN236" s="49"/>
    </row>
    <row r="237" spans="1:66" ht="15">
      <c r="A237" s="65" t="s">
        <v>342</v>
      </c>
      <c r="B237" s="65" t="s">
        <v>363</v>
      </c>
      <c r="C237" s="66" t="s">
        <v>2698</v>
      </c>
      <c r="D237" s="67">
        <v>4</v>
      </c>
      <c r="E237" s="68" t="s">
        <v>132</v>
      </c>
      <c r="F237" s="69">
        <v>30</v>
      </c>
      <c r="G237" s="66"/>
      <c r="H237" s="70"/>
      <c r="I237" s="71"/>
      <c r="J237" s="71"/>
      <c r="K237" s="35" t="s">
        <v>65</v>
      </c>
      <c r="L237" s="78">
        <v>237</v>
      </c>
      <c r="M237" s="78"/>
      <c r="N237" s="73"/>
      <c r="O237" s="80" t="s">
        <v>382</v>
      </c>
      <c r="P237" s="82">
        <v>44462.18162037037</v>
      </c>
      <c r="Q237" s="80" t="s">
        <v>432</v>
      </c>
      <c r="R237" s="80"/>
      <c r="S237" s="80"/>
      <c r="T237" s="85" t="s">
        <v>503</v>
      </c>
      <c r="U237" s="83" t="str">
        <f>HYPERLINK("https://pbs.twimg.com/ext_tw_video_thumb/1432030611888349192/pu/img/MTbA1AjcWlX-SCUO.jpg")</f>
        <v>https://pbs.twimg.com/ext_tw_video_thumb/1432030611888349192/pu/img/MTbA1AjcWlX-SCUO.jpg</v>
      </c>
      <c r="V237" s="83" t="str">
        <f>HYPERLINK("https://pbs.twimg.com/ext_tw_video_thumb/1432030611888349192/pu/img/MTbA1AjcWlX-SCUO.jpg")</f>
        <v>https://pbs.twimg.com/ext_tw_video_thumb/1432030611888349192/pu/img/MTbA1AjcWlX-SCUO.jpg</v>
      </c>
      <c r="W237" s="82">
        <v>44462.18162037037</v>
      </c>
      <c r="X237" s="88">
        <v>44462</v>
      </c>
      <c r="Y237" s="85" t="s">
        <v>666</v>
      </c>
      <c r="Z237" s="83" t="str">
        <f>HYPERLINK("https://twitter.com/rolobss1/status/1440894072634347521")</f>
        <v>https://twitter.com/rolobss1/status/1440894072634347521</v>
      </c>
      <c r="AA237" s="80"/>
      <c r="AB237" s="80"/>
      <c r="AC237" s="85" t="s">
        <v>840</v>
      </c>
      <c r="AD237" s="80"/>
      <c r="AE237" s="80" t="b">
        <v>0</v>
      </c>
      <c r="AF237" s="80">
        <v>0</v>
      </c>
      <c r="AG237" s="85" t="s">
        <v>871</v>
      </c>
      <c r="AH237" s="80" t="b">
        <v>0</v>
      </c>
      <c r="AI237" s="80" t="s">
        <v>882</v>
      </c>
      <c r="AJ237" s="80"/>
      <c r="AK237" s="85" t="s">
        <v>871</v>
      </c>
      <c r="AL237" s="80" t="b">
        <v>0</v>
      </c>
      <c r="AM237" s="80">
        <v>3041</v>
      </c>
      <c r="AN237" s="85" t="s">
        <v>839</v>
      </c>
      <c r="AO237" s="85" t="s">
        <v>891</v>
      </c>
      <c r="AP237" s="80" t="b">
        <v>0</v>
      </c>
      <c r="AQ237" s="85" t="s">
        <v>839</v>
      </c>
      <c r="AR237" s="80" t="s">
        <v>178</v>
      </c>
      <c r="AS237" s="80">
        <v>0</v>
      </c>
      <c r="AT237" s="80">
        <v>0</v>
      </c>
      <c r="AU237" s="80"/>
      <c r="AV237" s="80"/>
      <c r="AW237" s="80"/>
      <c r="AX237" s="80"/>
      <c r="AY237" s="80"/>
      <c r="AZ237" s="80"/>
      <c r="BA237" s="80"/>
      <c r="BB237" s="80"/>
      <c r="BC237">
        <v>1</v>
      </c>
      <c r="BD237" s="79" t="str">
        <f>REPLACE(INDEX(GroupVertices[Group],MATCH(Edges[[#This Row],[Vertex 1]],GroupVertices[Vertex],0)),1,1,"")</f>
        <v>5</v>
      </c>
      <c r="BE237" s="79" t="str">
        <f>REPLACE(INDEX(GroupVertices[Group],MATCH(Edges[[#This Row],[Vertex 2]],GroupVertices[Vertex],0)),1,1,"")</f>
        <v>5</v>
      </c>
      <c r="BF237" s="49"/>
      <c r="BG237" s="50"/>
      <c r="BH237" s="49"/>
      <c r="BI237" s="50"/>
      <c r="BJ237" s="49"/>
      <c r="BK237" s="50"/>
      <c r="BL237" s="49"/>
      <c r="BM237" s="50"/>
      <c r="BN237" s="49"/>
    </row>
    <row r="238" spans="1:66" ht="15">
      <c r="A238" s="65" t="s">
        <v>341</v>
      </c>
      <c r="B238" s="65" t="s">
        <v>368</v>
      </c>
      <c r="C238" s="66" t="s">
        <v>2698</v>
      </c>
      <c r="D238" s="67">
        <v>4</v>
      </c>
      <c r="E238" s="68" t="s">
        <v>132</v>
      </c>
      <c r="F238" s="69">
        <v>30</v>
      </c>
      <c r="G238" s="66"/>
      <c r="H238" s="70"/>
      <c r="I238" s="71"/>
      <c r="J238" s="71"/>
      <c r="K238" s="35" t="s">
        <v>65</v>
      </c>
      <c r="L238" s="78">
        <v>238</v>
      </c>
      <c r="M238" s="78"/>
      <c r="N238" s="73"/>
      <c r="O238" s="80" t="s">
        <v>384</v>
      </c>
      <c r="P238" s="82">
        <v>44437.723495370374</v>
      </c>
      <c r="Q238" s="80" t="s">
        <v>432</v>
      </c>
      <c r="R238" s="80"/>
      <c r="S238" s="80"/>
      <c r="T238" s="85" t="s">
        <v>503</v>
      </c>
      <c r="U238" s="83" t="str">
        <f>HYPERLINK("https://pbs.twimg.com/ext_tw_video_thumb/1432030611888349192/pu/img/MTbA1AjcWlX-SCUO.jpg")</f>
        <v>https://pbs.twimg.com/ext_tw_video_thumb/1432030611888349192/pu/img/MTbA1AjcWlX-SCUO.jpg</v>
      </c>
      <c r="V238" s="83" t="str">
        <f>HYPERLINK("https://pbs.twimg.com/ext_tw_video_thumb/1432030611888349192/pu/img/MTbA1AjcWlX-SCUO.jpg")</f>
        <v>https://pbs.twimg.com/ext_tw_video_thumb/1432030611888349192/pu/img/MTbA1AjcWlX-SCUO.jpg</v>
      </c>
      <c r="W238" s="82">
        <v>44437.723495370374</v>
      </c>
      <c r="X238" s="88">
        <v>44437</v>
      </c>
      <c r="Y238" s="85" t="s">
        <v>665</v>
      </c>
      <c r="Z238" s="83" t="str">
        <f>HYPERLINK("https://twitter.com/tapabav/status/1432030746986831881")</f>
        <v>https://twitter.com/tapabav/status/1432030746986831881</v>
      </c>
      <c r="AA238" s="80"/>
      <c r="AB238" s="80"/>
      <c r="AC238" s="85" t="s">
        <v>839</v>
      </c>
      <c r="AD238" s="80"/>
      <c r="AE238" s="80" t="b">
        <v>0</v>
      </c>
      <c r="AF238" s="80">
        <v>3750</v>
      </c>
      <c r="AG238" s="85" t="s">
        <v>871</v>
      </c>
      <c r="AH238" s="80" t="b">
        <v>0</v>
      </c>
      <c r="AI238" s="80" t="s">
        <v>882</v>
      </c>
      <c r="AJ238" s="80"/>
      <c r="AK238" s="85" t="s">
        <v>871</v>
      </c>
      <c r="AL238" s="80" t="b">
        <v>0</v>
      </c>
      <c r="AM238" s="80">
        <v>3041</v>
      </c>
      <c r="AN238" s="85" t="s">
        <v>871</v>
      </c>
      <c r="AO238" s="85" t="s">
        <v>890</v>
      </c>
      <c r="AP238" s="80" t="b">
        <v>0</v>
      </c>
      <c r="AQ238" s="85" t="s">
        <v>839</v>
      </c>
      <c r="AR238" s="80" t="s">
        <v>383</v>
      </c>
      <c r="AS238" s="80">
        <v>0</v>
      </c>
      <c r="AT238" s="80">
        <v>0</v>
      </c>
      <c r="AU238" s="80"/>
      <c r="AV238" s="80"/>
      <c r="AW238" s="80"/>
      <c r="AX238" s="80"/>
      <c r="AY238" s="80"/>
      <c r="AZ238" s="80"/>
      <c r="BA238" s="80"/>
      <c r="BB238" s="80"/>
      <c r="BC238">
        <v>1</v>
      </c>
      <c r="BD238" s="79" t="str">
        <f>REPLACE(INDEX(GroupVertices[Group],MATCH(Edges[[#This Row],[Vertex 1]],GroupVertices[Vertex],0)),1,1,"")</f>
        <v>5</v>
      </c>
      <c r="BE238" s="79" t="str">
        <f>REPLACE(INDEX(GroupVertices[Group],MATCH(Edges[[#This Row],[Vertex 2]],GroupVertices[Vertex],0)),1,1,"")</f>
        <v>2</v>
      </c>
      <c r="BF238" s="49">
        <v>0</v>
      </c>
      <c r="BG238" s="50">
        <v>0</v>
      </c>
      <c r="BH238" s="49">
        <v>2</v>
      </c>
      <c r="BI238" s="50">
        <v>4.444444444444445</v>
      </c>
      <c r="BJ238" s="49">
        <v>0</v>
      </c>
      <c r="BK238" s="50">
        <v>0</v>
      </c>
      <c r="BL238" s="49">
        <v>43</v>
      </c>
      <c r="BM238" s="50">
        <v>95.55555555555556</v>
      </c>
      <c r="BN238" s="49">
        <v>45</v>
      </c>
    </row>
    <row r="239" spans="1:66" ht="15">
      <c r="A239" s="65" t="s">
        <v>342</v>
      </c>
      <c r="B239" s="65" t="s">
        <v>368</v>
      </c>
      <c r="C239" s="66" t="s">
        <v>2698</v>
      </c>
      <c r="D239" s="67">
        <v>4</v>
      </c>
      <c r="E239" s="68" t="s">
        <v>132</v>
      </c>
      <c r="F239" s="69">
        <v>30</v>
      </c>
      <c r="G239" s="66"/>
      <c r="H239" s="70"/>
      <c r="I239" s="71"/>
      <c r="J239" s="71"/>
      <c r="K239" s="35" t="s">
        <v>65</v>
      </c>
      <c r="L239" s="78">
        <v>239</v>
      </c>
      <c r="M239" s="78"/>
      <c r="N239" s="73"/>
      <c r="O239" s="80" t="s">
        <v>382</v>
      </c>
      <c r="P239" s="82">
        <v>44462.18162037037</v>
      </c>
      <c r="Q239" s="80" t="s">
        <v>432</v>
      </c>
      <c r="R239" s="80"/>
      <c r="S239" s="80"/>
      <c r="T239" s="85" t="s">
        <v>503</v>
      </c>
      <c r="U239" s="83" t="str">
        <f>HYPERLINK("https://pbs.twimg.com/ext_tw_video_thumb/1432030611888349192/pu/img/MTbA1AjcWlX-SCUO.jpg")</f>
        <v>https://pbs.twimg.com/ext_tw_video_thumb/1432030611888349192/pu/img/MTbA1AjcWlX-SCUO.jpg</v>
      </c>
      <c r="V239" s="83" t="str">
        <f>HYPERLINK("https://pbs.twimg.com/ext_tw_video_thumb/1432030611888349192/pu/img/MTbA1AjcWlX-SCUO.jpg")</f>
        <v>https://pbs.twimg.com/ext_tw_video_thumb/1432030611888349192/pu/img/MTbA1AjcWlX-SCUO.jpg</v>
      </c>
      <c r="W239" s="82">
        <v>44462.18162037037</v>
      </c>
      <c r="X239" s="88">
        <v>44462</v>
      </c>
      <c r="Y239" s="85" t="s">
        <v>666</v>
      </c>
      <c r="Z239" s="83" t="str">
        <f>HYPERLINK("https://twitter.com/rolobss1/status/1440894072634347521")</f>
        <v>https://twitter.com/rolobss1/status/1440894072634347521</v>
      </c>
      <c r="AA239" s="80"/>
      <c r="AB239" s="80"/>
      <c r="AC239" s="85" t="s">
        <v>840</v>
      </c>
      <c r="AD239" s="80"/>
      <c r="AE239" s="80" t="b">
        <v>0</v>
      </c>
      <c r="AF239" s="80">
        <v>0</v>
      </c>
      <c r="AG239" s="85" t="s">
        <v>871</v>
      </c>
      <c r="AH239" s="80" t="b">
        <v>0</v>
      </c>
      <c r="AI239" s="80" t="s">
        <v>882</v>
      </c>
      <c r="AJ239" s="80"/>
      <c r="AK239" s="85" t="s">
        <v>871</v>
      </c>
      <c r="AL239" s="80" t="b">
        <v>0</v>
      </c>
      <c r="AM239" s="80">
        <v>3041</v>
      </c>
      <c r="AN239" s="85" t="s">
        <v>839</v>
      </c>
      <c r="AO239" s="85" t="s">
        <v>891</v>
      </c>
      <c r="AP239" s="80" t="b">
        <v>0</v>
      </c>
      <c r="AQ239" s="85" t="s">
        <v>839</v>
      </c>
      <c r="AR239" s="80" t="s">
        <v>178</v>
      </c>
      <c r="AS239" s="80">
        <v>0</v>
      </c>
      <c r="AT239" s="80">
        <v>0</v>
      </c>
      <c r="AU239" s="80"/>
      <c r="AV239" s="80"/>
      <c r="AW239" s="80"/>
      <c r="AX239" s="80"/>
      <c r="AY239" s="80"/>
      <c r="AZ239" s="80"/>
      <c r="BA239" s="80"/>
      <c r="BB239" s="80"/>
      <c r="BC239">
        <v>1</v>
      </c>
      <c r="BD239" s="79" t="str">
        <f>REPLACE(INDEX(GroupVertices[Group],MATCH(Edges[[#This Row],[Vertex 1]],GroupVertices[Vertex],0)),1,1,"")</f>
        <v>5</v>
      </c>
      <c r="BE239" s="79" t="str">
        <f>REPLACE(INDEX(GroupVertices[Group],MATCH(Edges[[#This Row],[Vertex 2]],GroupVertices[Vertex],0)),1,1,"")</f>
        <v>2</v>
      </c>
      <c r="BF239" s="49"/>
      <c r="BG239" s="50"/>
      <c r="BH239" s="49"/>
      <c r="BI239" s="50"/>
      <c r="BJ239" s="49"/>
      <c r="BK239" s="50"/>
      <c r="BL239" s="49"/>
      <c r="BM239" s="50"/>
      <c r="BN239" s="49"/>
    </row>
    <row r="240" spans="1:66" ht="15">
      <c r="A240" s="65" t="s">
        <v>342</v>
      </c>
      <c r="B240" s="65" t="s">
        <v>341</v>
      </c>
      <c r="C240" s="66" t="s">
        <v>2698</v>
      </c>
      <c r="D240" s="67">
        <v>4</v>
      </c>
      <c r="E240" s="68" t="s">
        <v>132</v>
      </c>
      <c r="F240" s="69">
        <v>30</v>
      </c>
      <c r="G240" s="66"/>
      <c r="H240" s="70"/>
      <c r="I240" s="71"/>
      <c r="J240" s="71"/>
      <c r="K240" s="35" t="s">
        <v>65</v>
      </c>
      <c r="L240" s="78">
        <v>240</v>
      </c>
      <c r="M240" s="78"/>
      <c r="N240" s="73"/>
      <c r="O240" s="80" t="s">
        <v>383</v>
      </c>
      <c r="P240" s="82">
        <v>44462.18162037037</v>
      </c>
      <c r="Q240" s="80" t="s">
        <v>432</v>
      </c>
      <c r="R240" s="80"/>
      <c r="S240" s="80"/>
      <c r="T240" s="85" t="s">
        <v>503</v>
      </c>
      <c r="U240" s="83" t="str">
        <f>HYPERLINK("https://pbs.twimg.com/ext_tw_video_thumb/1432030611888349192/pu/img/MTbA1AjcWlX-SCUO.jpg")</f>
        <v>https://pbs.twimg.com/ext_tw_video_thumb/1432030611888349192/pu/img/MTbA1AjcWlX-SCUO.jpg</v>
      </c>
      <c r="V240" s="83" t="str">
        <f>HYPERLINK("https://pbs.twimg.com/ext_tw_video_thumb/1432030611888349192/pu/img/MTbA1AjcWlX-SCUO.jpg")</f>
        <v>https://pbs.twimg.com/ext_tw_video_thumb/1432030611888349192/pu/img/MTbA1AjcWlX-SCUO.jpg</v>
      </c>
      <c r="W240" s="82">
        <v>44462.18162037037</v>
      </c>
      <c r="X240" s="88">
        <v>44462</v>
      </c>
      <c r="Y240" s="85" t="s">
        <v>666</v>
      </c>
      <c r="Z240" s="83" t="str">
        <f>HYPERLINK("https://twitter.com/rolobss1/status/1440894072634347521")</f>
        <v>https://twitter.com/rolobss1/status/1440894072634347521</v>
      </c>
      <c r="AA240" s="80"/>
      <c r="AB240" s="80"/>
      <c r="AC240" s="85" t="s">
        <v>840</v>
      </c>
      <c r="AD240" s="80"/>
      <c r="AE240" s="80" t="b">
        <v>0</v>
      </c>
      <c r="AF240" s="80">
        <v>0</v>
      </c>
      <c r="AG240" s="85" t="s">
        <v>871</v>
      </c>
      <c r="AH240" s="80" t="b">
        <v>0</v>
      </c>
      <c r="AI240" s="80" t="s">
        <v>882</v>
      </c>
      <c r="AJ240" s="80"/>
      <c r="AK240" s="85" t="s">
        <v>871</v>
      </c>
      <c r="AL240" s="80" t="b">
        <v>0</v>
      </c>
      <c r="AM240" s="80">
        <v>3041</v>
      </c>
      <c r="AN240" s="85" t="s">
        <v>839</v>
      </c>
      <c r="AO240" s="85" t="s">
        <v>891</v>
      </c>
      <c r="AP240" s="80" t="b">
        <v>0</v>
      </c>
      <c r="AQ240" s="85" t="s">
        <v>839</v>
      </c>
      <c r="AR240" s="80" t="s">
        <v>178</v>
      </c>
      <c r="AS240" s="80">
        <v>0</v>
      </c>
      <c r="AT240" s="80">
        <v>0</v>
      </c>
      <c r="AU240" s="80"/>
      <c r="AV240" s="80"/>
      <c r="AW240" s="80"/>
      <c r="AX240" s="80"/>
      <c r="AY240" s="80"/>
      <c r="AZ240" s="80"/>
      <c r="BA240" s="80"/>
      <c r="BB240" s="80"/>
      <c r="BC240">
        <v>1</v>
      </c>
      <c r="BD240" s="79" t="str">
        <f>REPLACE(INDEX(GroupVertices[Group],MATCH(Edges[[#This Row],[Vertex 1]],GroupVertices[Vertex],0)),1,1,"")</f>
        <v>5</v>
      </c>
      <c r="BE240" s="79" t="str">
        <f>REPLACE(INDEX(GroupVertices[Group],MATCH(Edges[[#This Row],[Vertex 2]],GroupVertices[Vertex],0)),1,1,"")</f>
        <v>5</v>
      </c>
      <c r="BF240" s="49">
        <v>0</v>
      </c>
      <c r="BG240" s="50">
        <v>0</v>
      </c>
      <c r="BH240" s="49">
        <v>2</v>
      </c>
      <c r="BI240" s="50">
        <v>4.444444444444445</v>
      </c>
      <c r="BJ240" s="49">
        <v>0</v>
      </c>
      <c r="BK240" s="50">
        <v>0</v>
      </c>
      <c r="BL240" s="49">
        <v>43</v>
      </c>
      <c r="BM240" s="50">
        <v>95.55555555555556</v>
      </c>
      <c r="BN240" s="49">
        <v>45</v>
      </c>
    </row>
    <row r="241" spans="1:66" ht="15">
      <c r="A241" s="65" t="s">
        <v>343</v>
      </c>
      <c r="B241" s="65" t="s">
        <v>351</v>
      </c>
      <c r="C241" s="66" t="s">
        <v>2698</v>
      </c>
      <c r="D241" s="67">
        <v>4</v>
      </c>
      <c r="E241" s="68" t="s">
        <v>132</v>
      </c>
      <c r="F241" s="69">
        <v>30</v>
      </c>
      <c r="G241" s="66"/>
      <c r="H241" s="70"/>
      <c r="I241" s="71"/>
      <c r="J241" s="71"/>
      <c r="K241" s="35" t="s">
        <v>65</v>
      </c>
      <c r="L241" s="78">
        <v>241</v>
      </c>
      <c r="M241" s="78"/>
      <c r="N241" s="73"/>
      <c r="O241" s="80" t="s">
        <v>383</v>
      </c>
      <c r="P241" s="82">
        <v>44462.90726851852</v>
      </c>
      <c r="Q241" s="80" t="s">
        <v>433</v>
      </c>
      <c r="R241" s="83" t="str">
        <f>HYPERLINK("https://avispa.org/migrantes-buscan-rutas-alternativas-en-chiapas-autoridades-responden-con-violencia/")</f>
        <v>https://avispa.org/migrantes-buscan-rutas-alternativas-en-chiapas-autoridades-responden-con-violencia/</v>
      </c>
      <c r="S241" s="80" t="s">
        <v>463</v>
      </c>
      <c r="T241" s="85" t="s">
        <v>504</v>
      </c>
      <c r="U241" s="80"/>
      <c r="V241" s="83" t="str">
        <f>HYPERLINK("https://pbs.twimg.com/profile_images/1437041251237380098/ngPLiPNE_normal.jpg")</f>
        <v>https://pbs.twimg.com/profile_images/1437041251237380098/ngPLiPNE_normal.jpg</v>
      </c>
      <c r="W241" s="82">
        <v>44462.90726851852</v>
      </c>
      <c r="X241" s="88">
        <v>44462</v>
      </c>
      <c r="Y241" s="85" t="s">
        <v>667</v>
      </c>
      <c r="Z241" s="83" t="str">
        <f>HYPERLINK("https://twitter.com/smolninalia/status/1441157039695171585")</f>
        <v>https://twitter.com/smolninalia/status/1441157039695171585</v>
      </c>
      <c r="AA241" s="80"/>
      <c r="AB241" s="80"/>
      <c r="AC241" s="85" t="s">
        <v>841</v>
      </c>
      <c r="AD241" s="80"/>
      <c r="AE241" s="80" t="b">
        <v>0</v>
      </c>
      <c r="AF241" s="80">
        <v>0</v>
      </c>
      <c r="AG241" s="85" t="s">
        <v>871</v>
      </c>
      <c r="AH241" s="80" t="b">
        <v>0</v>
      </c>
      <c r="AI241" s="80" t="s">
        <v>882</v>
      </c>
      <c r="AJ241" s="80"/>
      <c r="AK241" s="85" t="s">
        <v>871</v>
      </c>
      <c r="AL241" s="80" t="b">
        <v>0</v>
      </c>
      <c r="AM241" s="80">
        <v>5</v>
      </c>
      <c r="AN241" s="85" t="s">
        <v>852</v>
      </c>
      <c r="AO241" s="85" t="s">
        <v>889</v>
      </c>
      <c r="AP241" s="80" t="b">
        <v>0</v>
      </c>
      <c r="AQ241" s="85" t="s">
        <v>852</v>
      </c>
      <c r="AR241" s="80" t="s">
        <v>178</v>
      </c>
      <c r="AS241" s="80">
        <v>0</v>
      </c>
      <c r="AT241" s="80">
        <v>0</v>
      </c>
      <c r="AU241" s="80"/>
      <c r="AV241" s="80"/>
      <c r="AW241" s="80"/>
      <c r="AX241" s="80"/>
      <c r="AY241" s="80"/>
      <c r="AZ241" s="80"/>
      <c r="BA241" s="80"/>
      <c r="BB241" s="80"/>
      <c r="BC241">
        <v>1</v>
      </c>
      <c r="BD241" s="79" t="str">
        <f>REPLACE(INDEX(GroupVertices[Group],MATCH(Edges[[#This Row],[Vertex 1]],GroupVertices[Vertex],0)),1,1,"")</f>
        <v>8</v>
      </c>
      <c r="BE241" s="79" t="str">
        <f>REPLACE(INDEX(GroupVertices[Group],MATCH(Edges[[#This Row],[Vertex 2]],GroupVertices[Vertex],0)),1,1,"")</f>
        <v>8</v>
      </c>
      <c r="BF241" s="49">
        <v>0</v>
      </c>
      <c r="BG241" s="50">
        <v>0</v>
      </c>
      <c r="BH241" s="49">
        <v>0</v>
      </c>
      <c r="BI241" s="50">
        <v>0</v>
      </c>
      <c r="BJ241" s="49">
        <v>0</v>
      </c>
      <c r="BK241" s="50">
        <v>0</v>
      </c>
      <c r="BL241" s="49">
        <v>34</v>
      </c>
      <c r="BM241" s="50">
        <v>100</v>
      </c>
      <c r="BN241" s="49">
        <v>34</v>
      </c>
    </row>
    <row r="242" spans="1:66" ht="15">
      <c r="A242" s="65" t="s">
        <v>344</v>
      </c>
      <c r="B242" s="65" t="s">
        <v>351</v>
      </c>
      <c r="C242" s="66" t="s">
        <v>2698</v>
      </c>
      <c r="D242" s="67">
        <v>4</v>
      </c>
      <c r="E242" s="68" t="s">
        <v>132</v>
      </c>
      <c r="F242" s="69">
        <v>30</v>
      </c>
      <c r="G242" s="66"/>
      <c r="H242" s="70"/>
      <c r="I242" s="71"/>
      <c r="J242" s="71"/>
      <c r="K242" s="35" t="s">
        <v>65</v>
      </c>
      <c r="L242" s="78">
        <v>242</v>
      </c>
      <c r="M242" s="78"/>
      <c r="N242" s="73"/>
      <c r="O242" s="80" t="s">
        <v>383</v>
      </c>
      <c r="P242" s="82">
        <v>44462.911886574075</v>
      </c>
      <c r="Q242" s="80" t="s">
        <v>433</v>
      </c>
      <c r="R242" s="83" t="str">
        <f>HYPERLINK("https://avispa.org/migrantes-buscan-rutas-alternativas-en-chiapas-autoridades-responden-con-violencia/")</f>
        <v>https://avispa.org/migrantes-buscan-rutas-alternativas-en-chiapas-autoridades-responden-con-violencia/</v>
      </c>
      <c r="S242" s="80" t="s">
        <v>463</v>
      </c>
      <c r="T242" s="85" t="s">
        <v>504</v>
      </c>
      <c r="U242" s="80"/>
      <c r="V242" s="83" t="str">
        <f>HYPERLINK("https://pbs.twimg.com/profile_images/1368568450608734221/4SGV_0vg_normal.jpg")</f>
        <v>https://pbs.twimg.com/profile_images/1368568450608734221/4SGV_0vg_normal.jpg</v>
      </c>
      <c r="W242" s="82">
        <v>44462.911886574075</v>
      </c>
      <c r="X242" s="88">
        <v>44462</v>
      </c>
      <c r="Y242" s="85" t="s">
        <v>668</v>
      </c>
      <c r="Z242" s="83" t="str">
        <f>HYPERLINK("https://twitter.com/algaraba8/status/1441158713406943234")</f>
        <v>https://twitter.com/algaraba8/status/1441158713406943234</v>
      </c>
      <c r="AA242" s="80"/>
      <c r="AB242" s="80"/>
      <c r="AC242" s="85" t="s">
        <v>842</v>
      </c>
      <c r="AD242" s="80"/>
      <c r="AE242" s="80" t="b">
        <v>0</v>
      </c>
      <c r="AF242" s="80">
        <v>0</v>
      </c>
      <c r="AG242" s="85" t="s">
        <v>871</v>
      </c>
      <c r="AH242" s="80" t="b">
        <v>0</v>
      </c>
      <c r="AI242" s="80" t="s">
        <v>882</v>
      </c>
      <c r="AJ242" s="80"/>
      <c r="AK242" s="85" t="s">
        <v>871</v>
      </c>
      <c r="AL242" s="80" t="b">
        <v>0</v>
      </c>
      <c r="AM242" s="80">
        <v>5</v>
      </c>
      <c r="AN242" s="85" t="s">
        <v>852</v>
      </c>
      <c r="AO242" s="85" t="s">
        <v>889</v>
      </c>
      <c r="AP242" s="80" t="b">
        <v>0</v>
      </c>
      <c r="AQ242" s="85" t="s">
        <v>852</v>
      </c>
      <c r="AR242" s="80" t="s">
        <v>178</v>
      </c>
      <c r="AS242" s="80">
        <v>0</v>
      </c>
      <c r="AT242" s="80">
        <v>0</v>
      </c>
      <c r="AU242" s="80"/>
      <c r="AV242" s="80"/>
      <c r="AW242" s="80"/>
      <c r="AX242" s="80"/>
      <c r="AY242" s="80"/>
      <c r="AZ242" s="80"/>
      <c r="BA242" s="80"/>
      <c r="BB242" s="80"/>
      <c r="BC242">
        <v>1</v>
      </c>
      <c r="BD242" s="79" t="str">
        <f>REPLACE(INDEX(GroupVertices[Group],MATCH(Edges[[#This Row],[Vertex 1]],GroupVertices[Vertex],0)),1,1,"")</f>
        <v>8</v>
      </c>
      <c r="BE242" s="79" t="str">
        <f>REPLACE(INDEX(GroupVertices[Group],MATCH(Edges[[#This Row],[Vertex 2]],GroupVertices[Vertex],0)),1,1,"")</f>
        <v>8</v>
      </c>
      <c r="BF242" s="49">
        <v>0</v>
      </c>
      <c r="BG242" s="50">
        <v>0</v>
      </c>
      <c r="BH242" s="49">
        <v>0</v>
      </c>
      <c r="BI242" s="50">
        <v>0</v>
      </c>
      <c r="BJ242" s="49">
        <v>0</v>
      </c>
      <c r="BK242" s="50">
        <v>0</v>
      </c>
      <c r="BL242" s="49">
        <v>34</v>
      </c>
      <c r="BM242" s="50">
        <v>100</v>
      </c>
      <c r="BN242" s="49">
        <v>34</v>
      </c>
    </row>
    <row r="243" spans="1:66" ht="15">
      <c r="A243" s="65" t="s">
        <v>345</v>
      </c>
      <c r="B243" s="65" t="s">
        <v>345</v>
      </c>
      <c r="C243" s="66" t="s">
        <v>2699</v>
      </c>
      <c r="D243" s="67">
        <v>10</v>
      </c>
      <c r="E243" s="68" t="s">
        <v>136</v>
      </c>
      <c r="F243" s="69">
        <v>10</v>
      </c>
      <c r="G243" s="66"/>
      <c r="H243" s="70"/>
      <c r="I243" s="71"/>
      <c r="J243" s="71"/>
      <c r="K243" s="35" t="s">
        <v>65</v>
      </c>
      <c r="L243" s="78">
        <v>243</v>
      </c>
      <c r="M243" s="78"/>
      <c r="N243" s="73"/>
      <c r="O243" s="80" t="s">
        <v>178</v>
      </c>
      <c r="P243" s="82">
        <v>44456.783113425925</v>
      </c>
      <c r="Q243" s="80" t="s">
        <v>434</v>
      </c>
      <c r="R243" s="83" t="str">
        <f>HYPERLINK("https://www.youtube.com/watch?v=3RqhLdsLdeI&amp;feature=youtu.be")</f>
        <v>https://www.youtube.com/watch?v=3RqhLdsLdeI&amp;feature=youtu.be</v>
      </c>
      <c r="S243" s="80" t="s">
        <v>458</v>
      </c>
      <c r="T243" s="85" t="s">
        <v>505</v>
      </c>
      <c r="U243" s="80"/>
      <c r="V243" s="83" t="str">
        <f>HYPERLINK("https://pbs.twimg.com/profile_images/1403212760251441152/0cnwMyCP_normal.jpg")</f>
        <v>https://pbs.twimg.com/profile_images/1403212760251441152/0cnwMyCP_normal.jpg</v>
      </c>
      <c r="W243" s="82">
        <v>44456.783113425925</v>
      </c>
      <c r="X243" s="88">
        <v>44456</v>
      </c>
      <c r="Y243" s="85" t="s">
        <v>669</v>
      </c>
      <c r="Z243" s="83" t="str">
        <f>HYPERLINK("https://twitter.com/uriluisni/status/1438937719883776008")</f>
        <v>https://twitter.com/uriluisni/status/1438937719883776008</v>
      </c>
      <c r="AA243" s="80"/>
      <c r="AB243" s="80"/>
      <c r="AC243" s="85" t="s">
        <v>843</v>
      </c>
      <c r="AD243" s="80"/>
      <c r="AE243" s="80" t="b">
        <v>0</v>
      </c>
      <c r="AF243" s="80">
        <v>1</v>
      </c>
      <c r="AG243" s="85" t="s">
        <v>871</v>
      </c>
      <c r="AH243" s="80" t="b">
        <v>0</v>
      </c>
      <c r="AI243" s="80" t="s">
        <v>882</v>
      </c>
      <c r="AJ243" s="80"/>
      <c r="AK243" s="85" t="s">
        <v>871</v>
      </c>
      <c r="AL243" s="80" t="b">
        <v>0</v>
      </c>
      <c r="AM243" s="80">
        <v>0</v>
      </c>
      <c r="AN243" s="85" t="s">
        <v>871</v>
      </c>
      <c r="AO243" s="85" t="s">
        <v>891</v>
      </c>
      <c r="AP243" s="80" t="b">
        <v>0</v>
      </c>
      <c r="AQ243" s="85" t="s">
        <v>843</v>
      </c>
      <c r="AR243" s="80" t="s">
        <v>178</v>
      </c>
      <c r="AS243" s="80">
        <v>0</v>
      </c>
      <c r="AT243" s="80">
        <v>0</v>
      </c>
      <c r="AU243" s="80"/>
      <c r="AV243" s="80"/>
      <c r="AW243" s="80"/>
      <c r="AX243" s="80"/>
      <c r="AY243" s="80"/>
      <c r="AZ243" s="80"/>
      <c r="BA243" s="80"/>
      <c r="BB243" s="80"/>
      <c r="BC243">
        <v>16</v>
      </c>
      <c r="BD243" s="79" t="str">
        <f>REPLACE(INDEX(GroupVertices[Group],MATCH(Edges[[#This Row],[Vertex 1]],GroupVertices[Vertex],0)),1,1,"")</f>
        <v>4</v>
      </c>
      <c r="BE243" s="79" t="str">
        <f>REPLACE(INDEX(GroupVertices[Group],MATCH(Edges[[#This Row],[Vertex 2]],GroupVertices[Vertex],0)),1,1,"")</f>
        <v>4</v>
      </c>
      <c r="BF243" s="49">
        <v>0</v>
      </c>
      <c r="BG243" s="50">
        <v>0</v>
      </c>
      <c r="BH243" s="49">
        <v>0</v>
      </c>
      <c r="BI243" s="50">
        <v>0</v>
      </c>
      <c r="BJ243" s="49">
        <v>0</v>
      </c>
      <c r="BK243" s="50">
        <v>0</v>
      </c>
      <c r="BL243" s="49">
        <v>29</v>
      </c>
      <c r="BM243" s="50">
        <v>100</v>
      </c>
      <c r="BN243" s="49">
        <v>29</v>
      </c>
    </row>
    <row r="244" spans="1:66" ht="15">
      <c r="A244" s="65" t="s">
        <v>345</v>
      </c>
      <c r="B244" s="65" t="s">
        <v>345</v>
      </c>
      <c r="C244" s="66" t="s">
        <v>2699</v>
      </c>
      <c r="D244" s="67">
        <v>10</v>
      </c>
      <c r="E244" s="68" t="s">
        <v>136</v>
      </c>
      <c r="F244" s="69">
        <v>10</v>
      </c>
      <c r="G244" s="66"/>
      <c r="H244" s="70"/>
      <c r="I244" s="71"/>
      <c r="J244" s="71"/>
      <c r="K244" s="35" t="s">
        <v>65</v>
      </c>
      <c r="L244" s="78">
        <v>244</v>
      </c>
      <c r="M244" s="78"/>
      <c r="N244" s="73"/>
      <c r="O244" s="80" t="s">
        <v>178</v>
      </c>
      <c r="P244" s="82">
        <v>44457.768599537034</v>
      </c>
      <c r="Q244" s="80" t="s">
        <v>435</v>
      </c>
      <c r="R244" s="83" t="str">
        <f>HYPERLINK("https://www.youtube.com/watch?v=SVNAKVANq8o&amp;feature=youtu.be")</f>
        <v>https://www.youtube.com/watch?v=SVNAKVANq8o&amp;feature=youtu.be</v>
      </c>
      <c r="S244" s="80" t="s">
        <v>458</v>
      </c>
      <c r="T244" s="85" t="s">
        <v>506</v>
      </c>
      <c r="U244" s="80"/>
      <c r="V244" s="83" t="str">
        <f>HYPERLINK("https://pbs.twimg.com/profile_images/1403212760251441152/0cnwMyCP_normal.jpg")</f>
        <v>https://pbs.twimg.com/profile_images/1403212760251441152/0cnwMyCP_normal.jpg</v>
      </c>
      <c r="W244" s="82">
        <v>44457.768599537034</v>
      </c>
      <c r="X244" s="88">
        <v>44457</v>
      </c>
      <c r="Y244" s="85" t="s">
        <v>670</v>
      </c>
      <c r="Z244" s="83" t="str">
        <f>HYPERLINK("https://twitter.com/uriluisni/status/1439294848473829382")</f>
        <v>https://twitter.com/uriluisni/status/1439294848473829382</v>
      </c>
      <c r="AA244" s="80"/>
      <c r="AB244" s="80"/>
      <c r="AC244" s="85" t="s">
        <v>844</v>
      </c>
      <c r="AD244" s="80"/>
      <c r="AE244" s="80" t="b">
        <v>0</v>
      </c>
      <c r="AF244" s="80">
        <v>0</v>
      </c>
      <c r="AG244" s="85" t="s">
        <v>871</v>
      </c>
      <c r="AH244" s="80" t="b">
        <v>0</v>
      </c>
      <c r="AI244" s="80" t="s">
        <v>882</v>
      </c>
      <c r="AJ244" s="80"/>
      <c r="AK244" s="85" t="s">
        <v>871</v>
      </c>
      <c r="AL244" s="80" t="b">
        <v>0</v>
      </c>
      <c r="AM244" s="80">
        <v>0</v>
      </c>
      <c r="AN244" s="85" t="s">
        <v>871</v>
      </c>
      <c r="AO244" s="85" t="s">
        <v>891</v>
      </c>
      <c r="AP244" s="80" t="b">
        <v>0</v>
      </c>
      <c r="AQ244" s="85" t="s">
        <v>844</v>
      </c>
      <c r="AR244" s="80" t="s">
        <v>178</v>
      </c>
      <c r="AS244" s="80">
        <v>0</v>
      </c>
      <c r="AT244" s="80">
        <v>0</v>
      </c>
      <c r="AU244" s="80"/>
      <c r="AV244" s="80"/>
      <c r="AW244" s="80"/>
      <c r="AX244" s="80"/>
      <c r="AY244" s="80"/>
      <c r="AZ244" s="80"/>
      <c r="BA244" s="80"/>
      <c r="BB244" s="80"/>
      <c r="BC244">
        <v>16</v>
      </c>
      <c r="BD244" s="79" t="str">
        <f>REPLACE(INDEX(GroupVertices[Group],MATCH(Edges[[#This Row],[Vertex 1]],GroupVertices[Vertex],0)),1,1,"")</f>
        <v>4</v>
      </c>
      <c r="BE244" s="79" t="str">
        <f>REPLACE(INDEX(GroupVertices[Group],MATCH(Edges[[#This Row],[Vertex 2]],GroupVertices[Vertex],0)),1,1,"")</f>
        <v>4</v>
      </c>
      <c r="BF244" s="49">
        <v>0</v>
      </c>
      <c r="BG244" s="50">
        <v>0</v>
      </c>
      <c r="BH244" s="49">
        <v>0</v>
      </c>
      <c r="BI244" s="50">
        <v>0</v>
      </c>
      <c r="BJ244" s="49">
        <v>0</v>
      </c>
      <c r="BK244" s="50">
        <v>0</v>
      </c>
      <c r="BL244" s="49">
        <v>15</v>
      </c>
      <c r="BM244" s="50">
        <v>100</v>
      </c>
      <c r="BN244" s="49">
        <v>15</v>
      </c>
    </row>
    <row r="245" spans="1:66" ht="15">
      <c r="A245" s="65" t="s">
        <v>345</v>
      </c>
      <c r="B245" s="65" t="s">
        <v>345</v>
      </c>
      <c r="C245" s="66" t="s">
        <v>2699</v>
      </c>
      <c r="D245" s="67">
        <v>10</v>
      </c>
      <c r="E245" s="68" t="s">
        <v>136</v>
      </c>
      <c r="F245" s="69">
        <v>10</v>
      </c>
      <c r="G245" s="66"/>
      <c r="H245" s="70"/>
      <c r="I245" s="71"/>
      <c r="J245" s="71"/>
      <c r="K245" s="35" t="s">
        <v>65</v>
      </c>
      <c r="L245" s="78">
        <v>245</v>
      </c>
      <c r="M245" s="78"/>
      <c r="N245" s="73"/>
      <c r="O245" s="80" t="s">
        <v>178</v>
      </c>
      <c r="P245" s="82">
        <v>44458.12805555556</v>
      </c>
      <c r="Q245" s="80" t="s">
        <v>436</v>
      </c>
      <c r="R245" s="83" t="str">
        <f>HYPERLINK("https://www.youtube.com/watch?v=2xnoo4EEV84&amp;feature=youtu.be")</f>
        <v>https://www.youtube.com/watch?v=2xnoo4EEV84&amp;feature=youtu.be</v>
      </c>
      <c r="S245" s="80" t="s">
        <v>458</v>
      </c>
      <c r="T245" s="85" t="s">
        <v>507</v>
      </c>
      <c r="U245" s="80"/>
      <c r="V245" s="83" t="str">
        <f>HYPERLINK("https://pbs.twimg.com/profile_images/1403212760251441152/0cnwMyCP_normal.jpg")</f>
        <v>https://pbs.twimg.com/profile_images/1403212760251441152/0cnwMyCP_normal.jpg</v>
      </c>
      <c r="W245" s="82">
        <v>44458.12805555556</v>
      </c>
      <c r="X245" s="88">
        <v>44458</v>
      </c>
      <c r="Y245" s="85" t="s">
        <v>671</v>
      </c>
      <c r="Z245" s="83" t="str">
        <f>HYPERLINK("https://twitter.com/uriluisni/status/1439425109660372998")</f>
        <v>https://twitter.com/uriluisni/status/1439425109660372998</v>
      </c>
      <c r="AA245" s="80"/>
      <c r="AB245" s="80"/>
      <c r="AC245" s="85" t="s">
        <v>845</v>
      </c>
      <c r="AD245" s="80"/>
      <c r="AE245" s="80" t="b">
        <v>0</v>
      </c>
      <c r="AF245" s="80">
        <v>0</v>
      </c>
      <c r="AG245" s="85" t="s">
        <v>871</v>
      </c>
      <c r="AH245" s="80" t="b">
        <v>0</v>
      </c>
      <c r="AI245" s="80" t="s">
        <v>882</v>
      </c>
      <c r="AJ245" s="80"/>
      <c r="AK245" s="85" t="s">
        <v>871</v>
      </c>
      <c r="AL245" s="80" t="b">
        <v>0</v>
      </c>
      <c r="AM245" s="80">
        <v>0</v>
      </c>
      <c r="AN245" s="85" t="s">
        <v>871</v>
      </c>
      <c r="AO245" s="85" t="s">
        <v>891</v>
      </c>
      <c r="AP245" s="80" t="b">
        <v>0</v>
      </c>
      <c r="AQ245" s="85" t="s">
        <v>845</v>
      </c>
      <c r="AR245" s="80" t="s">
        <v>178</v>
      </c>
      <c r="AS245" s="80">
        <v>0</v>
      </c>
      <c r="AT245" s="80">
        <v>0</v>
      </c>
      <c r="AU245" s="80"/>
      <c r="AV245" s="80"/>
      <c r="AW245" s="80"/>
      <c r="AX245" s="80"/>
      <c r="AY245" s="80"/>
      <c r="AZ245" s="80"/>
      <c r="BA245" s="80"/>
      <c r="BB245" s="80"/>
      <c r="BC245">
        <v>16</v>
      </c>
      <c r="BD245" s="79" t="str">
        <f>REPLACE(INDEX(GroupVertices[Group],MATCH(Edges[[#This Row],[Vertex 1]],GroupVertices[Vertex],0)),1,1,"")</f>
        <v>4</v>
      </c>
      <c r="BE245" s="79" t="str">
        <f>REPLACE(INDEX(GroupVertices[Group],MATCH(Edges[[#This Row],[Vertex 2]],GroupVertices[Vertex],0)),1,1,"")</f>
        <v>4</v>
      </c>
      <c r="BF245" s="49">
        <v>0</v>
      </c>
      <c r="BG245" s="50">
        <v>0</v>
      </c>
      <c r="BH245" s="49">
        <v>0</v>
      </c>
      <c r="BI245" s="50">
        <v>0</v>
      </c>
      <c r="BJ245" s="49">
        <v>0</v>
      </c>
      <c r="BK245" s="50">
        <v>0</v>
      </c>
      <c r="BL245" s="49">
        <v>16</v>
      </c>
      <c r="BM245" s="50">
        <v>100</v>
      </c>
      <c r="BN245" s="49">
        <v>16</v>
      </c>
    </row>
    <row r="246" spans="1:66" ht="15">
      <c r="A246" s="65" t="s">
        <v>345</v>
      </c>
      <c r="B246" s="65" t="s">
        <v>345</v>
      </c>
      <c r="C246" s="66" t="s">
        <v>2699</v>
      </c>
      <c r="D246" s="67">
        <v>10</v>
      </c>
      <c r="E246" s="68" t="s">
        <v>136</v>
      </c>
      <c r="F246" s="69">
        <v>10</v>
      </c>
      <c r="G246" s="66"/>
      <c r="H246" s="70"/>
      <c r="I246" s="71"/>
      <c r="J246" s="71"/>
      <c r="K246" s="35" t="s">
        <v>65</v>
      </c>
      <c r="L246" s="78">
        <v>246</v>
      </c>
      <c r="M246" s="78"/>
      <c r="N246" s="73"/>
      <c r="O246" s="80" t="s">
        <v>178</v>
      </c>
      <c r="P246" s="82">
        <v>44462.93163194445</v>
      </c>
      <c r="Q246" s="80" t="s">
        <v>437</v>
      </c>
      <c r="R246" s="83" t="str">
        <f>HYPERLINK("https://www.youtube.com/watch?v=Qb_wGiyo4NY&amp;feature=youtu.be")</f>
        <v>https://www.youtube.com/watch?v=Qb_wGiyo4NY&amp;feature=youtu.be</v>
      </c>
      <c r="S246" s="80" t="s">
        <v>458</v>
      </c>
      <c r="T246" s="85" t="s">
        <v>508</v>
      </c>
      <c r="U246" s="80"/>
      <c r="V246" s="83" t="str">
        <f>HYPERLINK("https://pbs.twimg.com/profile_images/1403212760251441152/0cnwMyCP_normal.jpg")</f>
        <v>https://pbs.twimg.com/profile_images/1403212760251441152/0cnwMyCP_normal.jpg</v>
      </c>
      <c r="W246" s="82">
        <v>44462.93163194445</v>
      </c>
      <c r="X246" s="88">
        <v>44462</v>
      </c>
      <c r="Y246" s="85" t="s">
        <v>672</v>
      </c>
      <c r="Z246" s="83" t="str">
        <f>HYPERLINK("https://twitter.com/uriluisni/status/1441165870697385988")</f>
        <v>https://twitter.com/uriluisni/status/1441165870697385988</v>
      </c>
      <c r="AA246" s="80"/>
      <c r="AB246" s="80"/>
      <c r="AC246" s="85" t="s">
        <v>846</v>
      </c>
      <c r="AD246" s="80"/>
      <c r="AE246" s="80" t="b">
        <v>0</v>
      </c>
      <c r="AF246" s="80">
        <v>0</v>
      </c>
      <c r="AG246" s="85" t="s">
        <v>871</v>
      </c>
      <c r="AH246" s="80" t="b">
        <v>0</v>
      </c>
      <c r="AI246" s="80" t="s">
        <v>881</v>
      </c>
      <c r="AJ246" s="80"/>
      <c r="AK246" s="85" t="s">
        <v>871</v>
      </c>
      <c r="AL246" s="80" t="b">
        <v>0</v>
      </c>
      <c r="AM246" s="80">
        <v>0</v>
      </c>
      <c r="AN246" s="85" t="s">
        <v>871</v>
      </c>
      <c r="AO246" s="85" t="s">
        <v>891</v>
      </c>
      <c r="AP246" s="80" t="b">
        <v>0</v>
      </c>
      <c r="AQ246" s="85" t="s">
        <v>846</v>
      </c>
      <c r="AR246" s="80" t="s">
        <v>178</v>
      </c>
      <c r="AS246" s="80">
        <v>0</v>
      </c>
      <c r="AT246" s="80">
        <v>0</v>
      </c>
      <c r="AU246" s="80"/>
      <c r="AV246" s="80"/>
      <c r="AW246" s="80"/>
      <c r="AX246" s="80"/>
      <c r="AY246" s="80"/>
      <c r="AZ246" s="80"/>
      <c r="BA246" s="80"/>
      <c r="BB246" s="80"/>
      <c r="BC246">
        <v>16</v>
      </c>
      <c r="BD246" s="79" t="str">
        <f>REPLACE(INDEX(GroupVertices[Group],MATCH(Edges[[#This Row],[Vertex 1]],GroupVertices[Vertex],0)),1,1,"")</f>
        <v>4</v>
      </c>
      <c r="BE246" s="79" t="str">
        <f>REPLACE(INDEX(GroupVertices[Group],MATCH(Edges[[#This Row],[Vertex 2]],GroupVertices[Vertex],0)),1,1,"")</f>
        <v>4</v>
      </c>
      <c r="BF246" s="49">
        <v>0</v>
      </c>
      <c r="BG246" s="50">
        <v>0</v>
      </c>
      <c r="BH246" s="49">
        <v>0</v>
      </c>
      <c r="BI246" s="50">
        <v>0</v>
      </c>
      <c r="BJ246" s="49">
        <v>0</v>
      </c>
      <c r="BK246" s="50">
        <v>0</v>
      </c>
      <c r="BL246" s="49">
        <v>15</v>
      </c>
      <c r="BM246" s="50">
        <v>100</v>
      </c>
      <c r="BN246" s="49">
        <v>15</v>
      </c>
    </row>
    <row r="247" spans="1:66" ht="15">
      <c r="A247" s="65" t="s">
        <v>346</v>
      </c>
      <c r="B247" s="65" t="s">
        <v>351</v>
      </c>
      <c r="C247" s="66" t="s">
        <v>2698</v>
      </c>
      <c r="D247" s="67">
        <v>4</v>
      </c>
      <c r="E247" s="68" t="s">
        <v>132</v>
      </c>
      <c r="F247" s="69">
        <v>30</v>
      </c>
      <c r="G247" s="66"/>
      <c r="H247" s="70"/>
      <c r="I247" s="71"/>
      <c r="J247" s="71"/>
      <c r="K247" s="35" t="s">
        <v>65</v>
      </c>
      <c r="L247" s="78">
        <v>247</v>
      </c>
      <c r="M247" s="78"/>
      <c r="N247" s="73"/>
      <c r="O247" s="80" t="s">
        <v>383</v>
      </c>
      <c r="P247" s="82">
        <v>44462.94028935185</v>
      </c>
      <c r="Q247" s="80" t="s">
        <v>433</v>
      </c>
      <c r="R247" s="83" t="str">
        <f>HYPERLINK("https://avispa.org/migrantes-buscan-rutas-alternativas-en-chiapas-autoridades-responden-con-violencia/")</f>
        <v>https://avispa.org/migrantes-buscan-rutas-alternativas-en-chiapas-autoridades-responden-con-violencia/</v>
      </c>
      <c r="S247" s="80" t="s">
        <v>463</v>
      </c>
      <c r="T247" s="85" t="s">
        <v>504</v>
      </c>
      <c r="U247" s="80"/>
      <c r="V247" s="83" t="str">
        <f>HYPERLINK("https://pbs.twimg.com/profile_images/781915436275277824/Y3HqFA3v_normal.jpg")</f>
        <v>https://pbs.twimg.com/profile_images/781915436275277824/Y3HqFA3v_normal.jpg</v>
      </c>
      <c r="W247" s="82">
        <v>44462.94028935185</v>
      </c>
      <c r="X247" s="88">
        <v>44462</v>
      </c>
      <c r="Y247" s="85" t="s">
        <v>673</v>
      </c>
      <c r="Z247" s="83" t="str">
        <f>HYPERLINK("https://twitter.com/lostejemedios/status/1441169006501695489")</f>
        <v>https://twitter.com/lostejemedios/status/1441169006501695489</v>
      </c>
      <c r="AA247" s="80"/>
      <c r="AB247" s="80"/>
      <c r="AC247" s="85" t="s">
        <v>847</v>
      </c>
      <c r="AD247" s="80"/>
      <c r="AE247" s="80" t="b">
        <v>0</v>
      </c>
      <c r="AF247" s="80">
        <v>0</v>
      </c>
      <c r="AG247" s="85" t="s">
        <v>871</v>
      </c>
      <c r="AH247" s="80" t="b">
        <v>0</v>
      </c>
      <c r="AI247" s="80" t="s">
        <v>882</v>
      </c>
      <c r="AJ247" s="80"/>
      <c r="AK247" s="85" t="s">
        <v>871</v>
      </c>
      <c r="AL247" s="80" t="b">
        <v>0</v>
      </c>
      <c r="AM247" s="80">
        <v>5</v>
      </c>
      <c r="AN247" s="85" t="s">
        <v>852</v>
      </c>
      <c r="AO247" s="85" t="s">
        <v>889</v>
      </c>
      <c r="AP247" s="80" t="b">
        <v>0</v>
      </c>
      <c r="AQ247" s="85" t="s">
        <v>852</v>
      </c>
      <c r="AR247" s="80" t="s">
        <v>178</v>
      </c>
      <c r="AS247" s="80">
        <v>0</v>
      </c>
      <c r="AT247" s="80">
        <v>0</v>
      </c>
      <c r="AU247" s="80"/>
      <c r="AV247" s="80"/>
      <c r="AW247" s="80"/>
      <c r="AX247" s="80"/>
      <c r="AY247" s="80"/>
      <c r="AZ247" s="80"/>
      <c r="BA247" s="80"/>
      <c r="BB247" s="80"/>
      <c r="BC247">
        <v>1</v>
      </c>
      <c r="BD247" s="79" t="str">
        <f>REPLACE(INDEX(GroupVertices[Group],MATCH(Edges[[#This Row],[Vertex 1]],GroupVertices[Vertex],0)),1,1,"")</f>
        <v>8</v>
      </c>
      <c r="BE247" s="79" t="str">
        <f>REPLACE(INDEX(GroupVertices[Group],MATCH(Edges[[#This Row],[Vertex 2]],GroupVertices[Vertex],0)),1,1,"")</f>
        <v>8</v>
      </c>
      <c r="BF247" s="49">
        <v>0</v>
      </c>
      <c r="BG247" s="50">
        <v>0</v>
      </c>
      <c r="BH247" s="49">
        <v>0</v>
      </c>
      <c r="BI247" s="50">
        <v>0</v>
      </c>
      <c r="BJ247" s="49">
        <v>0</v>
      </c>
      <c r="BK247" s="50">
        <v>0</v>
      </c>
      <c r="BL247" s="49">
        <v>34</v>
      </c>
      <c r="BM247" s="50">
        <v>100</v>
      </c>
      <c r="BN247" s="49">
        <v>34</v>
      </c>
    </row>
    <row r="248" spans="1:66" ht="15">
      <c r="A248" s="65" t="s">
        <v>347</v>
      </c>
      <c r="B248" s="65" t="s">
        <v>347</v>
      </c>
      <c r="C248" s="66" t="s">
        <v>2698</v>
      </c>
      <c r="D248" s="67">
        <v>4</v>
      </c>
      <c r="E248" s="68" t="s">
        <v>132</v>
      </c>
      <c r="F248" s="69">
        <v>30</v>
      </c>
      <c r="G248" s="66"/>
      <c r="H248" s="70"/>
      <c r="I248" s="71"/>
      <c r="J248" s="71"/>
      <c r="K248" s="35" t="s">
        <v>65</v>
      </c>
      <c r="L248" s="78">
        <v>248</v>
      </c>
      <c r="M248" s="78"/>
      <c r="N248" s="73"/>
      <c r="O248" s="80" t="s">
        <v>178</v>
      </c>
      <c r="P248" s="82">
        <v>43869.70465277778</v>
      </c>
      <c r="Q248" s="80" t="s">
        <v>438</v>
      </c>
      <c r="R248" s="83" t="str">
        <f>HYPERLINK("https://www.diariodemorelos.com/noticias/salvadore-o-mat-due-o-de-fonda-en-jiutepec-por-no-pagar-piso")</f>
        <v>https://www.diariodemorelos.com/noticias/salvadore-o-mat-due-o-de-fonda-en-jiutepec-por-no-pagar-piso</v>
      </c>
      <c r="S248" s="80" t="s">
        <v>464</v>
      </c>
      <c r="T248" s="85" t="s">
        <v>472</v>
      </c>
      <c r="U248" s="80"/>
      <c r="V248" s="83" t="str">
        <f>HYPERLINK("https://pbs.twimg.com/profile_images/1221961057842814977/NSPFxiPJ_normal.jpg")</f>
        <v>https://pbs.twimg.com/profile_images/1221961057842814977/NSPFxiPJ_normal.jpg</v>
      </c>
      <c r="W248" s="82">
        <v>43869.70465277778</v>
      </c>
      <c r="X248" s="88">
        <v>43869</v>
      </c>
      <c r="Y248" s="85" t="s">
        <v>674</v>
      </c>
      <c r="Z248" s="83" t="str">
        <f>HYPERLINK("https://twitter.com/jclopezlee/status/1226187612332773376")</f>
        <v>https://twitter.com/jclopezlee/status/1226187612332773376</v>
      </c>
      <c r="AA248" s="80"/>
      <c r="AB248" s="80"/>
      <c r="AC248" s="85" t="s">
        <v>848</v>
      </c>
      <c r="AD248" s="80"/>
      <c r="AE248" s="80" t="b">
        <v>0</v>
      </c>
      <c r="AF248" s="80">
        <v>2</v>
      </c>
      <c r="AG248" s="85" t="s">
        <v>871</v>
      </c>
      <c r="AH248" s="80" t="b">
        <v>0</v>
      </c>
      <c r="AI248" s="80" t="s">
        <v>882</v>
      </c>
      <c r="AJ248" s="80"/>
      <c r="AK248" s="85" t="s">
        <v>871</v>
      </c>
      <c r="AL248" s="80" t="b">
        <v>0</v>
      </c>
      <c r="AM248" s="80">
        <v>1</v>
      </c>
      <c r="AN248" s="85" t="s">
        <v>871</v>
      </c>
      <c r="AO248" s="85" t="s">
        <v>891</v>
      </c>
      <c r="AP248" s="80" t="b">
        <v>0</v>
      </c>
      <c r="AQ248" s="85" t="s">
        <v>848</v>
      </c>
      <c r="AR248" s="80" t="s">
        <v>383</v>
      </c>
      <c r="AS248" s="80">
        <v>0</v>
      </c>
      <c r="AT248" s="80">
        <v>0</v>
      </c>
      <c r="AU248" s="80"/>
      <c r="AV248" s="80"/>
      <c r="AW248" s="80"/>
      <c r="AX248" s="80"/>
      <c r="AY248" s="80"/>
      <c r="AZ248" s="80"/>
      <c r="BA248" s="80"/>
      <c r="BB248" s="80"/>
      <c r="BC248">
        <v>1</v>
      </c>
      <c r="BD248" s="79" t="str">
        <f>REPLACE(INDEX(GroupVertices[Group],MATCH(Edges[[#This Row],[Vertex 1]],GroupVertices[Vertex],0)),1,1,"")</f>
        <v>21</v>
      </c>
      <c r="BE248" s="79" t="str">
        <f>REPLACE(INDEX(GroupVertices[Group],MATCH(Edges[[#This Row],[Vertex 2]],GroupVertices[Vertex],0)),1,1,"")</f>
        <v>21</v>
      </c>
      <c r="BF248" s="49">
        <v>0</v>
      </c>
      <c r="BG248" s="50">
        <v>0</v>
      </c>
      <c r="BH248" s="49">
        <v>0</v>
      </c>
      <c r="BI248" s="50">
        <v>0</v>
      </c>
      <c r="BJ248" s="49">
        <v>0</v>
      </c>
      <c r="BK248" s="50">
        <v>0</v>
      </c>
      <c r="BL248" s="49">
        <v>15</v>
      </c>
      <c r="BM248" s="50">
        <v>100</v>
      </c>
      <c r="BN248" s="49">
        <v>15</v>
      </c>
    </row>
    <row r="249" spans="1:66" ht="15">
      <c r="A249" s="65" t="s">
        <v>348</v>
      </c>
      <c r="B249" s="65" t="s">
        <v>347</v>
      </c>
      <c r="C249" s="66" t="s">
        <v>2698</v>
      </c>
      <c r="D249" s="67">
        <v>4</v>
      </c>
      <c r="E249" s="68" t="s">
        <v>132</v>
      </c>
      <c r="F249" s="69">
        <v>30</v>
      </c>
      <c r="G249" s="66"/>
      <c r="H249" s="70"/>
      <c r="I249" s="71"/>
      <c r="J249" s="71"/>
      <c r="K249" s="35" t="s">
        <v>65</v>
      </c>
      <c r="L249" s="78">
        <v>249</v>
      </c>
      <c r="M249" s="78"/>
      <c r="N249" s="73"/>
      <c r="O249" s="80" t="s">
        <v>383</v>
      </c>
      <c r="P249" s="82">
        <v>44462.94929398148</v>
      </c>
      <c r="Q249" s="80" t="s">
        <v>438</v>
      </c>
      <c r="R249" s="83" t="str">
        <f>HYPERLINK("https://www.diariodemorelos.com/noticias/salvadore-o-mat-due-o-de-fonda-en-jiutepec-por-no-pagar-piso")</f>
        <v>https://www.diariodemorelos.com/noticias/salvadore-o-mat-due-o-de-fonda-en-jiutepec-por-no-pagar-piso</v>
      </c>
      <c r="S249" s="80" t="s">
        <v>464</v>
      </c>
      <c r="T249" s="85" t="s">
        <v>472</v>
      </c>
      <c r="U249" s="80"/>
      <c r="V249" s="83" t="str">
        <f>HYPERLINK("https://pbs.twimg.com/profile_images/1441128595494109192/2g77_HKE_normal.jpg")</f>
        <v>https://pbs.twimg.com/profile_images/1441128595494109192/2g77_HKE_normal.jpg</v>
      </c>
      <c r="W249" s="82">
        <v>44462.94929398148</v>
      </c>
      <c r="X249" s="88">
        <v>44462</v>
      </c>
      <c r="Y249" s="85" t="s">
        <v>675</v>
      </c>
      <c r="Z249" s="83" t="str">
        <f>HYPERLINK("https://twitter.com/saraeli62035609/status/1441172271628914696")</f>
        <v>https://twitter.com/saraeli62035609/status/1441172271628914696</v>
      </c>
      <c r="AA249" s="80"/>
      <c r="AB249" s="80"/>
      <c r="AC249" s="85" t="s">
        <v>849</v>
      </c>
      <c r="AD249" s="80"/>
      <c r="AE249" s="80" t="b">
        <v>0</v>
      </c>
      <c r="AF249" s="80">
        <v>0</v>
      </c>
      <c r="AG249" s="85" t="s">
        <v>871</v>
      </c>
      <c r="AH249" s="80" t="b">
        <v>0</v>
      </c>
      <c r="AI249" s="80" t="s">
        <v>882</v>
      </c>
      <c r="AJ249" s="80"/>
      <c r="AK249" s="85" t="s">
        <v>871</v>
      </c>
      <c r="AL249" s="80" t="b">
        <v>0</v>
      </c>
      <c r="AM249" s="80">
        <v>1</v>
      </c>
      <c r="AN249" s="85" t="s">
        <v>848</v>
      </c>
      <c r="AO249" s="85" t="s">
        <v>891</v>
      </c>
      <c r="AP249" s="80" t="b">
        <v>0</v>
      </c>
      <c r="AQ249" s="85" t="s">
        <v>848</v>
      </c>
      <c r="AR249" s="80" t="s">
        <v>178</v>
      </c>
      <c r="AS249" s="80">
        <v>0</v>
      </c>
      <c r="AT249" s="80">
        <v>0</v>
      </c>
      <c r="AU249" s="80"/>
      <c r="AV249" s="80"/>
      <c r="AW249" s="80"/>
      <c r="AX249" s="80"/>
      <c r="AY249" s="80"/>
      <c r="AZ249" s="80"/>
      <c r="BA249" s="80"/>
      <c r="BB249" s="80"/>
      <c r="BC249">
        <v>1</v>
      </c>
      <c r="BD249" s="79" t="str">
        <f>REPLACE(INDEX(GroupVertices[Group],MATCH(Edges[[#This Row],[Vertex 1]],GroupVertices[Vertex],0)),1,1,"")</f>
        <v>21</v>
      </c>
      <c r="BE249" s="79" t="str">
        <f>REPLACE(INDEX(GroupVertices[Group],MATCH(Edges[[#This Row],[Vertex 2]],GroupVertices[Vertex],0)),1,1,"")</f>
        <v>21</v>
      </c>
      <c r="BF249" s="49">
        <v>0</v>
      </c>
      <c r="BG249" s="50">
        <v>0</v>
      </c>
      <c r="BH249" s="49">
        <v>0</v>
      </c>
      <c r="BI249" s="50">
        <v>0</v>
      </c>
      <c r="BJ249" s="49">
        <v>0</v>
      </c>
      <c r="BK249" s="50">
        <v>0</v>
      </c>
      <c r="BL249" s="49">
        <v>15</v>
      </c>
      <c r="BM249" s="50">
        <v>100</v>
      </c>
      <c r="BN249" s="49">
        <v>15</v>
      </c>
    </row>
    <row r="250" spans="1:66" ht="15">
      <c r="A250" s="65" t="s">
        <v>349</v>
      </c>
      <c r="B250" s="65" t="s">
        <v>379</v>
      </c>
      <c r="C250" s="66" t="s">
        <v>2698</v>
      </c>
      <c r="D250" s="67">
        <v>4</v>
      </c>
      <c r="E250" s="68" t="s">
        <v>132</v>
      </c>
      <c r="F250" s="69">
        <v>30</v>
      </c>
      <c r="G250" s="66"/>
      <c r="H250" s="70"/>
      <c r="I250" s="71"/>
      <c r="J250" s="71"/>
      <c r="K250" s="35" t="s">
        <v>65</v>
      </c>
      <c r="L250" s="78">
        <v>250</v>
      </c>
      <c r="M250" s="78"/>
      <c r="N250" s="73"/>
      <c r="O250" s="80" t="s">
        <v>385</v>
      </c>
      <c r="P250" s="82">
        <v>44463.084328703706</v>
      </c>
      <c r="Q250" s="80" t="s">
        <v>439</v>
      </c>
      <c r="R250" s="80"/>
      <c r="S250" s="80"/>
      <c r="T250" s="85" t="s">
        <v>509</v>
      </c>
      <c r="U250" s="83" t="str">
        <f>HYPERLINK("https://pbs.twimg.com/media/FAA_BU9XMAM_mRh.jpg")</f>
        <v>https://pbs.twimg.com/media/FAA_BU9XMAM_mRh.jpg</v>
      </c>
      <c r="V250" s="83" t="str">
        <f>HYPERLINK("https://pbs.twimg.com/media/FAA_BU9XMAM_mRh.jpg")</f>
        <v>https://pbs.twimg.com/media/FAA_BU9XMAM_mRh.jpg</v>
      </c>
      <c r="W250" s="82">
        <v>44463.084328703706</v>
      </c>
      <c r="X250" s="88">
        <v>44463</v>
      </c>
      <c r="Y250" s="85" t="s">
        <v>676</v>
      </c>
      <c r="Z250" s="83" t="str">
        <f>HYPERLINK("https://twitter.com/p3drohz45/status/1441221205059510274")</f>
        <v>https://twitter.com/p3drohz45/status/1441221205059510274</v>
      </c>
      <c r="AA250" s="80"/>
      <c r="AB250" s="80"/>
      <c r="AC250" s="85" t="s">
        <v>850</v>
      </c>
      <c r="AD250" s="85" t="s">
        <v>869</v>
      </c>
      <c r="AE250" s="80" t="b">
        <v>0</v>
      </c>
      <c r="AF250" s="80">
        <v>0</v>
      </c>
      <c r="AG250" s="85" t="s">
        <v>878</v>
      </c>
      <c r="AH250" s="80" t="b">
        <v>0</v>
      </c>
      <c r="AI250" s="80" t="s">
        <v>882</v>
      </c>
      <c r="AJ250" s="80"/>
      <c r="AK250" s="85" t="s">
        <v>871</v>
      </c>
      <c r="AL250" s="80" t="b">
        <v>0</v>
      </c>
      <c r="AM250" s="80">
        <v>0</v>
      </c>
      <c r="AN250" s="85" t="s">
        <v>871</v>
      </c>
      <c r="AO250" s="85" t="s">
        <v>889</v>
      </c>
      <c r="AP250" s="80" t="b">
        <v>0</v>
      </c>
      <c r="AQ250" s="85" t="s">
        <v>869</v>
      </c>
      <c r="AR250" s="80" t="s">
        <v>178</v>
      </c>
      <c r="AS250" s="80">
        <v>0</v>
      </c>
      <c r="AT250" s="80">
        <v>0</v>
      </c>
      <c r="AU250" s="80"/>
      <c r="AV250" s="80"/>
      <c r="AW250" s="80"/>
      <c r="AX250" s="80"/>
      <c r="AY250" s="80"/>
      <c r="AZ250" s="80"/>
      <c r="BA250" s="80"/>
      <c r="BB250" s="80"/>
      <c r="BC250">
        <v>1</v>
      </c>
      <c r="BD250" s="79" t="str">
        <f>REPLACE(INDEX(GroupVertices[Group],MATCH(Edges[[#This Row],[Vertex 1]],GroupVertices[Vertex],0)),1,1,"")</f>
        <v>20</v>
      </c>
      <c r="BE250" s="79" t="str">
        <f>REPLACE(INDEX(GroupVertices[Group],MATCH(Edges[[#This Row],[Vertex 2]],GroupVertices[Vertex],0)),1,1,"")</f>
        <v>20</v>
      </c>
      <c r="BF250" s="49">
        <v>0</v>
      </c>
      <c r="BG250" s="50">
        <v>0</v>
      </c>
      <c r="BH250" s="49">
        <v>0</v>
      </c>
      <c r="BI250" s="50">
        <v>0</v>
      </c>
      <c r="BJ250" s="49">
        <v>0</v>
      </c>
      <c r="BK250" s="50">
        <v>0</v>
      </c>
      <c r="BL250" s="49">
        <v>27</v>
      </c>
      <c r="BM250" s="50">
        <v>100</v>
      </c>
      <c r="BN250" s="49">
        <v>27</v>
      </c>
    </row>
    <row r="251" spans="1:66" ht="15">
      <c r="A251" s="65" t="s">
        <v>350</v>
      </c>
      <c r="B251" s="65" t="s">
        <v>351</v>
      </c>
      <c r="C251" s="66" t="s">
        <v>2698</v>
      </c>
      <c r="D251" s="67">
        <v>4</v>
      </c>
      <c r="E251" s="68" t="s">
        <v>132</v>
      </c>
      <c r="F251" s="69">
        <v>30</v>
      </c>
      <c r="G251" s="66"/>
      <c r="H251" s="70"/>
      <c r="I251" s="71"/>
      <c r="J251" s="71"/>
      <c r="K251" s="35" t="s">
        <v>65</v>
      </c>
      <c r="L251" s="78">
        <v>251</v>
      </c>
      <c r="M251" s="78"/>
      <c r="N251" s="73"/>
      <c r="O251" s="80" t="s">
        <v>383</v>
      </c>
      <c r="P251" s="82">
        <v>44463.11685185185</v>
      </c>
      <c r="Q251" s="80" t="s">
        <v>433</v>
      </c>
      <c r="R251" s="83" t="str">
        <f>HYPERLINK("https://avispa.org/migrantes-buscan-rutas-alternativas-en-chiapas-autoridades-responden-con-violencia/")</f>
        <v>https://avispa.org/migrantes-buscan-rutas-alternativas-en-chiapas-autoridades-responden-con-violencia/</v>
      </c>
      <c r="S251" s="80" t="s">
        <v>463</v>
      </c>
      <c r="T251" s="85" t="s">
        <v>504</v>
      </c>
      <c r="U251" s="80"/>
      <c r="V251" s="83" t="str">
        <f>HYPERLINK("https://pbs.twimg.com/profile_images/1424159813970317317/yDd8gpxn_normal.jpg")</f>
        <v>https://pbs.twimg.com/profile_images/1424159813970317317/yDd8gpxn_normal.jpg</v>
      </c>
      <c r="W251" s="82">
        <v>44463.11685185185</v>
      </c>
      <c r="X251" s="88">
        <v>44463</v>
      </c>
      <c r="Y251" s="85" t="s">
        <v>677</v>
      </c>
      <c r="Z251" s="83" t="str">
        <f>HYPERLINK("https://twitter.com/adrianoespa/status/1441232989686427652")</f>
        <v>https://twitter.com/adrianoespa/status/1441232989686427652</v>
      </c>
      <c r="AA251" s="80"/>
      <c r="AB251" s="80"/>
      <c r="AC251" s="85" t="s">
        <v>851</v>
      </c>
      <c r="AD251" s="80"/>
      <c r="AE251" s="80" t="b">
        <v>0</v>
      </c>
      <c r="AF251" s="80">
        <v>0</v>
      </c>
      <c r="AG251" s="85" t="s">
        <v>871</v>
      </c>
      <c r="AH251" s="80" t="b">
        <v>0</v>
      </c>
      <c r="AI251" s="80" t="s">
        <v>882</v>
      </c>
      <c r="AJ251" s="80"/>
      <c r="AK251" s="85" t="s">
        <v>871</v>
      </c>
      <c r="AL251" s="80" t="b">
        <v>0</v>
      </c>
      <c r="AM251" s="80">
        <v>5</v>
      </c>
      <c r="AN251" s="85" t="s">
        <v>852</v>
      </c>
      <c r="AO251" s="85" t="s">
        <v>889</v>
      </c>
      <c r="AP251" s="80" t="b">
        <v>0</v>
      </c>
      <c r="AQ251" s="85" t="s">
        <v>852</v>
      </c>
      <c r="AR251" s="80" t="s">
        <v>178</v>
      </c>
      <c r="AS251" s="80">
        <v>0</v>
      </c>
      <c r="AT251" s="80">
        <v>0</v>
      </c>
      <c r="AU251" s="80"/>
      <c r="AV251" s="80"/>
      <c r="AW251" s="80"/>
      <c r="AX251" s="80"/>
      <c r="AY251" s="80"/>
      <c r="AZ251" s="80"/>
      <c r="BA251" s="80"/>
      <c r="BB251" s="80"/>
      <c r="BC251">
        <v>1</v>
      </c>
      <c r="BD251" s="79" t="str">
        <f>REPLACE(INDEX(GroupVertices[Group],MATCH(Edges[[#This Row],[Vertex 1]],GroupVertices[Vertex],0)),1,1,"")</f>
        <v>8</v>
      </c>
      <c r="BE251" s="79" t="str">
        <f>REPLACE(INDEX(GroupVertices[Group],MATCH(Edges[[#This Row],[Vertex 2]],GroupVertices[Vertex],0)),1,1,"")</f>
        <v>8</v>
      </c>
      <c r="BF251" s="49">
        <v>0</v>
      </c>
      <c r="BG251" s="50">
        <v>0</v>
      </c>
      <c r="BH251" s="49">
        <v>0</v>
      </c>
      <c r="BI251" s="50">
        <v>0</v>
      </c>
      <c r="BJ251" s="49">
        <v>0</v>
      </c>
      <c r="BK251" s="50">
        <v>0</v>
      </c>
      <c r="BL251" s="49">
        <v>34</v>
      </c>
      <c r="BM251" s="50">
        <v>100</v>
      </c>
      <c r="BN251" s="49">
        <v>34</v>
      </c>
    </row>
    <row r="252" spans="1:66" ht="15">
      <c r="A252" s="65" t="s">
        <v>351</v>
      </c>
      <c r="B252" s="65" t="s">
        <v>351</v>
      </c>
      <c r="C252" s="66" t="s">
        <v>2698</v>
      </c>
      <c r="D252" s="67">
        <v>4</v>
      </c>
      <c r="E252" s="68" t="s">
        <v>132</v>
      </c>
      <c r="F252" s="69">
        <v>30</v>
      </c>
      <c r="G252" s="66"/>
      <c r="H252" s="70"/>
      <c r="I252" s="71"/>
      <c r="J252" s="71"/>
      <c r="K252" s="35" t="s">
        <v>65</v>
      </c>
      <c r="L252" s="78">
        <v>252</v>
      </c>
      <c r="M252" s="78"/>
      <c r="N252" s="73"/>
      <c r="O252" s="80" t="s">
        <v>178</v>
      </c>
      <c r="P252" s="82">
        <v>44462.904861111114</v>
      </c>
      <c r="Q252" s="80" t="s">
        <v>433</v>
      </c>
      <c r="R252" s="83" t="str">
        <f>HYPERLINK("https://avispa.org/migrantes-buscan-rutas-alternativas-en-chiapas-autoridades-responden-con-violencia/")</f>
        <v>https://avispa.org/migrantes-buscan-rutas-alternativas-en-chiapas-autoridades-responden-con-violencia/</v>
      </c>
      <c r="S252" s="80" t="s">
        <v>463</v>
      </c>
      <c r="T252" s="85" t="s">
        <v>504</v>
      </c>
      <c r="U252" s="80"/>
      <c r="V252" s="83" t="str">
        <f>HYPERLINK("https://pbs.twimg.com/profile_images/895317957139611649/poX5xA65_normal.jpg")</f>
        <v>https://pbs.twimg.com/profile_images/895317957139611649/poX5xA65_normal.jpg</v>
      </c>
      <c r="W252" s="82">
        <v>44462.904861111114</v>
      </c>
      <c r="X252" s="88">
        <v>44462</v>
      </c>
      <c r="Y252" s="85" t="s">
        <v>678</v>
      </c>
      <c r="Z252" s="83" t="str">
        <f>HYPERLINK("https://twitter.com/avispa_midia/status/1441156166898176006")</f>
        <v>https://twitter.com/avispa_midia/status/1441156166898176006</v>
      </c>
      <c r="AA252" s="80"/>
      <c r="AB252" s="80"/>
      <c r="AC252" s="85" t="s">
        <v>852</v>
      </c>
      <c r="AD252" s="80"/>
      <c r="AE252" s="80" t="b">
        <v>0</v>
      </c>
      <c r="AF252" s="80">
        <v>5</v>
      </c>
      <c r="AG252" s="85" t="s">
        <v>871</v>
      </c>
      <c r="AH252" s="80" t="b">
        <v>0</v>
      </c>
      <c r="AI252" s="80" t="s">
        <v>882</v>
      </c>
      <c r="AJ252" s="80"/>
      <c r="AK252" s="85" t="s">
        <v>871</v>
      </c>
      <c r="AL252" s="80" t="b">
        <v>0</v>
      </c>
      <c r="AM252" s="80">
        <v>5</v>
      </c>
      <c r="AN252" s="85" t="s">
        <v>871</v>
      </c>
      <c r="AO252" s="85" t="s">
        <v>891</v>
      </c>
      <c r="AP252" s="80" t="b">
        <v>0</v>
      </c>
      <c r="AQ252" s="85" t="s">
        <v>852</v>
      </c>
      <c r="AR252" s="80" t="s">
        <v>178</v>
      </c>
      <c r="AS252" s="80">
        <v>0</v>
      </c>
      <c r="AT252" s="80">
        <v>0</v>
      </c>
      <c r="AU252" s="80"/>
      <c r="AV252" s="80"/>
      <c r="AW252" s="80"/>
      <c r="AX252" s="80"/>
      <c r="AY252" s="80"/>
      <c r="AZ252" s="80"/>
      <c r="BA252" s="80"/>
      <c r="BB252" s="80"/>
      <c r="BC252">
        <v>1</v>
      </c>
      <c r="BD252" s="79" t="str">
        <f>REPLACE(INDEX(GroupVertices[Group],MATCH(Edges[[#This Row],[Vertex 1]],GroupVertices[Vertex],0)),1,1,"")</f>
        <v>8</v>
      </c>
      <c r="BE252" s="79" t="str">
        <f>REPLACE(INDEX(GroupVertices[Group],MATCH(Edges[[#This Row],[Vertex 2]],GroupVertices[Vertex],0)),1,1,"")</f>
        <v>8</v>
      </c>
      <c r="BF252" s="49">
        <v>0</v>
      </c>
      <c r="BG252" s="50">
        <v>0</v>
      </c>
      <c r="BH252" s="49">
        <v>0</v>
      </c>
      <c r="BI252" s="50">
        <v>0</v>
      </c>
      <c r="BJ252" s="49">
        <v>0</v>
      </c>
      <c r="BK252" s="50">
        <v>0</v>
      </c>
      <c r="BL252" s="49">
        <v>34</v>
      </c>
      <c r="BM252" s="50">
        <v>100</v>
      </c>
      <c r="BN252" s="49">
        <v>34</v>
      </c>
    </row>
    <row r="253" spans="1:66" ht="15">
      <c r="A253" s="65" t="s">
        <v>352</v>
      </c>
      <c r="B253" s="65" t="s">
        <v>351</v>
      </c>
      <c r="C253" s="66" t="s">
        <v>2698</v>
      </c>
      <c r="D253" s="67">
        <v>4</v>
      </c>
      <c r="E253" s="68" t="s">
        <v>132</v>
      </c>
      <c r="F253" s="69">
        <v>30</v>
      </c>
      <c r="G253" s="66"/>
      <c r="H253" s="70"/>
      <c r="I253" s="71"/>
      <c r="J253" s="71"/>
      <c r="K253" s="35" t="s">
        <v>65</v>
      </c>
      <c r="L253" s="78">
        <v>253</v>
      </c>
      <c r="M253" s="78"/>
      <c r="N253" s="73"/>
      <c r="O253" s="80" t="s">
        <v>383</v>
      </c>
      <c r="P253" s="82">
        <v>44463.118414351855</v>
      </c>
      <c r="Q253" s="80" t="s">
        <v>433</v>
      </c>
      <c r="R253" s="83" t="str">
        <f>HYPERLINK("https://avispa.org/migrantes-buscan-rutas-alternativas-en-chiapas-autoridades-responden-con-violencia/")</f>
        <v>https://avispa.org/migrantes-buscan-rutas-alternativas-en-chiapas-autoridades-responden-con-violencia/</v>
      </c>
      <c r="S253" s="80" t="s">
        <v>463</v>
      </c>
      <c r="T253" s="85" t="s">
        <v>504</v>
      </c>
      <c r="U253" s="80"/>
      <c r="V253" s="83" t="str">
        <f>HYPERLINK("https://pbs.twimg.com/profile_images/1049916694708346880/6Ey78GLB_normal.jpg")</f>
        <v>https://pbs.twimg.com/profile_images/1049916694708346880/6Ey78GLB_normal.jpg</v>
      </c>
      <c r="W253" s="82">
        <v>44463.118414351855</v>
      </c>
      <c r="X253" s="88">
        <v>44463</v>
      </c>
      <c r="Y253" s="85" t="s">
        <v>679</v>
      </c>
      <c r="Z253" s="83" t="str">
        <f>HYPERLINK("https://twitter.com/miradsalmargen1/status/1441233557582540804")</f>
        <v>https://twitter.com/miradsalmargen1/status/1441233557582540804</v>
      </c>
      <c r="AA253" s="80"/>
      <c r="AB253" s="80"/>
      <c r="AC253" s="85" t="s">
        <v>853</v>
      </c>
      <c r="AD253" s="80"/>
      <c r="AE253" s="80" t="b">
        <v>0</v>
      </c>
      <c r="AF253" s="80">
        <v>0</v>
      </c>
      <c r="AG253" s="85" t="s">
        <v>871</v>
      </c>
      <c r="AH253" s="80" t="b">
        <v>0</v>
      </c>
      <c r="AI253" s="80" t="s">
        <v>882</v>
      </c>
      <c r="AJ253" s="80"/>
      <c r="AK253" s="85" t="s">
        <v>871</v>
      </c>
      <c r="AL253" s="80" t="b">
        <v>0</v>
      </c>
      <c r="AM253" s="80">
        <v>5</v>
      </c>
      <c r="AN253" s="85" t="s">
        <v>852</v>
      </c>
      <c r="AO253" s="85" t="s">
        <v>889</v>
      </c>
      <c r="AP253" s="80" t="b">
        <v>0</v>
      </c>
      <c r="AQ253" s="85" t="s">
        <v>852</v>
      </c>
      <c r="AR253" s="80" t="s">
        <v>178</v>
      </c>
      <c r="AS253" s="80">
        <v>0</v>
      </c>
      <c r="AT253" s="80">
        <v>0</v>
      </c>
      <c r="AU253" s="80"/>
      <c r="AV253" s="80"/>
      <c r="AW253" s="80"/>
      <c r="AX253" s="80"/>
      <c r="AY253" s="80"/>
      <c r="AZ253" s="80"/>
      <c r="BA253" s="80"/>
      <c r="BB253" s="80"/>
      <c r="BC253">
        <v>1</v>
      </c>
      <c r="BD253" s="79" t="str">
        <f>REPLACE(INDEX(GroupVertices[Group],MATCH(Edges[[#This Row],[Vertex 1]],GroupVertices[Vertex],0)),1,1,"")</f>
        <v>8</v>
      </c>
      <c r="BE253" s="79" t="str">
        <f>REPLACE(INDEX(GroupVertices[Group],MATCH(Edges[[#This Row],[Vertex 2]],GroupVertices[Vertex],0)),1,1,"")</f>
        <v>8</v>
      </c>
      <c r="BF253" s="49">
        <v>0</v>
      </c>
      <c r="BG253" s="50">
        <v>0</v>
      </c>
      <c r="BH253" s="49">
        <v>0</v>
      </c>
      <c r="BI253" s="50">
        <v>0</v>
      </c>
      <c r="BJ253" s="49">
        <v>0</v>
      </c>
      <c r="BK253" s="50">
        <v>0</v>
      </c>
      <c r="BL253" s="49">
        <v>34</v>
      </c>
      <c r="BM253" s="50">
        <v>100</v>
      </c>
      <c r="BN253" s="49">
        <v>34</v>
      </c>
    </row>
    <row r="254" spans="1:66" ht="15">
      <c r="A254" s="65" t="s">
        <v>353</v>
      </c>
      <c r="B254" s="65" t="s">
        <v>380</v>
      </c>
      <c r="C254" s="66" t="s">
        <v>2698</v>
      </c>
      <c r="D254" s="67">
        <v>4</v>
      </c>
      <c r="E254" s="68" t="s">
        <v>132</v>
      </c>
      <c r="F254" s="69">
        <v>30</v>
      </c>
      <c r="G254" s="66"/>
      <c r="H254" s="70"/>
      <c r="I254" s="71"/>
      <c r="J254" s="71"/>
      <c r="K254" s="35" t="s">
        <v>65</v>
      </c>
      <c r="L254" s="78">
        <v>254</v>
      </c>
      <c r="M254" s="78"/>
      <c r="N254" s="73"/>
      <c r="O254" s="80" t="s">
        <v>385</v>
      </c>
      <c r="P254" s="82">
        <v>44463.73783564815</v>
      </c>
      <c r="Q254" s="80" t="s">
        <v>440</v>
      </c>
      <c r="R254" s="80"/>
      <c r="S254" s="80"/>
      <c r="T254" s="85" t="s">
        <v>510</v>
      </c>
      <c r="U254" s="80"/>
      <c r="V254" s="83" t="str">
        <f>HYPERLINK("https://pbs.twimg.com/profile_images/1273677951603744772/CJQe1t08_normal.jpg")</f>
        <v>https://pbs.twimg.com/profile_images/1273677951603744772/CJQe1t08_normal.jpg</v>
      </c>
      <c r="W254" s="82">
        <v>44463.73783564815</v>
      </c>
      <c r="X254" s="88">
        <v>44463</v>
      </c>
      <c r="Y254" s="85" t="s">
        <v>680</v>
      </c>
      <c r="Z254" s="83" t="str">
        <f>HYPERLINK("https://twitter.com/the_watcher_man/status/1441458026611838977")</f>
        <v>https://twitter.com/the_watcher_man/status/1441458026611838977</v>
      </c>
      <c r="AA254" s="80"/>
      <c r="AB254" s="80"/>
      <c r="AC254" s="85" t="s">
        <v>854</v>
      </c>
      <c r="AD254" s="85" t="s">
        <v>870</v>
      </c>
      <c r="AE254" s="80" t="b">
        <v>0</v>
      </c>
      <c r="AF254" s="80">
        <v>0</v>
      </c>
      <c r="AG254" s="85" t="s">
        <v>879</v>
      </c>
      <c r="AH254" s="80" t="b">
        <v>0</v>
      </c>
      <c r="AI254" s="80" t="s">
        <v>882</v>
      </c>
      <c r="AJ254" s="80"/>
      <c r="AK254" s="85" t="s">
        <v>871</v>
      </c>
      <c r="AL254" s="80" t="b">
        <v>0</v>
      </c>
      <c r="AM254" s="80">
        <v>0</v>
      </c>
      <c r="AN254" s="85" t="s">
        <v>871</v>
      </c>
      <c r="AO254" s="85" t="s">
        <v>889</v>
      </c>
      <c r="AP254" s="80" t="b">
        <v>0</v>
      </c>
      <c r="AQ254" s="85" t="s">
        <v>870</v>
      </c>
      <c r="AR254" s="80" t="s">
        <v>178</v>
      </c>
      <c r="AS254" s="80">
        <v>0</v>
      </c>
      <c r="AT254" s="80">
        <v>0</v>
      </c>
      <c r="AU254" s="80"/>
      <c r="AV254" s="80"/>
      <c r="AW254" s="80"/>
      <c r="AX254" s="80"/>
      <c r="AY254" s="80"/>
      <c r="AZ254" s="80"/>
      <c r="BA254" s="80"/>
      <c r="BB254" s="80"/>
      <c r="BC254">
        <v>1</v>
      </c>
      <c r="BD254" s="79" t="str">
        <f>REPLACE(INDEX(GroupVertices[Group],MATCH(Edges[[#This Row],[Vertex 1]],GroupVertices[Vertex],0)),1,1,"")</f>
        <v>19</v>
      </c>
      <c r="BE254" s="79" t="str">
        <f>REPLACE(INDEX(GroupVertices[Group],MATCH(Edges[[#This Row],[Vertex 2]],GroupVertices[Vertex],0)),1,1,"")</f>
        <v>19</v>
      </c>
      <c r="BF254" s="49">
        <v>0</v>
      </c>
      <c r="BG254" s="50">
        <v>0</v>
      </c>
      <c r="BH254" s="49">
        <v>0</v>
      </c>
      <c r="BI254" s="50">
        <v>0</v>
      </c>
      <c r="BJ254" s="49">
        <v>0</v>
      </c>
      <c r="BK254" s="50">
        <v>0</v>
      </c>
      <c r="BL254" s="49">
        <v>8</v>
      </c>
      <c r="BM254" s="50">
        <v>100</v>
      </c>
      <c r="BN254" s="49">
        <v>8</v>
      </c>
    </row>
    <row r="255" spans="1:66" ht="15">
      <c r="A255" s="65" t="s">
        <v>354</v>
      </c>
      <c r="B255" s="65" t="s">
        <v>354</v>
      </c>
      <c r="C255" s="66" t="s">
        <v>2698</v>
      </c>
      <c r="D255" s="67">
        <v>4</v>
      </c>
      <c r="E255" s="68" t="s">
        <v>132</v>
      </c>
      <c r="F255" s="69">
        <v>30</v>
      </c>
      <c r="G255" s="66"/>
      <c r="H255" s="70"/>
      <c r="I255" s="71"/>
      <c r="J255" s="71"/>
      <c r="K255" s="35" t="s">
        <v>65</v>
      </c>
      <c r="L255" s="78">
        <v>255</v>
      </c>
      <c r="M255" s="78"/>
      <c r="N255" s="73"/>
      <c r="O255" s="80" t="s">
        <v>178</v>
      </c>
      <c r="P255" s="82">
        <v>44464.05101851852</v>
      </c>
      <c r="Q255" s="80" t="s">
        <v>441</v>
      </c>
      <c r="R255" s="83" t="str">
        <f>HYPERLINK("https://twitter.com/Arcariam85/status/1441559222328647687")</f>
        <v>https://twitter.com/Arcariam85/status/1441559222328647687</v>
      </c>
      <c r="S255" s="80" t="s">
        <v>460</v>
      </c>
      <c r="T255" s="85" t="s">
        <v>511</v>
      </c>
      <c r="U255" s="80"/>
      <c r="V255" s="83" t="str">
        <f>HYPERLINK("https://pbs.twimg.com/profile_images/1215046605746966531/qsWJeXQy_normal.jpg")</f>
        <v>https://pbs.twimg.com/profile_images/1215046605746966531/qsWJeXQy_normal.jpg</v>
      </c>
      <c r="W255" s="82">
        <v>44464.05101851852</v>
      </c>
      <c r="X255" s="88">
        <v>44464</v>
      </c>
      <c r="Y255" s="85" t="s">
        <v>681</v>
      </c>
      <c r="Z255" s="83" t="str">
        <f>HYPERLINK("https://twitter.com/atenea_cb/status/1441571521466494978")</f>
        <v>https://twitter.com/atenea_cb/status/1441571521466494978</v>
      </c>
      <c r="AA255" s="80"/>
      <c r="AB255" s="80"/>
      <c r="AC255" s="85" t="s">
        <v>855</v>
      </c>
      <c r="AD255" s="80"/>
      <c r="AE255" s="80" t="b">
        <v>0</v>
      </c>
      <c r="AF255" s="80">
        <v>0</v>
      </c>
      <c r="AG255" s="85" t="s">
        <v>871</v>
      </c>
      <c r="AH255" s="80" t="b">
        <v>1</v>
      </c>
      <c r="AI255" s="80" t="s">
        <v>882</v>
      </c>
      <c r="AJ255" s="80"/>
      <c r="AK255" s="85" t="s">
        <v>888</v>
      </c>
      <c r="AL255" s="80" t="b">
        <v>0</v>
      </c>
      <c r="AM255" s="80">
        <v>0</v>
      </c>
      <c r="AN255" s="85" t="s">
        <v>871</v>
      </c>
      <c r="AO255" s="85" t="s">
        <v>891</v>
      </c>
      <c r="AP255" s="80" t="b">
        <v>0</v>
      </c>
      <c r="AQ255" s="85" t="s">
        <v>855</v>
      </c>
      <c r="AR255" s="80" t="s">
        <v>178</v>
      </c>
      <c r="AS255" s="80">
        <v>0</v>
      </c>
      <c r="AT255" s="80">
        <v>0</v>
      </c>
      <c r="AU255" s="80"/>
      <c r="AV255" s="80"/>
      <c r="AW255" s="80"/>
      <c r="AX255" s="80"/>
      <c r="AY255" s="80"/>
      <c r="AZ255" s="80"/>
      <c r="BA255" s="80"/>
      <c r="BB255" s="80"/>
      <c r="BC255">
        <v>1</v>
      </c>
      <c r="BD255" s="79" t="str">
        <f>REPLACE(INDEX(GroupVertices[Group],MATCH(Edges[[#This Row],[Vertex 1]],GroupVertices[Vertex],0)),1,1,"")</f>
        <v>4</v>
      </c>
      <c r="BE255" s="79" t="str">
        <f>REPLACE(INDEX(GroupVertices[Group],MATCH(Edges[[#This Row],[Vertex 2]],GroupVertices[Vertex],0)),1,1,"")</f>
        <v>4</v>
      </c>
      <c r="BF255" s="49">
        <v>0</v>
      </c>
      <c r="BG255" s="50">
        <v>0</v>
      </c>
      <c r="BH255" s="49">
        <v>0</v>
      </c>
      <c r="BI255" s="50">
        <v>0</v>
      </c>
      <c r="BJ255" s="49">
        <v>0</v>
      </c>
      <c r="BK255" s="50">
        <v>0</v>
      </c>
      <c r="BL255" s="49">
        <v>25</v>
      </c>
      <c r="BM255" s="50">
        <v>100</v>
      </c>
      <c r="BN255" s="49">
        <v>25</v>
      </c>
    </row>
    <row r="256" spans="1:66" ht="15">
      <c r="A256" s="65" t="s">
        <v>355</v>
      </c>
      <c r="B256" s="65" t="s">
        <v>381</v>
      </c>
      <c r="C256" s="66" t="s">
        <v>2698</v>
      </c>
      <c r="D256" s="67">
        <v>4</v>
      </c>
      <c r="E256" s="68" t="s">
        <v>132</v>
      </c>
      <c r="F256" s="69">
        <v>30</v>
      </c>
      <c r="G256" s="66"/>
      <c r="H256" s="70"/>
      <c r="I256" s="71"/>
      <c r="J256" s="71"/>
      <c r="K256" s="35" t="s">
        <v>65</v>
      </c>
      <c r="L256" s="78">
        <v>256</v>
      </c>
      <c r="M256" s="78"/>
      <c r="N256" s="73"/>
      <c r="O256" s="80" t="s">
        <v>384</v>
      </c>
      <c r="P256" s="82">
        <v>44459.798842592594</v>
      </c>
      <c r="Q256" s="80" t="s">
        <v>442</v>
      </c>
      <c r="R256" s="83" t="str">
        <f>HYPERLINK("https://versusmedia.mx/lo-que-queda-en-el-camino-estrena-en-el-giff-2021/")</f>
        <v>https://versusmedia.mx/lo-que-queda-en-el-camino-estrena-en-el-giff-2021/</v>
      </c>
      <c r="S256" s="80" t="s">
        <v>465</v>
      </c>
      <c r="T256" s="85" t="s">
        <v>512</v>
      </c>
      <c r="U256" s="80"/>
      <c r="V256" s="83" t="str">
        <f>HYPERLINK("https://pbs.twimg.com/profile_images/1434562316260020227/iFWiRrk1_normal.jpg")</f>
        <v>https://pbs.twimg.com/profile_images/1434562316260020227/iFWiRrk1_normal.jpg</v>
      </c>
      <c r="W256" s="82">
        <v>44459.798842592594</v>
      </c>
      <c r="X256" s="88">
        <v>44459</v>
      </c>
      <c r="Y256" s="85" t="s">
        <v>682</v>
      </c>
      <c r="Z256" s="83" t="str">
        <f>HYPERLINK("https://twitter.com/doculqqeec/status/1440030585229959172")</f>
        <v>https://twitter.com/doculqqeec/status/1440030585229959172</v>
      </c>
      <c r="AA256" s="80"/>
      <c r="AB256" s="80"/>
      <c r="AC256" s="85" t="s">
        <v>856</v>
      </c>
      <c r="AD256" s="80"/>
      <c r="AE256" s="80" t="b">
        <v>0</v>
      </c>
      <c r="AF256" s="80">
        <v>2</v>
      </c>
      <c r="AG256" s="85" t="s">
        <v>871</v>
      </c>
      <c r="AH256" s="80" t="b">
        <v>0</v>
      </c>
      <c r="AI256" s="80" t="s">
        <v>882</v>
      </c>
      <c r="AJ256" s="80"/>
      <c r="AK256" s="85" t="s">
        <v>871</v>
      </c>
      <c r="AL256" s="80" t="b">
        <v>0</v>
      </c>
      <c r="AM256" s="80">
        <v>0</v>
      </c>
      <c r="AN256" s="85" t="s">
        <v>871</v>
      </c>
      <c r="AO256" s="85" t="s">
        <v>891</v>
      </c>
      <c r="AP256" s="80" t="b">
        <v>0</v>
      </c>
      <c r="AQ256" s="85" t="s">
        <v>856</v>
      </c>
      <c r="AR256" s="80" t="s">
        <v>178</v>
      </c>
      <c r="AS256" s="80">
        <v>0</v>
      </c>
      <c r="AT256" s="80">
        <v>0</v>
      </c>
      <c r="AU256" s="80"/>
      <c r="AV256" s="80"/>
      <c r="AW256" s="80"/>
      <c r="AX256" s="80"/>
      <c r="AY256" s="80"/>
      <c r="AZ256" s="80"/>
      <c r="BA256" s="80"/>
      <c r="BB256" s="80"/>
      <c r="BC256">
        <v>1</v>
      </c>
      <c r="BD256" s="79" t="str">
        <f>REPLACE(INDEX(GroupVertices[Group],MATCH(Edges[[#This Row],[Vertex 1]],GroupVertices[Vertex],0)),1,1,"")</f>
        <v>7</v>
      </c>
      <c r="BE256" s="79" t="str">
        <f>REPLACE(INDEX(GroupVertices[Group],MATCH(Edges[[#This Row],[Vertex 2]],GroupVertices[Vertex],0)),1,1,"")</f>
        <v>7</v>
      </c>
      <c r="BF256" s="49">
        <v>0</v>
      </c>
      <c r="BG256" s="50">
        <v>0</v>
      </c>
      <c r="BH256" s="49">
        <v>0</v>
      </c>
      <c r="BI256" s="50">
        <v>0</v>
      </c>
      <c r="BJ256" s="49">
        <v>0</v>
      </c>
      <c r="BK256" s="50">
        <v>0</v>
      </c>
      <c r="BL256" s="49">
        <v>11</v>
      </c>
      <c r="BM256" s="50">
        <v>100</v>
      </c>
      <c r="BN256" s="49">
        <v>11</v>
      </c>
    </row>
    <row r="257" spans="1:66" ht="15">
      <c r="A257" s="65" t="s">
        <v>355</v>
      </c>
      <c r="B257" s="65" t="s">
        <v>376</v>
      </c>
      <c r="C257" s="66" t="s">
        <v>2699</v>
      </c>
      <c r="D257" s="67">
        <v>10</v>
      </c>
      <c r="E257" s="68" t="s">
        <v>136</v>
      </c>
      <c r="F257" s="69">
        <v>10</v>
      </c>
      <c r="G257" s="66"/>
      <c r="H257" s="70"/>
      <c r="I257" s="71"/>
      <c r="J257" s="71"/>
      <c r="K257" s="35" t="s">
        <v>65</v>
      </c>
      <c r="L257" s="78">
        <v>257</v>
      </c>
      <c r="M257" s="78"/>
      <c r="N257" s="73"/>
      <c r="O257" s="80" t="s">
        <v>384</v>
      </c>
      <c r="P257" s="82">
        <v>44460.80269675926</v>
      </c>
      <c r="Q257" s="80" t="s">
        <v>426</v>
      </c>
      <c r="R257" s="80"/>
      <c r="S257" s="80"/>
      <c r="T257" s="85" t="s">
        <v>499</v>
      </c>
      <c r="U257" s="83" t="str">
        <f>HYPERLINK("https://pbs.twimg.com/media/E_1Ow97UUAYV0Is.jpg")</f>
        <v>https://pbs.twimg.com/media/E_1Ow97UUAYV0Is.jpg</v>
      </c>
      <c r="V257" s="83" t="str">
        <f>HYPERLINK("https://pbs.twimg.com/media/E_1Ow97UUAYV0Is.jpg")</f>
        <v>https://pbs.twimg.com/media/E_1Ow97UUAYV0Is.jpg</v>
      </c>
      <c r="W257" s="82">
        <v>44460.80269675926</v>
      </c>
      <c r="X257" s="88">
        <v>44460</v>
      </c>
      <c r="Y257" s="85" t="s">
        <v>683</v>
      </c>
      <c r="Z257" s="83" t="str">
        <f>HYPERLINK("https://twitter.com/doculqqeec/status/1440394370226667525")</f>
        <v>https://twitter.com/doculqqeec/status/1440394370226667525</v>
      </c>
      <c r="AA257" s="80"/>
      <c r="AB257" s="80"/>
      <c r="AC257" s="85" t="s">
        <v>857</v>
      </c>
      <c r="AD257" s="80"/>
      <c r="AE257" s="80" t="b">
        <v>0</v>
      </c>
      <c r="AF257" s="80">
        <v>8</v>
      </c>
      <c r="AG257" s="85" t="s">
        <v>871</v>
      </c>
      <c r="AH257" s="80" t="b">
        <v>0</v>
      </c>
      <c r="AI257" s="80" t="s">
        <v>882</v>
      </c>
      <c r="AJ257" s="80"/>
      <c r="AK257" s="85" t="s">
        <v>871</v>
      </c>
      <c r="AL257" s="80" t="b">
        <v>0</v>
      </c>
      <c r="AM257" s="80">
        <v>3</v>
      </c>
      <c r="AN257" s="85" t="s">
        <v>871</v>
      </c>
      <c r="AO257" s="85" t="s">
        <v>891</v>
      </c>
      <c r="AP257" s="80" t="b">
        <v>0</v>
      </c>
      <c r="AQ257" s="85" t="s">
        <v>857</v>
      </c>
      <c r="AR257" s="80" t="s">
        <v>178</v>
      </c>
      <c r="AS257" s="80">
        <v>0</v>
      </c>
      <c r="AT257" s="80">
        <v>0</v>
      </c>
      <c r="AU257" s="80"/>
      <c r="AV257" s="80"/>
      <c r="AW257" s="80"/>
      <c r="AX257" s="80"/>
      <c r="AY257" s="80"/>
      <c r="AZ257" s="80"/>
      <c r="BA257" s="80"/>
      <c r="BB257" s="80"/>
      <c r="BC257">
        <v>9</v>
      </c>
      <c r="BD257" s="79" t="str">
        <f>REPLACE(INDEX(GroupVertices[Group],MATCH(Edges[[#This Row],[Vertex 1]],GroupVertices[Vertex],0)),1,1,"")</f>
        <v>7</v>
      </c>
      <c r="BE257" s="79" t="str">
        <f>REPLACE(INDEX(GroupVertices[Group],MATCH(Edges[[#This Row],[Vertex 2]],GroupVertices[Vertex],0)),1,1,"")</f>
        <v>7</v>
      </c>
      <c r="BF257" s="49">
        <v>0</v>
      </c>
      <c r="BG257" s="50">
        <v>0</v>
      </c>
      <c r="BH257" s="49">
        <v>0</v>
      </c>
      <c r="BI257" s="50">
        <v>0</v>
      </c>
      <c r="BJ257" s="49">
        <v>0</v>
      </c>
      <c r="BK257" s="50">
        <v>0</v>
      </c>
      <c r="BL257" s="49">
        <v>22</v>
      </c>
      <c r="BM257" s="50">
        <v>100</v>
      </c>
      <c r="BN257" s="49">
        <v>22</v>
      </c>
    </row>
    <row r="258" spans="1:66" ht="15">
      <c r="A258" s="65" t="s">
        <v>355</v>
      </c>
      <c r="B258" s="65" t="s">
        <v>376</v>
      </c>
      <c r="C258" s="66" t="s">
        <v>2699</v>
      </c>
      <c r="D258" s="67">
        <v>10</v>
      </c>
      <c r="E258" s="68" t="s">
        <v>136</v>
      </c>
      <c r="F258" s="69">
        <v>10</v>
      </c>
      <c r="G258" s="66"/>
      <c r="H258" s="70"/>
      <c r="I258" s="71"/>
      <c r="J258" s="71"/>
      <c r="K258" s="35" t="s">
        <v>65</v>
      </c>
      <c r="L258" s="78">
        <v>258</v>
      </c>
      <c r="M258" s="78"/>
      <c r="N258" s="73"/>
      <c r="O258" s="80" t="s">
        <v>384</v>
      </c>
      <c r="P258" s="82">
        <v>44464.21675925926</v>
      </c>
      <c r="Q258" s="80" t="s">
        <v>443</v>
      </c>
      <c r="R258" s="80"/>
      <c r="S258" s="80"/>
      <c r="T258" s="85" t="s">
        <v>513</v>
      </c>
      <c r="U258" s="83" t="str">
        <f>HYPERLINK("https://pbs.twimg.com/media/FAG0RG2XMAEwlp7.jpg")</f>
        <v>https://pbs.twimg.com/media/FAG0RG2XMAEwlp7.jpg</v>
      </c>
      <c r="V258" s="83" t="str">
        <f>HYPERLINK("https://pbs.twimg.com/media/FAG0RG2XMAEwlp7.jpg")</f>
        <v>https://pbs.twimg.com/media/FAG0RG2XMAEwlp7.jpg</v>
      </c>
      <c r="W258" s="82">
        <v>44464.21675925926</v>
      </c>
      <c r="X258" s="88">
        <v>44464</v>
      </c>
      <c r="Y258" s="85" t="s">
        <v>684</v>
      </c>
      <c r="Z258" s="83" t="str">
        <f>HYPERLINK("https://twitter.com/doculqqeec/status/1441631582436028418")</f>
        <v>https://twitter.com/doculqqeec/status/1441631582436028418</v>
      </c>
      <c r="AA258" s="80"/>
      <c r="AB258" s="80"/>
      <c r="AC258" s="85" t="s">
        <v>858</v>
      </c>
      <c r="AD258" s="80"/>
      <c r="AE258" s="80" t="b">
        <v>0</v>
      </c>
      <c r="AF258" s="80">
        <v>1</v>
      </c>
      <c r="AG258" s="85" t="s">
        <v>871</v>
      </c>
      <c r="AH258" s="80" t="b">
        <v>0</v>
      </c>
      <c r="AI258" s="80" t="s">
        <v>882</v>
      </c>
      <c r="AJ258" s="80"/>
      <c r="AK258" s="85" t="s">
        <v>871</v>
      </c>
      <c r="AL258" s="80" t="b">
        <v>0</v>
      </c>
      <c r="AM258" s="80">
        <v>0</v>
      </c>
      <c r="AN258" s="85" t="s">
        <v>871</v>
      </c>
      <c r="AO258" s="85" t="s">
        <v>890</v>
      </c>
      <c r="AP258" s="80" t="b">
        <v>0</v>
      </c>
      <c r="AQ258" s="85" t="s">
        <v>858</v>
      </c>
      <c r="AR258" s="80" t="s">
        <v>178</v>
      </c>
      <c r="AS258" s="80">
        <v>0</v>
      </c>
      <c r="AT258" s="80">
        <v>0</v>
      </c>
      <c r="AU258" s="80"/>
      <c r="AV258" s="80"/>
      <c r="AW258" s="80"/>
      <c r="AX258" s="80"/>
      <c r="AY258" s="80"/>
      <c r="AZ258" s="80"/>
      <c r="BA258" s="80"/>
      <c r="BB258" s="80"/>
      <c r="BC258">
        <v>9</v>
      </c>
      <c r="BD258" s="79" t="str">
        <f>REPLACE(INDEX(GroupVertices[Group],MATCH(Edges[[#This Row],[Vertex 1]],GroupVertices[Vertex],0)),1,1,"")</f>
        <v>7</v>
      </c>
      <c r="BE258" s="79" t="str">
        <f>REPLACE(INDEX(GroupVertices[Group],MATCH(Edges[[#This Row],[Vertex 2]],GroupVertices[Vertex],0)),1,1,"")</f>
        <v>7</v>
      </c>
      <c r="BF258" s="49">
        <v>1</v>
      </c>
      <c r="BG258" s="50">
        <v>4.3478260869565215</v>
      </c>
      <c r="BH258" s="49">
        <v>0</v>
      </c>
      <c r="BI258" s="50">
        <v>0</v>
      </c>
      <c r="BJ258" s="49">
        <v>0</v>
      </c>
      <c r="BK258" s="50">
        <v>0</v>
      </c>
      <c r="BL258" s="49">
        <v>22</v>
      </c>
      <c r="BM258" s="50">
        <v>95.65217391304348</v>
      </c>
      <c r="BN258" s="49">
        <v>23</v>
      </c>
    </row>
    <row r="259" spans="1:66" ht="15">
      <c r="A259" s="65" t="s">
        <v>355</v>
      </c>
      <c r="B259" s="65" t="s">
        <v>376</v>
      </c>
      <c r="C259" s="66" t="s">
        <v>2699</v>
      </c>
      <c r="D259" s="67">
        <v>10</v>
      </c>
      <c r="E259" s="68" t="s">
        <v>136</v>
      </c>
      <c r="F259" s="69">
        <v>10</v>
      </c>
      <c r="G259" s="66"/>
      <c r="H259" s="70"/>
      <c r="I259" s="71"/>
      <c r="J259" s="71"/>
      <c r="K259" s="35" t="s">
        <v>65</v>
      </c>
      <c r="L259" s="78">
        <v>259</v>
      </c>
      <c r="M259" s="78"/>
      <c r="N259" s="73"/>
      <c r="O259" s="80" t="s">
        <v>384</v>
      </c>
      <c r="P259" s="82">
        <v>44464.224224537036</v>
      </c>
      <c r="Q259" s="80" t="s">
        <v>444</v>
      </c>
      <c r="R259" s="80"/>
      <c r="S259" s="80"/>
      <c r="T259" s="85" t="s">
        <v>514</v>
      </c>
      <c r="U259" s="83" t="str">
        <f>HYPERLINK("https://pbs.twimg.com/media/FAG2vXKXsAAgM6P.jpg")</f>
        <v>https://pbs.twimg.com/media/FAG2vXKXsAAgM6P.jpg</v>
      </c>
      <c r="V259" s="83" t="str">
        <f>HYPERLINK("https://pbs.twimg.com/media/FAG2vXKXsAAgM6P.jpg")</f>
        <v>https://pbs.twimg.com/media/FAG2vXKXsAAgM6P.jpg</v>
      </c>
      <c r="W259" s="82">
        <v>44464.224224537036</v>
      </c>
      <c r="X259" s="88">
        <v>44464</v>
      </c>
      <c r="Y259" s="85" t="s">
        <v>685</v>
      </c>
      <c r="Z259" s="83" t="str">
        <f>HYPERLINK("https://twitter.com/doculqqeec/status/1441634288500449282")</f>
        <v>https://twitter.com/doculqqeec/status/1441634288500449282</v>
      </c>
      <c r="AA259" s="80"/>
      <c r="AB259" s="80"/>
      <c r="AC259" s="85" t="s">
        <v>859</v>
      </c>
      <c r="AD259" s="80"/>
      <c r="AE259" s="80" t="b">
        <v>0</v>
      </c>
      <c r="AF259" s="80">
        <v>0</v>
      </c>
      <c r="AG259" s="85" t="s">
        <v>871</v>
      </c>
      <c r="AH259" s="80" t="b">
        <v>0</v>
      </c>
      <c r="AI259" s="80" t="s">
        <v>882</v>
      </c>
      <c r="AJ259" s="80"/>
      <c r="AK259" s="85" t="s">
        <v>871</v>
      </c>
      <c r="AL259" s="80" t="b">
        <v>0</v>
      </c>
      <c r="AM259" s="80">
        <v>0</v>
      </c>
      <c r="AN259" s="85" t="s">
        <v>871</v>
      </c>
      <c r="AO259" s="85" t="s">
        <v>890</v>
      </c>
      <c r="AP259" s="80" t="b">
        <v>0</v>
      </c>
      <c r="AQ259" s="85" t="s">
        <v>859</v>
      </c>
      <c r="AR259" s="80" t="s">
        <v>178</v>
      </c>
      <c r="AS259" s="80">
        <v>0</v>
      </c>
      <c r="AT259" s="80">
        <v>0</v>
      </c>
      <c r="AU259" s="80"/>
      <c r="AV259" s="80"/>
      <c r="AW259" s="80"/>
      <c r="AX259" s="80"/>
      <c r="AY259" s="80"/>
      <c r="AZ259" s="80"/>
      <c r="BA259" s="80"/>
      <c r="BB259" s="80"/>
      <c r="BC259">
        <v>9</v>
      </c>
      <c r="BD259" s="79" t="str">
        <f>REPLACE(INDEX(GroupVertices[Group],MATCH(Edges[[#This Row],[Vertex 1]],GroupVertices[Vertex],0)),1,1,"")</f>
        <v>7</v>
      </c>
      <c r="BE259" s="79" t="str">
        <f>REPLACE(INDEX(GroupVertices[Group],MATCH(Edges[[#This Row],[Vertex 2]],GroupVertices[Vertex],0)),1,1,"")</f>
        <v>7</v>
      </c>
      <c r="BF259" s="49">
        <v>0</v>
      </c>
      <c r="BG259" s="50">
        <v>0</v>
      </c>
      <c r="BH259" s="49">
        <v>0</v>
      </c>
      <c r="BI259" s="50">
        <v>0</v>
      </c>
      <c r="BJ259" s="49">
        <v>0</v>
      </c>
      <c r="BK259" s="50">
        <v>0</v>
      </c>
      <c r="BL259" s="49">
        <v>20</v>
      </c>
      <c r="BM259" s="50">
        <v>100</v>
      </c>
      <c r="BN259" s="49">
        <v>20</v>
      </c>
    </row>
    <row r="260" spans="1:66" ht="15">
      <c r="A260" s="65" t="s">
        <v>355</v>
      </c>
      <c r="B260" s="65" t="s">
        <v>355</v>
      </c>
      <c r="C260" s="66" t="s">
        <v>2699</v>
      </c>
      <c r="D260" s="67">
        <v>10</v>
      </c>
      <c r="E260" s="68" t="s">
        <v>132</v>
      </c>
      <c r="F260" s="69">
        <v>10</v>
      </c>
      <c r="G260" s="66"/>
      <c r="H260" s="70"/>
      <c r="I260" s="71"/>
      <c r="J260" s="71"/>
      <c r="K260" s="35" t="s">
        <v>65</v>
      </c>
      <c r="L260" s="78">
        <v>260</v>
      </c>
      <c r="M260" s="78"/>
      <c r="N260" s="73"/>
      <c r="O260" s="80" t="s">
        <v>178</v>
      </c>
      <c r="P260" s="82">
        <v>44459.80018518519</v>
      </c>
      <c r="Q260" s="80" t="s">
        <v>445</v>
      </c>
      <c r="R260" s="83" t="str">
        <f>HYPERLINK("https://www.elsiglodedurango.com.mx/2021/09/1341510.cinta-sobre-caravana-migrante-se-estrena-en-el-giff.html#.YUjc25Gos58.twitter")</f>
        <v>https://www.elsiglodedurango.com.mx/2021/09/1341510.cinta-sobre-caravana-migrante-se-estrena-en-el-giff.html#.YUjc25Gos58.twitter</v>
      </c>
      <c r="S260" s="80" t="s">
        <v>451</v>
      </c>
      <c r="T260" s="85" t="s">
        <v>512</v>
      </c>
      <c r="U260" s="80"/>
      <c r="V260" s="83" t="str">
        <f>HYPERLINK("https://pbs.twimg.com/profile_images/1434562316260020227/iFWiRrk1_normal.jpg")</f>
        <v>https://pbs.twimg.com/profile_images/1434562316260020227/iFWiRrk1_normal.jpg</v>
      </c>
      <c r="W260" s="82">
        <v>44459.80018518519</v>
      </c>
      <c r="X260" s="88">
        <v>44459</v>
      </c>
      <c r="Y260" s="85" t="s">
        <v>686</v>
      </c>
      <c r="Z260" s="83" t="str">
        <f>HYPERLINK("https://twitter.com/doculqqeec/status/1440031072331259909")</f>
        <v>https://twitter.com/doculqqeec/status/1440031072331259909</v>
      </c>
      <c r="AA260" s="80"/>
      <c r="AB260" s="80"/>
      <c r="AC260" s="85" t="s">
        <v>860</v>
      </c>
      <c r="AD260" s="80"/>
      <c r="AE260" s="80" t="b">
        <v>0</v>
      </c>
      <c r="AF260" s="80">
        <v>1</v>
      </c>
      <c r="AG260" s="85" t="s">
        <v>871</v>
      </c>
      <c r="AH260" s="80" t="b">
        <v>0</v>
      </c>
      <c r="AI260" s="80" t="s">
        <v>882</v>
      </c>
      <c r="AJ260" s="80"/>
      <c r="AK260" s="85" t="s">
        <v>871</v>
      </c>
      <c r="AL260" s="80" t="b">
        <v>0</v>
      </c>
      <c r="AM260" s="80">
        <v>0</v>
      </c>
      <c r="AN260" s="85" t="s">
        <v>871</v>
      </c>
      <c r="AO260" s="85" t="s">
        <v>891</v>
      </c>
      <c r="AP260" s="80" t="b">
        <v>0</v>
      </c>
      <c r="AQ260" s="85" t="s">
        <v>860</v>
      </c>
      <c r="AR260" s="80" t="s">
        <v>178</v>
      </c>
      <c r="AS260" s="80">
        <v>0</v>
      </c>
      <c r="AT260" s="80">
        <v>0</v>
      </c>
      <c r="AU260" s="80"/>
      <c r="AV260" s="80"/>
      <c r="AW260" s="80"/>
      <c r="AX260" s="80"/>
      <c r="AY260" s="80"/>
      <c r="AZ260" s="80"/>
      <c r="BA260" s="80"/>
      <c r="BB260" s="80"/>
      <c r="BC260">
        <v>4</v>
      </c>
      <c r="BD260" s="79" t="str">
        <f>REPLACE(INDEX(GroupVertices[Group],MATCH(Edges[[#This Row],[Vertex 1]],GroupVertices[Vertex],0)),1,1,"")</f>
        <v>7</v>
      </c>
      <c r="BE260" s="79" t="str">
        <f>REPLACE(INDEX(GroupVertices[Group],MATCH(Edges[[#This Row],[Vertex 2]],GroupVertices[Vertex],0)),1,1,"")</f>
        <v>7</v>
      </c>
      <c r="BF260" s="49">
        <v>0</v>
      </c>
      <c r="BG260" s="50">
        <v>0</v>
      </c>
      <c r="BH260" s="49">
        <v>0</v>
      </c>
      <c r="BI260" s="50">
        <v>0</v>
      </c>
      <c r="BJ260" s="49">
        <v>0</v>
      </c>
      <c r="BK260" s="50">
        <v>0</v>
      </c>
      <c r="BL260" s="49">
        <v>26</v>
      </c>
      <c r="BM260" s="50">
        <v>100</v>
      </c>
      <c r="BN260" s="49">
        <v>26</v>
      </c>
    </row>
    <row r="261" spans="1:66" ht="15">
      <c r="A261" s="65" t="s">
        <v>355</v>
      </c>
      <c r="B261" s="65" t="s">
        <v>355</v>
      </c>
      <c r="C261" s="66" t="s">
        <v>2699</v>
      </c>
      <c r="D261" s="67">
        <v>10</v>
      </c>
      <c r="E261" s="68" t="s">
        <v>132</v>
      </c>
      <c r="F261" s="69">
        <v>10</v>
      </c>
      <c r="G261" s="66"/>
      <c r="H261" s="70"/>
      <c r="I261" s="71"/>
      <c r="J261" s="71"/>
      <c r="K261" s="35" t="s">
        <v>65</v>
      </c>
      <c r="L261" s="78">
        <v>261</v>
      </c>
      <c r="M261" s="78"/>
      <c r="N261" s="73"/>
      <c r="O261" s="80" t="s">
        <v>178</v>
      </c>
      <c r="P261" s="82">
        <v>44464.243796296294</v>
      </c>
      <c r="Q261" s="80" t="s">
        <v>446</v>
      </c>
      <c r="R261" s="80"/>
      <c r="S261" s="80"/>
      <c r="T261" s="85" t="s">
        <v>515</v>
      </c>
      <c r="U261" s="83" t="str">
        <f>HYPERLINK("https://pbs.twimg.com/media/FAG9LlMX0AYojVq.jpg")</f>
        <v>https://pbs.twimg.com/media/FAG9LlMX0AYojVq.jpg</v>
      </c>
      <c r="V261" s="83" t="str">
        <f>HYPERLINK("https://pbs.twimg.com/media/FAG9LlMX0AYojVq.jpg")</f>
        <v>https://pbs.twimg.com/media/FAG9LlMX0AYojVq.jpg</v>
      </c>
      <c r="W261" s="82">
        <v>44464.243796296294</v>
      </c>
      <c r="X261" s="88">
        <v>44464</v>
      </c>
      <c r="Y261" s="85" t="s">
        <v>687</v>
      </c>
      <c r="Z261" s="83" t="str">
        <f>HYPERLINK("https://twitter.com/doculqqeec/status/1441641380644749316")</f>
        <v>https://twitter.com/doculqqeec/status/1441641380644749316</v>
      </c>
      <c r="AA261" s="80"/>
      <c r="AB261" s="80"/>
      <c r="AC261" s="85" t="s">
        <v>861</v>
      </c>
      <c r="AD261" s="80"/>
      <c r="AE261" s="80" t="b">
        <v>0</v>
      </c>
      <c r="AF261" s="80">
        <v>0</v>
      </c>
      <c r="AG261" s="85" t="s">
        <v>871</v>
      </c>
      <c r="AH261" s="80" t="b">
        <v>0</v>
      </c>
      <c r="AI261" s="80" t="s">
        <v>882</v>
      </c>
      <c r="AJ261" s="80"/>
      <c r="AK261" s="85" t="s">
        <v>871</v>
      </c>
      <c r="AL261" s="80" t="b">
        <v>0</v>
      </c>
      <c r="AM261" s="80">
        <v>0</v>
      </c>
      <c r="AN261" s="85" t="s">
        <v>871</v>
      </c>
      <c r="AO261" s="85" t="s">
        <v>890</v>
      </c>
      <c r="AP261" s="80" t="b">
        <v>0</v>
      </c>
      <c r="AQ261" s="85" t="s">
        <v>861</v>
      </c>
      <c r="AR261" s="80" t="s">
        <v>178</v>
      </c>
      <c r="AS261" s="80">
        <v>0</v>
      </c>
      <c r="AT261" s="80">
        <v>0</v>
      </c>
      <c r="AU261" s="80"/>
      <c r="AV261" s="80"/>
      <c r="AW261" s="80"/>
      <c r="AX261" s="80"/>
      <c r="AY261" s="80"/>
      <c r="AZ261" s="80"/>
      <c r="BA261" s="80"/>
      <c r="BB261" s="80"/>
      <c r="BC261">
        <v>4</v>
      </c>
      <c r="BD261" s="79" t="str">
        <f>REPLACE(INDEX(GroupVertices[Group],MATCH(Edges[[#This Row],[Vertex 1]],GroupVertices[Vertex],0)),1,1,"")</f>
        <v>7</v>
      </c>
      <c r="BE261" s="79" t="str">
        <f>REPLACE(INDEX(GroupVertices[Group],MATCH(Edges[[#This Row],[Vertex 2]],GroupVertices[Vertex],0)),1,1,"")</f>
        <v>7</v>
      </c>
      <c r="BF261" s="49">
        <v>0</v>
      </c>
      <c r="BG261" s="50">
        <v>0</v>
      </c>
      <c r="BH261" s="49">
        <v>0</v>
      </c>
      <c r="BI261" s="50">
        <v>0</v>
      </c>
      <c r="BJ261" s="49">
        <v>0</v>
      </c>
      <c r="BK261" s="50">
        <v>0</v>
      </c>
      <c r="BL261" s="49">
        <v>22</v>
      </c>
      <c r="BM261" s="50">
        <v>100</v>
      </c>
      <c r="BN261" s="49">
        <v>22</v>
      </c>
    </row>
    <row r="262" spans="1:66" ht="15">
      <c r="A262" s="65" t="s">
        <v>356</v>
      </c>
      <c r="B262" s="65" t="s">
        <v>356</v>
      </c>
      <c r="C262" s="66" t="s">
        <v>2698</v>
      </c>
      <c r="D262" s="67">
        <v>4</v>
      </c>
      <c r="E262" s="68" t="s">
        <v>132</v>
      </c>
      <c r="F262" s="69">
        <v>30</v>
      </c>
      <c r="G262" s="66"/>
      <c r="H262" s="70"/>
      <c r="I262" s="71"/>
      <c r="J262" s="71"/>
      <c r="K262" s="35" t="s">
        <v>65</v>
      </c>
      <c r="L262" s="78">
        <v>262</v>
      </c>
      <c r="M262" s="78"/>
      <c r="N262" s="73"/>
      <c r="O262" s="80" t="s">
        <v>178</v>
      </c>
      <c r="P262" s="82">
        <v>44464.56361111111</v>
      </c>
      <c r="Q262" s="80" t="s">
        <v>447</v>
      </c>
      <c r="R262" s="83" t="str">
        <f>HYPERLINK("https://laopinion.com/2021/09/22/migrantes-haitianos-secuestraron-brevemente-un-autobus-que-los-llevaba-a-un-aeropuerto-para-su-deportacion-en-texas/")</f>
        <v>https://laopinion.com/2021/09/22/migrantes-haitianos-secuestraron-brevemente-un-autobus-que-los-llevaba-a-un-aeropuerto-para-su-deportacion-en-texas/</v>
      </c>
      <c r="S262" s="80" t="s">
        <v>466</v>
      </c>
      <c r="T262" s="85" t="s">
        <v>516</v>
      </c>
      <c r="U262" s="80"/>
      <c r="V262" s="83" t="str">
        <f>HYPERLINK("https://pbs.twimg.com/profile_images/1190664336181800960/q0hSqNrB_normal.jpg")</f>
        <v>https://pbs.twimg.com/profile_images/1190664336181800960/q0hSqNrB_normal.jpg</v>
      </c>
      <c r="W262" s="82">
        <v>44464.56361111111</v>
      </c>
      <c r="X262" s="88">
        <v>44464</v>
      </c>
      <c r="Y262" s="85" t="s">
        <v>688</v>
      </c>
      <c r="Z262" s="83" t="str">
        <f>HYPERLINK("https://twitter.com/vrodriguezphd/status/1441757280681218048")</f>
        <v>https://twitter.com/vrodriguezphd/status/1441757280681218048</v>
      </c>
      <c r="AA262" s="80"/>
      <c r="AB262" s="80"/>
      <c r="AC262" s="85" t="s">
        <v>862</v>
      </c>
      <c r="AD262" s="80"/>
      <c r="AE262" s="80" t="b">
        <v>0</v>
      </c>
      <c r="AF262" s="80">
        <v>1</v>
      </c>
      <c r="AG262" s="85" t="s">
        <v>871</v>
      </c>
      <c r="AH262" s="80" t="b">
        <v>0</v>
      </c>
      <c r="AI262" s="80" t="s">
        <v>882</v>
      </c>
      <c r="AJ262" s="80"/>
      <c r="AK262" s="85" t="s">
        <v>871</v>
      </c>
      <c r="AL262" s="80" t="b">
        <v>0</v>
      </c>
      <c r="AM262" s="80">
        <v>1</v>
      </c>
      <c r="AN262" s="85" t="s">
        <v>871</v>
      </c>
      <c r="AO262" s="85" t="s">
        <v>891</v>
      </c>
      <c r="AP262" s="80" t="b">
        <v>0</v>
      </c>
      <c r="AQ262" s="85" t="s">
        <v>862</v>
      </c>
      <c r="AR262" s="80" t="s">
        <v>178</v>
      </c>
      <c r="AS262" s="80">
        <v>0</v>
      </c>
      <c r="AT262" s="80">
        <v>0</v>
      </c>
      <c r="AU262" s="80"/>
      <c r="AV262" s="80"/>
      <c r="AW262" s="80"/>
      <c r="AX262" s="80"/>
      <c r="AY262" s="80"/>
      <c r="AZ262" s="80"/>
      <c r="BA262" s="80"/>
      <c r="BB262" s="80"/>
      <c r="BC262">
        <v>1</v>
      </c>
      <c r="BD262" s="79" t="str">
        <f>REPLACE(INDEX(GroupVertices[Group],MATCH(Edges[[#This Row],[Vertex 1]],GroupVertices[Vertex],0)),1,1,"")</f>
        <v>18</v>
      </c>
      <c r="BE262" s="79" t="str">
        <f>REPLACE(INDEX(GroupVertices[Group],MATCH(Edges[[#This Row],[Vertex 2]],GroupVertices[Vertex],0)),1,1,"")</f>
        <v>18</v>
      </c>
      <c r="BF262" s="49">
        <v>0</v>
      </c>
      <c r="BG262" s="50">
        <v>0</v>
      </c>
      <c r="BH262" s="49">
        <v>0</v>
      </c>
      <c r="BI262" s="50">
        <v>0</v>
      </c>
      <c r="BJ262" s="49">
        <v>0</v>
      </c>
      <c r="BK262" s="50">
        <v>0</v>
      </c>
      <c r="BL262" s="49">
        <v>29</v>
      </c>
      <c r="BM262" s="50">
        <v>100</v>
      </c>
      <c r="BN262" s="49">
        <v>29</v>
      </c>
    </row>
    <row r="263" spans="1:66" ht="15">
      <c r="A263" s="65" t="s">
        <v>357</v>
      </c>
      <c r="B263" s="65" t="s">
        <v>356</v>
      </c>
      <c r="C263" s="66" t="s">
        <v>2698</v>
      </c>
      <c r="D263" s="67">
        <v>4</v>
      </c>
      <c r="E263" s="68" t="s">
        <v>132</v>
      </c>
      <c r="F263" s="69">
        <v>30</v>
      </c>
      <c r="G263" s="66"/>
      <c r="H263" s="70"/>
      <c r="I263" s="71"/>
      <c r="J263" s="71"/>
      <c r="K263" s="35" t="s">
        <v>65</v>
      </c>
      <c r="L263" s="78">
        <v>263</v>
      </c>
      <c r="M263" s="78"/>
      <c r="N263" s="73"/>
      <c r="O263" s="80" t="s">
        <v>383</v>
      </c>
      <c r="P263" s="82">
        <v>44464.56815972222</v>
      </c>
      <c r="Q263" s="80" t="s">
        <v>447</v>
      </c>
      <c r="R263" s="83" t="str">
        <f>HYPERLINK("https://laopinion.com/2021/09/22/migrantes-haitianos-secuestraron-brevemente-un-autobus-que-los-llevaba-a-un-aeropuerto-para-su-deportacion-en-texas/")</f>
        <v>https://laopinion.com/2021/09/22/migrantes-haitianos-secuestraron-brevemente-un-autobus-que-los-llevaba-a-un-aeropuerto-para-su-deportacion-en-texas/</v>
      </c>
      <c r="S263" s="80" t="s">
        <v>466</v>
      </c>
      <c r="T263" s="85" t="s">
        <v>516</v>
      </c>
      <c r="U263" s="80"/>
      <c r="V263" s="83" t="str">
        <f>HYPERLINK("https://pbs.twimg.com/profile_images/787265503828054016/kFUqcwx4_normal.jpg")</f>
        <v>https://pbs.twimg.com/profile_images/787265503828054016/kFUqcwx4_normal.jpg</v>
      </c>
      <c r="W263" s="82">
        <v>44464.56815972222</v>
      </c>
      <c r="X263" s="88">
        <v>44464</v>
      </c>
      <c r="Y263" s="85" t="s">
        <v>689</v>
      </c>
      <c r="Z263" s="83" t="str">
        <f>HYPERLINK("https://twitter.com/chefbaez/status/1441758925989154816")</f>
        <v>https://twitter.com/chefbaez/status/1441758925989154816</v>
      </c>
      <c r="AA263" s="80"/>
      <c r="AB263" s="80"/>
      <c r="AC263" s="85" t="s">
        <v>863</v>
      </c>
      <c r="AD263" s="80"/>
      <c r="AE263" s="80" t="b">
        <v>0</v>
      </c>
      <c r="AF263" s="80">
        <v>0</v>
      </c>
      <c r="AG263" s="85" t="s">
        <v>871</v>
      </c>
      <c r="AH263" s="80" t="b">
        <v>0</v>
      </c>
      <c r="AI263" s="80" t="s">
        <v>882</v>
      </c>
      <c r="AJ263" s="80"/>
      <c r="AK263" s="85" t="s">
        <v>871</v>
      </c>
      <c r="AL263" s="80" t="b">
        <v>0</v>
      </c>
      <c r="AM263" s="80">
        <v>1</v>
      </c>
      <c r="AN263" s="85" t="s">
        <v>862</v>
      </c>
      <c r="AO263" s="85" t="s">
        <v>891</v>
      </c>
      <c r="AP263" s="80" t="b">
        <v>0</v>
      </c>
      <c r="AQ263" s="85" t="s">
        <v>862</v>
      </c>
      <c r="AR263" s="80" t="s">
        <v>178</v>
      </c>
      <c r="AS263" s="80">
        <v>0</v>
      </c>
      <c r="AT263" s="80">
        <v>0</v>
      </c>
      <c r="AU263" s="80"/>
      <c r="AV263" s="80"/>
      <c r="AW263" s="80"/>
      <c r="AX263" s="80"/>
      <c r="AY263" s="80"/>
      <c r="AZ263" s="80"/>
      <c r="BA263" s="80"/>
      <c r="BB263" s="80"/>
      <c r="BC263">
        <v>1</v>
      </c>
      <c r="BD263" s="79" t="str">
        <f>REPLACE(INDEX(GroupVertices[Group],MATCH(Edges[[#This Row],[Vertex 1]],GroupVertices[Vertex],0)),1,1,"")</f>
        <v>18</v>
      </c>
      <c r="BE263" s="79" t="str">
        <f>REPLACE(INDEX(GroupVertices[Group],MATCH(Edges[[#This Row],[Vertex 2]],GroupVertices[Vertex],0)),1,1,"")</f>
        <v>18</v>
      </c>
      <c r="BF263" s="49">
        <v>0</v>
      </c>
      <c r="BG263" s="50">
        <v>0</v>
      </c>
      <c r="BH263" s="49">
        <v>0</v>
      </c>
      <c r="BI263" s="50">
        <v>0</v>
      </c>
      <c r="BJ263" s="49">
        <v>0</v>
      </c>
      <c r="BK263" s="50">
        <v>0</v>
      </c>
      <c r="BL263" s="49">
        <v>29</v>
      </c>
      <c r="BM263" s="50">
        <v>100</v>
      </c>
      <c r="BN263" s="49">
        <v>29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3"/>
    <dataValidation allowBlank="1" showErrorMessage="1" sqref="N2:N2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3"/>
    <dataValidation allowBlank="1" showInputMessage="1" promptTitle="Edge Color" prompt="To select an optional edge color, right-click and select Select Color on the right-click menu." sqref="C3:C263"/>
    <dataValidation allowBlank="1" showInputMessage="1" promptTitle="Edge Width" prompt="Enter an optional edge width between 1 and 10." errorTitle="Invalid Edge Width" error="The optional edge width must be a whole number between 1 and 10." sqref="D3:D263"/>
    <dataValidation allowBlank="1" showInputMessage="1" promptTitle="Edge Opacity" prompt="Enter an optional edge opacity between 0 (transparent) and 100 (opaque)." errorTitle="Invalid Edge Opacity" error="The optional edge opacity must be a whole number between 0 and 10." sqref="F3:F2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3">
      <formula1>ValidEdgeVisibilities</formula1>
    </dataValidation>
    <dataValidation allowBlank="1" showInputMessage="1" showErrorMessage="1" promptTitle="Vertex 1 Name" prompt="Enter the name of the edge's first vertex." sqref="A3:A263"/>
    <dataValidation allowBlank="1" showInputMessage="1" showErrorMessage="1" promptTitle="Vertex 2 Name" prompt="Enter the name of the edge's second vertex." sqref="B3:B263"/>
    <dataValidation allowBlank="1" showInputMessage="1" showErrorMessage="1" promptTitle="Edge Label" prompt="Enter an optional edge label." errorTitle="Invalid Edge Visibility" error="You have entered an unrecognized edge visibility.  Try selecting from the drop-down list instead." sqref="H3:H2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023EA-BEF2-4871-BD82-4698A00C6038}">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2109</v>
      </c>
      <c r="B2" s="113" t="s">
        <v>2110</v>
      </c>
      <c r="C2" s="54" t="s">
        <v>2111</v>
      </c>
    </row>
    <row r="3" spans="1:3" ht="15">
      <c r="A3" s="112" t="s">
        <v>1651</v>
      </c>
      <c r="B3" s="112" t="s">
        <v>1651</v>
      </c>
      <c r="C3" s="35">
        <v>37</v>
      </c>
    </row>
    <row r="4" spans="1:3" ht="15">
      <c r="A4" s="112" t="s">
        <v>1652</v>
      </c>
      <c r="B4" s="129" t="s">
        <v>1652</v>
      </c>
      <c r="C4" s="35">
        <v>58</v>
      </c>
    </row>
    <row r="5" spans="1:3" ht="15">
      <c r="A5" s="112" t="s">
        <v>1653</v>
      </c>
      <c r="B5" s="129" t="s">
        <v>1653</v>
      </c>
      <c r="C5" s="35">
        <v>25</v>
      </c>
    </row>
    <row r="6" spans="1:3" ht="15">
      <c r="A6" s="112" t="s">
        <v>1654</v>
      </c>
      <c r="B6" s="129" t="s">
        <v>1654</v>
      </c>
      <c r="C6" s="35">
        <v>15</v>
      </c>
    </row>
    <row r="7" spans="1:3" ht="15">
      <c r="A7" s="112" t="s">
        <v>1655</v>
      </c>
      <c r="B7" s="129" t="s">
        <v>1652</v>
      </c>
      <c r="C7" s="35">
        <v>2</v>
      </c>
    </row>
    <row r="8" spans="1:3" ht="15">
      <c r="A8" s="112" t="s">
        <v>1655</v>
      </c>
      <c r="B8" s="129" t="s">
        <v>1655</v>
      </c>
      <c r="C8" s="35">
        <v>10</v>
      </c>
    </row>
    <row r="9" spans="1:3" ht="15">
      <c r="A9" s="112" t="s">
        <v>1656</v>
      </c>
      <c r="B9" s="129" t="s">
        <v>1656</v>
      </c>
      <c r="C9" s="35">
        <v>31</v>
      </c>
    </row>
    <row r="10" spans="1:3" ht="15">
      <c r="A10" s="112" t="s">
        <v>1657</v>
      </c>
      <c r="B10" s="129" t="s">
        <v>1657</v>
      </c>
      <c r="C10" s="35">
        <v>12</v>
      </c>
    </row>
    <row r="11" spans="1:3" ht="15">
      <c r="A11" s="112" t="s">
        <v>1658</v>
      </c>
      <c r="B11" s="129" t="s">
        <v>1658</v>
      </c>
      <c r="C11" s="35">
        <v>6</v>
      </c>
    </row>
    <row r="12" spans="1:3" ht="15">
      <c r="A12" s="112" t="s">
        <v>1659</v>
      </c>
      <c r="B12" s="129" t="s">
        <v>1659</v>
      </c>
      <c r="C12" s="35">
        <v>5</v>
      </c>
    </row>
    <row r="13" spans="1:3" ht="15">
      <c r="A13" s="112" t="s">
        <v>1660</v>
      </c>
      <c r="B13" s="129" t="s">
        <v>1660</v>
      </c>
      <c r="C13" s="35">
        <v>6</v>
      </c>
    </row>
    <row r="14" spans="1:3" ht="15">
      <c r="A14" s="112" t="s">
        <v>1661</v>
      </c>
      <c r="B14" s="129" t="s">
        <v>1661</v>
      </c>
      <c r="C14" s="35">
        <v>11</v>
      </c>
    </row>
    <row r="15" spans="1:3" ht="15">
      <c r="A15" s="112" t="s">
        <v>1662</v>
      </c>
      <c r="B15" s="129" t="s">
        <v>1652</v>
      </c>
      <c r="C15" s="35">
        <v>2</v>
      </c>
    </row>
    <row r="16" spans="1:3" ht="15">
      <c r="A16" s="112" t="s">
        <v>1662</v>
      </c>
      <c r="B16" s="129" t="s">
        <v>1662</v>
      </c>
      <c r="C16" s="35">
        <v>7</v>
      </c>
    </row>
    <row r="17" spans="1:3" ht="15">
      <c r="A17" s="112" t="s">
        <v>1663</v>
      </c>
      <c r="B17" s="129" t="s">
        <v>1663</v>
      </c>
      <c r="C17" s="35">
        <v>4</v>
      </c>
    </row>
    <row r="18" spans="1:3" ht="15">
      <c r="A18" s="112" t="s">
        <v>1664</v>
      </c>
      <c r="B18" s="129" t="s">
        <v>1664</v>
      </c>
      <c r="C18" s="35">
        <v>3</v>
      </c>
    </row>
    <row r="19" spans="1:3" ht="15">
      <c r="A19" s="112" t="s">
        <v>1665</v>
      </c>
      <c r="B19" s="129" t="s">
        <v>1665</v>
      </c>
      <c r="C19" s="35">
        <v>2</v>
      </c>
    </row>
    <row r="20" spans="1:3" ht="15">
      <c r="A20" s="112" t="s">
        <v>1666</v>
      </c>
      <c r="B20" s="129" t="s">
        <v>1666</v>
      </c>
      <c r="C20" s="35">
        <v>3</v>
      </c>
    </row>
    <row r="21" spans="1:3" ht="15">
      <c r="A21" s="112" t="s">
        <v>1667</v>
      </c>
      <c r="B21" s="129" t="s">
        <v>1667</v>
      </c>
      <c r="C21" s="35">
        <v>3</v>
      </c>
    </row>
    <row r="22" spans="1:3" ht="15">
      <c r="A22" s="112" t="s">
        <v>1668</v>
      </c>
      <c r="B22" s="129" t="s">
        <v>1668</v>
      </c>
      <c r="C22" s="35">
        <v>2</v>
      </c>
    </row>
    <row r="23" spans="1:3" ht="15">
      <c r="A23" s="112" t="s">
        <v>1669</v>
      </c>
      <c r="B23" s="129" t="s">
        <v>1669</v>
      </c>
      <c r="C23" s="35">
        <v>1</v>
      </c>
    </row>
    <row r="24" spans="1:3" ht="15">
      <c r="A24" s="112" t="s">
        <v>1670</v>
      </c>
      <c r="B24" s="129" t="s">
        <v>1670</v>
      </c>
      <c r="C24" s="35">
        <v>1</v>
      </c>
    </row>
    <row r="25" spans="1:3" ht="15">
      <c r="A25" s="112" t="s">
        <v>1671</v>
      </c>
      <c r="B25" s="129" t="s">
        <v>1671</v>
      </c>
      <c r="C25" s="35">
        <v>2</v>
      </c>
    </row>
    <row r="26" spans="1:3" ht="15">
      <c r="A26" s="112" t="s">
        <v>1672</v>
      </c>
      <c r="B26" s="129" t="s">
        <v>1672</v>
      </c>
      <c r="C26" s="35">
        <v>3</v>
      </c>
    </row>
    <row r="27" spans="1:3" ht="15">
      <c r="A27" s="112" t="s">
        <v>1673</v>
      </c>
      <c r="B27" s="129" t="s">
        <v>1673</v>
      </c>
      <c r="C27" s="35">
        <v>2</v>
      </c>
    </row>
    <row r="28" spans="1:3" ht="15">
      <c r="A28" s="112" t="s">
        <v>1674</v>
      </c>
      <c r="B28" s="129" t="s">
        <v>1674</v>
      </c>
      <c r="C28" s="35">
        <v>1</v>
      </c>
    </row>
    <row r="29" spans="1:3" ht="15">
      <c r="A29" s="112" t="s">
        <v>1675</v>
      </c>
      <c r="B29" s="129" t="s">
        <v>1675</v>
      </c>
      <c r="C29" s="35">
        <v>2</v>
      </c>
    </row>
    <row r="30" spans="1:3" ht="15">
      <c r="A30" s="112" t="s">
        <v>1676</v>
      </c>
      <c r="B30" s="129" t="s">
        <v>1676</v>
      </c>
      <c r="C30" s="35">
        <v>3</v>
      </c>
    </row>
    <row r="31" spans="1:3" ht="15">
      <c r="A31" s="130" t="s">
        <v>1677</v>
      </c>
      <c r="B31" s="129" t="s">
        <v>1677</v>
      </c>
      <c r="C31" s="35">
        <v>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178B6-1410-4045-9C5E-D1269A3CBE24}">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2131</v>
      </c>
      <c r="B1" s="13" t="s">
        <v>17</v>
      </c>
    </row>
    <row r="2" spans="1:2" ht="15">
      <c r="A2" s="79" t="s">
        <v>2132</v>
      </c>
      <c r="B2" s="79" t="s">
        <v>2138</v>
      </c>
    </row>
    <row r="3" spans="1:2" ht="15">
      <c r="A3" s="80" t="s">
        <v>2133</v>
      </c>
      <c r="B3" s="79" t="s">
        <v>2693</v>
      </c>
    </row>
    <row r="4" spans="1:2" ht="15">
      <c r="A4" s="80" t="s">
        <v>2134</v>
      </c>
      <c r="B4" s="79" t="s">
        <v>2694</v>
      </c>
    </row>
    <row r="5" spans="1:2" ht="15">
      <c r="A5" s="80" t="s">
        <v>2135</v>
      </c>
      <c r="B5" s="79" t="s">
        <v>2695</v>
      </c>
    </row>
    <row r="6" spans="1:2" ht="15">
      <c r="A6" s="80" t="s">
        <v>2136</v>
      </c>
      <c r="B6" s="79" t="s">
        <v>2139</v>
      </c>
    </row>
    <row r="7" spans="1:2" ht="15">
      <c r="A7" s="80" t="s">
        <v>2137</v>
      </c>
      <c r="B7" s="79"/>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DA165-101D-454A-9040-763163B5CBEE}">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2140</v>
      </c>
      <c r="B1" s="13" t="s">
        <v>34</v>
      </c>
    </row>
    <row r="2" spans="1:2" ht="15">
      <c r="A2" s="105" t="s">
        <v>332</v>
      </c>
      <c r="B2" s="79">
        <v>1260</v>
      </c>
    </row>
    <row r="3" spans="1:2" ht="15">
      <c r="A3" s="108" t="s">
        <v>368</v>
      </c>
      <c r="B3" s="79">
        <v>949</v>
      </c>
    </row>
    <row r="4" spans="1:2" ht="15">
      <c r="A4" s="108" t="s">
        <v>363</v>
      </c>
      <c r="B4" s="79">
        <v>248</v>
      </c>
    </row>
    <row r="5" spans="1:2" ht="15">
      <c r="A5" s="108" t="s">
        <v>248</v>
      </c>
      <c r="B5" s="79">
        <v>198</v>
      </c>
    </row>
    <row r="6" spans="1:2" ht="15">
      <c r="A6" s="108" t="s">
        <v>342</v>
      </c>
      <c r="B6" s="79">
        <v>145</v>
      </c>
    </row>
    <row r="7" spans="1:2" ht="15">
      <c r="A7" s="108" t="s">
        <v>341</v>
      </c>
      <c r="B7" s="79">
        <v>145</v>
      </c>
    </row>
    <row r="8" spans="1:2" ht="15">
      <c r="A8" s="108" t="s">
        <v>245</v>
      </c>
      <c r="B8" s="79">
        <v>100</v>
      </c>
    </row>
    <row r="9" spans="1:2" ht="15">
      <c r="A9" s="108" t="s">
        <v>269</v>
      </c>
      <c r="B9" s="79">
        <v>96</v>
      </c>
    </row>
    <row r="10" spans="1:2" ht="15">
      <c r="A10" s="108" t="s">
        <v>337</v>
      </c>
      <c r="B10" s="79">
        <v>55</v>
      </c>
    </row>
    <row r="11" spans="1:2" ht="15">
      <c r="A11" s="108" t="s">
        <v>370</v>
      </c>
      <c r="B11" s="79">
        <v>52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6B6AD-F5B5-4C9B-BFDD-4237C53DDCC6}">
  <dimension ref="A1:V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2141</v>
      </c>
      <c r="B1" s="13" t="s">
        <v>2152</v>
      </c>
      <c r="C1" s="79" t="s">
        <v>2153</v>
      </c>
      <c r="D1" s="79" t="s">
        <v>2155</v>
      </c>
      <c r="E1" s="13" t="s">
        <v>2154</v>
      </c>
      <c r="F1" s="13" t="s">
        <v>2159</v>
      </c>
      <c r="G1" s="13" t="s">
        <v>2158</v>
      </c>
      <c r="H1" s="13" t="s">
        <v>2161</v>
      </c>
      <c r="I1" s="13" t="s">
        <v>2160</v>
      </c>
      <c r="J1" s="13" t="s">
        <v>2173</v>
      </c>
      <c r="K1" s="13" t="s">
        <v>2172</v>
      </c>
      <c r="L1" s="13" t="s">
        <v>2176</v>
      </c>
      <c r="M1" s="13" t="s">
        <v>2175</v>
      </c>
      <c r="N1" s="13" t="s">
        <v>2178</v>
      </c>
      <c r="O1" s="13" t="s">
        <v>2177</v>
      </c>
      <c r="P1" s="13" t="s">
        <v>2182</v>
      </c>
      <c r="Q1" s="13" t="s">
        <v>2181</v>
      </c>
      <c r="R1" s="13" t="s">
        <v>2184</v>
      </c>
      <c r="S1" s="79" t="s">
        <v>2183</v>
      </c>
      <c r="T1" s="79" t="s">
        <v>2186</v>
      </c>
      <c r="U1" s="79" t="s">
        <v>2185</v>
      </c>
      <c r="V1" s="79" t="s">
        <v>2187</v>
      </c>
    </row>
    <row r="2" spans="1:22" ht="15">
      <c r="A2" s="86" t="s">
        <v>2142</v>
      </c>
      <c r="B2" s="79">
        <v>11</v>
      </c>
      <c r="C2" s="79"/>
      <c r="D2" s="79"/>
      <c r="E2" s="86" t="s">
        <v>2144</v>
      </c>
      <c r="F2" s="79">
        <v>7</v>
      </c>
      <c r="G2" s="86" t="s">
        <v>2143</v>
      </c>
      <c r="H2" s="79">
        <v>8</v>
      </c>
      <c r="I2" s="86" t="s">
        <v>2162</v>
      </c>
      <c r="J2" s="79">
        <v>1</v>
      </c>
      <c r="K2" s="86" t="s">
        <v>2174</v>
      </c>
      <c r="L2" s="79">
        <v>2</v>
      </c>
      <c r="M2" s="86" t="s">
        <v>2145</v>
      </c>
      <c r="N2" s="79">
        <v>7</v>
      </c>
      <c r="O2" s="86" t="s">
        <v>2179</v>
      </c>
      <c r="P2" s="79">
        <v>1</v>
      </c>
      <c r="Q2" s="86" t="s">
        <v>2148</v>
      </c>
      <c r="R2" s="79">
        <v>6</v>
      </c>
      <c r="S2" s="79"/>
      <c r="T2" s="79"/>
      <c r="U2" s="79"/>
      <c r="V2" s="79"/>
    </row>
    <row r="3" spans="1:22" ht="15">
      <c r="A3" s="83" t="s">
        <v>2143</v>
      </c>
      <c r="B3" s="79">
        <v>8</v>
      </c>
      <c r="C3" s="79"/>
      <c r="D3" s="79"/>
      <c r="E3" s="86" t="s">
        <v>2156</v>
      </c>
      <c r="F3" s="79">
        <v>2</v>
      </c>
      <c r="G3" s="86" t="s">
        <v>2149</v>
      </c>
      <c r="H3" s="79">
        <v>5</v>
      </c>
      <c r="I3" s="86" t="s">
        <v>2163</v>
      </c>
      <c r="J3" s="79">
        <v>1</v>
      </c>
      <c r="K3" s="79"/>
      <c r="L3" s="79"/>
      <c r="M3" s="86" t="s">
        <v>2146</v>
      </c>
      <c r="N3" s="79">
        <v>7</v>
      </c>
      <c r="O3" s="86" t="s">
        <v>2180</v>
      </c>
      <c r="P3" s="79">
        <v>1</v>
      </c>
      <c r="Q3" s="79"/>
      <c r="R3" s="79"/>
      <c r="S3" s="79"/>
      <c r="T3" s="79"/>
      <c r="U3" s="79"/>
      <c r="V3" s="79"/>
    </row>
    <row r="4" spans="1:22" ht="15">
      <c r="A4" s="83" t="s">
        <v>2144</v>
      </c>
      <c r="B4" s="79">
        <v>7</v>
      </c>
      <c r="C4" s="79"/>
      <c r="D4" s="79"/>
      <c r="E4" s="86" t="s">
        <v>2157</v>
      </c>
      <c r="F4" s="79">
        <v>1</v>
      </c>
      <c r="G4" s="86" t="s">
        <v>2150</v>
      </c>
      <c r="H4" s="79">
        <v>4</v>
      </c>
      <c r="I4" s="86" t="s">
        <v>2164</v>
      </c>
      <c r="J4" s="79">
        <v>1</v>
      </c>
      <c r="K4" s="79"/>
      <c r="L4" s="79"/>
      <c r="M4" s="86" t="s">
        <v>2147</v>
      </c>
      <c r="N4" s="79">
        <v>7</v>
      </c>
      <c r="O4" s="79"/>
      <c r="P4" s="79"/>
      <c r="Q4" s="79"/>
      <c r="R4" s="79"/>
      <c r="S4" s="79"/>
      <c r="T4" s="79"/>
      <c r="U4" s="79"/>
      <c r="V4" s="79"/>
    </row>
    <row r="5" spans="1:22" ht="15">
      <c r="A5" s="83" t="s">
        <v>2145</v>
      </c>
      <c r="B5" s="79">
        <v>7</v>
      </c>
      <c r="C5" s="79"/>
      <c r="D5" s="79"/>
      <c r="E5" s="79"/>
      <c r="F5" s="79"/>
      <c r="G5" s="86" t="s">
        <v>2151</v>
      </c>
      <c r="H5" s="79">
        <v>3</v>
      </c>
      <c r="I5" s="86" t="s">
        <v>2165</v>
      </c>
      <c r="J5" s="79">
        <v>1</v>
      </c>
      <c r="K5" s="79"/>
      <c r="L5" s="79"/>
      <c r="M5" s="79"/>
      <c r="N5" s="79"/>
      <c r="O5" s="79"/>
      <c r="P5" s="79"/>
      <c r="Q5" s="79"/>
      <c r="R5" s="79"/>
      <c r="S5" s="79"/>
      <c r="T5" s="79"/>
      <c r="U5" s="79"/>
      <c r="V5" s="79"/>
    </row>
    <row r="6" spans="1:22" ht="15">
      <c r="A6" s="83" t="s">
        <v>2146</v>
      </c>
      <c r="B6" s="79">
        <v>7</v>
      </c>
      <c r="C6" s="79"/>
      <c r="D6" s="79"/>
      <c r="E6" s="79"/>
      <c r="F6" s="79"/>
      <c r="G6" s="79"/>
      <c r="H6" s="79"/>
      <c r="I6" s="86" t="s">
        <v>2166</v>
      </c>
      <c r="J6" s="79">
        <v>1</v>
      </c>
      <c r="K6" s="79"/>
      <c r="L6" s="79"/>
      <c r="M6" s="79"/>
      <c r="N6" s="79"/>
      <c r="O6" s="79"/>
      <c r="P6" s="79"/>
      <c r="Q6" s="79"/>
      <c r="R6" s="79"/>
      <c r="S6" s="79"/>
      <c r="T6" s="79"/>
      <c r="U6" s="79"/>
      <c r="V6" s="79"/>
    </row>
    <row r="7" spans="1:22" ht="15">
      <c r="A7" s="83" t="s">
        <v>2147</v>
      </c>
      <c r="B7" s="79">
        <v>7</v>
      </c>
      <c r="C7" s="79"/>
      <c r="D7" s="79"/>
      <c r="E7" s="79"/>
      <c r="F7" s="79"/>
      <c r="G7" s="79"/>
      <c r="H7" s="79"/>
      <c r="I7" s="86" t="s">
        <v>2167</v>
      </c>
      <c r="J7" s="79">
        <v>1</v>
      </c>
      <c r="K7" s="79"/>
      <c r="L7" s="79"/>
      <c r="M7" s="79"/>
      <c r="N7" s="79"/>
      <c r="O7" s="79"/>
      <c r="P7" s="79"/>
      <c r="Q7" s="79"/>
      <c r="R7" s="79"/>
      <c r="S7" s="79"/>
      <c r="T7" s="79"/>
      <c r="U7" s="79"/>
      <c r="V7" s="79"/>
    </row>
    <row r="8" spans="1:22" ht="15">
      <c r="A8" s="83" t="s">
        <v>2148</v>
      </c>
      <c r="B8" s="79">
        <v>6</v>
      </c>
      <c r="C8" s="79"/>
      <c r="D8" s="79"/>
      <c r="E8" s="79"/>
      <c r="F8" s="79"/>
      <c r="G8" s="79"/>
      <c r="H8" s="79"/>
      <c r="I8" s="86" t="s">
        <v>2168</v>
      </c>
      <c r="J8" s="79">
        <v>1</v>
      </c>
      <c r="K8" s="79"/>
      <c r="L8" s="79"/>
      <c r="M8" s="79"/>
      <c r="N8" s="79"/>
      <c r="O8" s="79"/>
      <c r="P8" s="79"/>
      <c r="Q8" s="79"/>
      <c r="R8" s="79"/>
      <c r="S8" s="79"/>
      <c r="T8" s="79"/>
      <c r="U8" s="79"/>
      <c r="V8" s="79"/>
    </row>
    <row r="9" spans="1:22" ht="15">
      <c r="A9" s="83" t="s">
        <v>2149</v>
      </c>
      <c r="B9" s="79">
        <v>5</v>
      </c>
      <c r="C9" s="79"/>
      <c r="D9" s="79"/>
      <c r="E9" s="79"/>
      <c r="F9" s="79"/>
      <c r="G9" s="79"/>
      <c r="H9" s="79"/>
      <c r="I9" s="86" t="s">
        <v>2169</v>
      </c>
      <c r="J9" s="79">
        <v>1</v>
      </c>
      <c r="K9" s="79"/>
      <c r="L9" s="79"/>
      <c r="M9" s="79"/>
      <c r="N9" s="79"/>
      <c r="O9" s="79"/>
      <c r="P9" s="79"/>
      <c r="Q9" s="79"/>
      <c r="R9" s="79"/>
      <c r="S9" s="79"/>
      <c r="T9" s="79"/>
      <c r="U9" s="79"/>
      <c r="V9" s="79"/>
    </row>
    <row r="10" spans="1:22" ht="15">
      <c r="A10" s="83" t="s">
        <v>2150</v>
      </c>
      <c r="B10" s="79">
        <v>4</v>
      </c>
      <c r="C10" s="79"/>
      <c r="D10" s="79"/>
      <c r="E10" s="79"/>
      <c r="F10" s="79"/>
      <c r="G10" s="79"/>
      <c r="H10" s="79"/>
      <c r="I10" s="86" t="s">
        <v>2170</v>
      </c>
      <c r="J10" s="79">
        <v>1</v>
      </c>
      <c r="K10" s="79"/>
      <c r="L10" s="79"/>
      <c r="M10" s="79"/>
      <c r="N10" s="79"/>
      <c r="O10" s="79"/>
      <c r="P10" s="79"/>
      <c r="Q10" s="79"/>
      <c r="R10" s="79"/>
      <c r="S10" s="79"/>
      <c r="T10" s="79"/>
      <c r="U10" s="79"/>
      <c r="V10" s="79"/>
    </row>
    <row r="11" spans="1:22" ht="15">
      <c r="A11" s="83" t="s">
        <v>2151</v>
      </c>
      <c r="B11" s="79">
        <v>3</v>
      </c>
      <c r="C11" s="79"/>
      <c r="D11" s="79"/>
      <c r="E11" s="79"/>
      <c r="F11" s="79"/>
      <c r="G11" s="79"/>
      <c r="H11" s="79"/>
      <c r="I11" s="86" t="s">
        <v>2171</v>
      </c>
      <c r="J11" s="79">
        <v>1</v>
      </c>
      <c r="K11" s="79"/>
      <c r="L11" s="79"/>
      <c r="M11" s="79"/>
      <c r="N11" s="79"/>
      <c r="O11" s="79"/>
      <c r="P11" s="79"/>
      <c r="Q11" s="79"/>
      <c r="R11" s="79"/>
      <c r="S11" s="79"/>
      <c r="T11" s="79"/>
      <c r="U11" s="79"/>
      <c r="V11" s="79"/>
    </row>
    <row r="14" spans="1:22" ht="15" customHeight="1">
      <c r="A14" s="13" t="s">
        <v>2200</v>
      </c>
      <c r="B14" s="13" t="s">
        <v>2152</v>
      </c>
      <c r="C14" s="79" t="s">
        <v>2201</v>
      </c>
      <c r="D14" s="79" t="s">
        <v>2155</v>
      </c>
      <c r="E14" s="13" t="s">
        <v>2202</v>
      </c>
      <c r="F14" s="13" t="s">
        <v>2159</v>
      </c>
      <c r="G14" s="13" t="s">
        <v>2203</v>
      </c>
      <c r="H14" s="13" t="s">
        <v>2161</v>
      </c>
      <c r="I14" s="13" t="s">
        <v>2204</v>
      </c>
      <c r="J14" s="13" t="s">
        <v>2173</v>
      </c>
      <c r="K14" s="13" t="s">
        <v>2205</v>
      </c>
      <c r="L14" s="13" t="s">
        <v>2176</v>
      </c>
      <c r="M14" s="13" t="s">
        <v>2206</v>
      </c>
      <c r="N14" s="13" t="s">
        <v>2178</v>
      </c>
      <c r="O14" s="13" t="s">
        <v>2207</v>
      </c>
      <c r="P14" s="13" t="s">
        <v>2182</v>
      </c>
      <c r="Q14" s="13" t="s">
        <v>2208</v>
      </c>
      <c r="R14" s="13" t="s">
        <v>2184</v>
      </c>
      <c r="S14" s="79" t="s">
        <v>2209</v>
      </c>
      <c r="T14" s="79" t="s">
        <v>2186</v>
      </c>
      <c r="U14" s="79" t="s">
        <v>2210</v>
      </c>
      <c r="V14" s="79" t="s">
        <v>2187</v>
      </c>
    </row>
    <row r="15" spans="1:22" ht="15">
      <c r="A15" s="79" t="s">
        <v>451</v>
      </c>
      <c r="B15" s="79">
        <v>21</v>
      </c>
      <c r="C15" s="79"/>
      <c r="D15" s="79"/>
      <c r="E15" s="79" t="s">
        <v>451</v>
      </c>
      <c r="F15" s="79">
        <v>9</v>
      </c>
      <c r="G15" s="79" t="s">
        <v>451</v>
      </c>
      <c r="H15" s="79">
        <v>9</v>
      </c>
      <c r="I15" s="79" t="s">
        <v>458</v>
      </c>
      <c r="J15" s="79">
        <v>5</v>
      </c>
      <c r="K15" s="79" t="s">
        <v>457</v>
      </c>
      <c r="L15" s="79">
        <v>2</v>
      </c>
      <c r="M15" s="79" t="s">
        <v>458</v>
      </c>
      <c r="N15" s="79">
        <v>14</v>
      </c>
      <c r="O15" s="79" t="s">
        <v>465</v>
      </c>
      <c r="P15" s="79">
        <v>1</v>
      </c>
      <c r="Q15" s="79" t="s">
        <v>463</v>
      </c>
      <c r="R15" s="79">
        <v>6</v>
      </c>
      <c r="S15" s="79"/>
      <c r="T15" s="79"/>
      <c r="U15" s="79"/>
      <c r="V15" s="79"/>
    </row>
    <row r="16" spans="1:22" ht="15">
      <c r="A16" s="80" t="s">
        <v>458</v>
      </c>
      <c r="B16" s="79">
        <v>20</v>
      </c>
      <c r="C16" s="79"/>
      <c r="D16" s="79"/>
      <c r="E16" s="79" t="s">
        <v>462</v>
      </c>
      <c r="F16" s="79">
        <v>1</v>
      </c>
      <c r="G16" s="79" t="s">
        <v>455</v>
      </c>
      <c r="H16" s="79">
        <v>8</v>
      </c>
      <c r="I16" s="79" t="s">
        <v>450</v>
      </c>
      <c r="J16" s="79">
        <v>1</v>
      </c>
      <c r="K16" s="79"/>
      <c r="L16" s="79"/>
      <c r="M16" s="79" t="s">
        <v>460</v>
      </c>
      <c r="N16" s="79">
        <v>7</v>
      </c>
      <c r="O16" s="79" t="s">
        <v>451</v>
      </c>
      <c r="P16" s="79">
        <v>1</v>
      </c>
      <c r="Q16" s="79"/>
      <c r="R16" s="79"/>
      <c r="S16" s="79"/>
      <c r="T16" s="79"/>
      <c r="U16" s="79"/>
      <c r="V16" s="79"/>
    </row>
    <row r="17" spans="1:22" ht="15">
      <c r="A17" s="80" t="s">
        <v>460</v>
      </c>
      <c r="B17" s="79">
        <v>11</v>
      </c>
      <c r="C17" s="79"/>
      <c r="D17" s="79"/>
      <c r="E17" s="79"/>
      <c r="F17" s="79"/>
      <c r="G17" s="79" t="s">
        <v>453</v>
      </c>
      <c r="H17" s="79">
        <v>3</v>
      </c>
      <c r="I17" s="79" t="s">
        <v>452</v>
      </c>
      <c r="J17" s="79">
        <v>1</v>
      </c>
      <c r="K17" s="79"/>
      <c r="L17" s="79"/>
      <c r="M17" s="79"/>
      <c r="N17" s="79"/>
      <c r="O17" s="79"/>
      <c r="P17" s="79"/>
      <c r="Q17" s="79"/>
      <c r="R17" s="79"/>
      <c r="S17" s="79"/>
      <c r="T17" s="79"/>
      <c r="U17" s="79"/>
      <c r="V17" s="79"/>
    </row>
    <row r="18" spans="1:22" ht="15">
      <c r="A18" s="80" t="s">
        <v>459</v>
      </c>
      <c r="B18" s="79">
        <v>11</v>
      </c>
      <c r="C18" s="79"/>
      <c r="D18" s="79"/>
      <c r="E18" s="79"/>
      <c r="F18" s="79"/>
      <c r="G18" s="79"/>
      <c r="H18" s="79"/>
      <c r="I18" s="79" t="s">
        <v>454</v>
      </c>
      <c r="J18" s="79">
        <v>1</v>
      </c>
      <c r="K18" s="79"/>
      <c r="L18" s="79"/>
      <c r="M18" s="79"/>
      <c r="N18" s="79"/>
      <c r="O18" s="79"/>
      <c r="P18" s="79"/>
      <c r="Q18" s="79"/>
      <c r="R18" s="79"/>
      <c r="S18" s="79"/>
      <c r="T18" s="79"/>
      <c r="U18" s="79"/>
      <c r="V18" s="79"/>
    </row>
    <row r="19" spans="1:22" ht="15">
      <c r="A19" s="80" t="s">
        <v>455</v>
      </c>
      <c r="B19" s="79">
        <v>8</v>
      </c>
      <c r="C19" s="79"/>
      <c r="D19" s="79"/>
      <c r="E19" s="79"/>
      <c r="F19" s="79"/>
      <c r="G19" s="79"/>
      <c r="H19" s="79"/>
      <c r="I19" s="79" t="s">
        <v>461</v>
      </c>
      <c r="J19" s="79">
        <v>1</v>
      </c>
      <c r="K19" s="79"/>
      <c r="L19" s="79"/>
      <c r="M19" s="79"/>
      <c r="N19" s="79"/>
      <c r="O19" s="79"/>
      <c r="P19" s="79"/>
      <c r="Q19" s="79"/>
      <c r="R19" s="79"/>
      <c r="S19" s="79"/>
      <c r="T19" s="79"/>
      <c r="U19" s="79"/>
      <c r="V19" s="79"/>
    </row>
    <row r="20" spans="1:22" ht="15">
      <c r="A20" s="80" t="s">
        <v>463</v>
      </c>
      <c r="B20" s="79">
        <v>6</v>
      </c>
      <c r="C20" s="79"/>
      <c r="D20" s="79"/>
      <c r="E20" s="79"/>
      <c r="F20" s="79"/>
      <c r="G20" s="79"/>
      <c r="H20" s="79"/>
      <c r="I20" s="79" t="s">
        <v>460</v>
      </c>
      <c r="J20" s="79">
        <v>1</v>
      </c>
      <c r="K20" s="79"/>
      <c r="L20" s="79"/>
      <c r="M20" s="79"/>
      <c r="N20" s="79"/>
      <c r="O20" s="79"/>
      <c r="P20" s="79"/>
      <c r="Q20" s="79"/>
      <c r="R20" s="79"/>
      <c r="S20" s="79"/>
      <c r="T20" s="79"/>
      <c r="U20" s="79"/>
      <c r="V20" s="79"/>
    </row>
    <row r="21" spans="1:22" ht="15">
      <c r="A21" s="80" t="s">
        <v>452</v>
      </c>
      <c r="B21" s="79">
        <v>4</v>
      </c>
      <c r="C21" s="79"/>
      <c r="D21" s="79"/>
      <c r="E21" s="79"/>
      <c r="F21" s="79"/>
      <c r="G21" s="79"/>
      <c r="H21" s="79"/>
      <c r="I21" s="79"/>
      <c r="J21" s="79"/>
      <c r="K21" s="79"/>
      <c r="L21" s="79"/>
      <c r="M21" s="79"/>
      <c r="N21" s="79"/>
      <c r="O21" s="79"/>
      <c r="P21" s="79"/>
      <c r="Q21" s="79"/>
      <c r="R21" s="79"/>
      <c r="S21" s="79"/>
      <c r="T21" s="79"/>
      <c r="U21" s="79"/>
      <c r="V21" s="79"/>
    </row>
    <row r="22" spans="1:22" ht="15">
      <c r="A22" s="80" t="s">
        <v>453</v>
      </c>
      <c r="B22" s="79">
        <v>3</v>
      </c>
      <c r="C22" s="79"/>
      <c r="D22" s="79"/>
      <c r="E22" s="79"/>
      <c r="F22" s="79"/>
      <c r="G22" s="79"/>
      <c r="H22" s="79"/>
      <c r="I22" s="79"/>
      <c r="J22" s="79"/>
      <c r="K22" s="79"/>
      <c r="L22" s="79"/>
      <c r="M22" s="79"/>
      <c r="N22" s="79"/>
      <c r="O22" s="79"/>
      <c r="P22" s="79"/>
      <c r="Q22" s="79"/>
      <c r="R22" s="79"/>
      <c r="S22" s="79"/>
      <c r="T22" s="79"/>
      <c r="U22" s="79"/>
      <c r="V22" s="79"/>
    </row>
    <row r="23" spans="1:22" ht="15">
      <c r="A23" s="80" t="s">
        <v>466</v>
      </c>
      <c r="B23" s="79">
        <v>2</v>
      </c>
      <c r="C23" s="79"/>
      <c r="D23" s="79"/>
      <c r="E23" s="79"/>
      <c r="F23" s="79"/>
      <c r="G23" s="79"/>
      <c r="H23" s="79"/>
      <c r="I23" s="79"/>
      <c r="J23" s="79"/>
      <c r="K23" s="79"/>
      <c r="L23" s="79"/>
      <c r="M23" s="79"/>
      <c r="N23" s="79"/>
      <c r="O23" s="79"/>
      <c r="P23" s="79"/>
      <c r="Q23" s="79"/>
      <c r="R23" s="79"/>
      <c r="S23" s="79"/>
      <c r="T23" s="79"/>
      <c r="U23" s="79"/>
      <c r="V23" s="79"/>
    </row>
    <row r="24" spans="1:22" ht="15">
      <c r="A24" s="80" t="s">
        <v>464</v>
      </c>
      <c r="B24" s="79">
        <v>2</v>
      </c>
      <c r="C24" s="79"/>
      <c r="D24" s="79"/>
      <c r="E24" s="79"/>
      <c r="F24" s="79"/>
      <c r="G24" s="79"/>
      <c r="H24" s="79"/>
      <c r="I24" s="79"/>
      <c r="J24" s="79"/>
      <c r="K24" s="79"/>
      <c r="L24" s="79"/>
      <c r="M24" s="79"/>
      <c r="N24" s="79"/>
      <c r="O24" s="79"/>
      <c r="P24" s="79"/>
      <c r="Q24" s="79"/>
      <c r="R24" s="79"/>
      <c r="S24" s="79"/>
      <c r="T24" s="79"/>
      <c r="U24" s="79"/>
      <c r="V24" s="79"/>
    </row>
    <row r="27" spans="1:22" ht="15" customHeight="1">
      <c r="A27" s="13" t="s">
        <v>2217</v>
      </c>
      <c r="B27" s="13" t="s">
        <v>2152</v>
      </c>
      <c r="C27" s="13" t="s">
        <v>2223</v>
      </c>
      <c r="D27" s="13" t="s">
        <v>2155</v>
      </c>
      <c r="E27" s="13" t="s">
        <v>2224</v>
      </c>
      <c r="F27" s="13" t="s">
        <v>2159</v>
      </c>
      <c r="G27" s="13" t="s">
        <v>2225</v>
      </c>
      <c r="H27" s="13" t="s">
        <v>2161</v>
      </c>
      <c r="I27" s="13" t="s">
        <v>2227</v>
      </c>
      <c r="J27" s="13" t="s">
        <v>2173</v>
      </c>
      <c r="K27" s="13" t="s">
        <v>2231</v>
      </c>
      <c r="L27" s="13" t="s">
        <v>2176</v>
      </c>
      <c r="M27" s="13" t="s">
        <v>2234</v>
      </c>
      <c r="N27" s="13" t="s">
        <v>2178</v>
      </c>
      <c r="O27" s="13" t="s">
        <v>2238</v>
      </c>
      <c r="P27" s="13" t="s">
        <v>2182</v>
      </c>
      <c r="Q27" s="13" t="s">
        <v>2247</v>
      </c>
      <c r="R27" s="13" t="s">
        <v>2184</v>
      </c>
      <c r="S27" s="13" t="s">
        <v>2248</v>
      </c>
      <c r="T27" s="13" t="s">
        <v>2186</v>
      </c>
      <c r="U27" s="13" t="s">
        <v>2251</v>
      </c>
      <c r="V27" s="13" t="s">
        <v>2187</v>
      </c>
    </row>
    <row r="28" spans="1:22" ht="15">
      <c r="A28" s="79" t="s">
        <v>472</v>
      </c>
      <c r="B28" s="79">
        <v>171</v>
      </c>
      <c r="C28" s="79" t="s">
        <v>2218</v>
      </c>
      <c r="D28" s="79">
        <v>37</v>
      </c>
      <c r="E28" s="79" t="s">
        <v>2219</v>
      </c>
      <c r="F28" s="79">
        <v>24</v>
      </c>
      <c r="G28" s="79" t="s">
        <v>472</v>
      </c>
      <c r="H28" s="79">
        <v>20</v>
      </c>
      <c r="I28" s="79" t="s">
        <v>472</v>
      </c>
      <c r="J28" s="79">
        <v>15</v>
      </c>
      <c r="K28" s="79" t="s">
        <v>472</v>
      </c>
      <c r="L28" s="79">
        <v>6</v>
      </c>
      <c r="M28" s="79" t="s">
        <v>2235</v>
      </c>
      <c r="N28" s="79">
        <v>7</v>
      </c>
      <c r="O28" s="79" t="s">
        <v>472</v>
      </c>
      <c r="P28" s="79">
        <v>9</v>
      </c>
      <c r="Q28" s="79" t="s">
        <v>472</v>
      </c>
      <c r="R28" s="79">
        <v>6</v>
      </c>
      <c r="S28" s="79" t="s">
        <v>2249</v>
      </c>
      <c r="T28" s="79">
        <v>1</v>
      </c>
      <c r="U28" s="79" t="s">
        <v>472</v>
      </c>
      <c r="V28" s="79">
        <v>6</v>
      </c>
    </row>
    <row r="29" spans="1:22" ht="15">
      <c r="A29" s="80" t="s">
        <v>2218</v>
      </c>
      <c r="B29" s="79">
        <v>48</v>
      </c>
      <c r="C29" s="79" t="s">
        <v>472</v>
      </c>
      <c r="D29" s="79">
        <v>37</v>
      </c>
      <c r="E29" s="79" t="s">
        <v>472</v>
      </c>
      <c r="F29" s="79">
        <v>24</v>
      </c>
      <c r="G29" s="79" t="s">
        <v>2220</v>
      </c>
      <c r="H29" s="79">
        <v>15</v>
      </c>
      <c r="I29" s="79" t="s">
        <v>1730</v>
      </c>
      <c r="J29" s="79">
        <v>6</v>
      </c>
      <c r="K29" s="79" t="s">
        <v>1746</v>
      </c>
      <c r="L29" s="79">
        <v>4</v>
      </c>
      <c r="M29" s="79" t="s">
        <v>2236</v>
      </c>
      <c r="N29" s="79">
        <v>7</v>
      </c>
      <c r="O29" s="79" t="s">
        <v>2239</v>
      </c>
      <c r="P29" s="79">
        <v>8</v>
      </c>
      <c r="Q29" s="79" t="s">
        <v>2218</v>
      </c>
      <c r="R29" s="79">
        <v>6</v>
      </c>
      <c r="S29" s="79" t="s">
        <v>2250</v>
      </c>
      <c r="T29" s="79">
        <v>1</v>
      </c>
      <c r="U29" s="79" t="s">
        <v>1730</v>
      </c>
      <c r="V29" s="79">
        <v>5</v>
      </c>
    </row>
    <row r="30" spans="1:22" ht="15">
      <c r="A30" s="80" t="s">
        <v>1730</v>
      </c>
      <c r="B30" s="79">
        <v>31</v>
      </c>
      <c r="C30" s="79"/>
      <c r="D30" s="79"/>
      <c r="E30" s="79" t="s">
        <v>2221</v>
      </c>
      <c r="F30" s="79">
        <v>14</v>
      </c>
      <c r="G30" s="79" t="s">
        <v>2073</v>
      </c>
      <c r="H30" s="79">
        <v>12</v>
      </c>
      <c r="I30" s="79" t="s">
        <v>2218</v>
      </c>
      <c r="J30" s="79">
        <v>4</v>
      </c>
      <c r="K30" s="79" t="s">
        <v>2073</v>
      </c>
      <c r="L30" s="79">
        <v>2</v>
      </c>
      <c r="M30" s="79" t="s">
        <v>2237</v>
      </c>
      <c r="N30" s="79">
        <v>7</v>
      </c>
      <c r="O30" s="79" t="s">
        <v>2240</v>
      </c>
      <c r="P30" s="79">
        <v>8</v>
      </c>
      <c r="Q30" s="79" t="s">
        <v>1704</v>
      </c>
      <c r="R30" s="79">
        <v>6</v>
      </c>
      <c r="S30" s="79" t="s">
        <v>472</v>
      </c>
      <c r="T30" s="79">
        <v>1</v>
      </c>
      <c r="U30" s="79" t="s">
        <v>1884</v>
      </c>
      <c r="V30" s="79">
        <v>5</v>
      </c>
    </row>
    <row r="31" spans="1:22" ht="15">
      <c r="A31" s="80" t="s">
        <v>2219</v>
      </c>
      <c r="B31" s="79">
        <v>26</v>
      </c>
      <c r="C31" s="79"/>
      <c r="D31" s="79"/>
      <c r="E31" s="79" t="s">
        <v>1730</v>
      </c>
      <c r="F31" s="79">
        <v>10</v>
      </c>
      <c r="G31" s="79" t="s">
        <v>1746</v>
      </c>
      <c r="H31" s="79">
        <v>8</v>
      </c>
      <c r="I31" s="79" t="s">
        <v>364</v>
      </c>
      <c r="J31" s="79">
        <v>4</v>
      </c>
      <c r="K31" s="79" t="s">
        <v>1864</v>
      </c>
      <c r="L31" s="79">
        <v>2</v>
      </c>
      <c r="M31" s="79" t="s">
        <v>2222</v>
      </c>
      <c r="N31" s="79">
        <v>7</v>
      </c>
      <c r="O31" s="79" t="s">
        <v>2038</v>
      </c>
      <c r="P31" s="79">
        <v>7</v>
      </c>
      <c r="Q31" s="79"/>
      <c r="R31" s="79"/>
      <c r="S31" s="79"/>
      <c r="T31" s="79"/>
      <c r="U31" s="79" t="s">
        <v>1864</v>
      </c>
      <c r="V31" s="79">
        <v>5</v>
      </c>
    </row>
    <row r="32" spans="1:22" ht="15">
      <c r="A32" s="80" t="s">
        <v>2220</v>
      </c>
      <c r="B32" s="79">
        <v>18</v>
      </c>
      <c r="C32" s="79"/>
      <c r="D32" s="79"/>
      <c r="E32" s="79" t="s">
        <v>1864</v>
      </c>
      <c r="F32" s="79">
        <v>7</v>
      </c>
      <c r="G32" s="79" t="s">
        <v>2226</v>
      </c>
      <c r="H32" s="79">
        <v>8</v>
      </c>
      <c r="I32" s="79" t="s">
        <v>1839</v>
      </c>
      <c r="J32" s="79">
        <v>3</v>
      </c>
      <c r="K32" s="79" t="s">
        <v>2220</v>
      </c>
      <c r="L32" s="79">
        <v>2</v>
      </c>
      <c r="M32" s="79" t="s">
        <v>472</v>
      </c>
      <c r="N32" s="79">
        <v>7</v>
      </c>
      <c r="O32" s="79" t="s">
        <v>2241</v>
      </c>
      <c r="P32" s="79">
        <v>7</v>
      </c>
      <c r="Q32" s="79"/>
      <c r="R32" s="79"/>
      <c r="S32" s="79"/>
      <c r="T32" s="79"/>
      <c r="U32" s="79" t="s">
        <v>2252</v>
      </c>
      <c r="V32" s="79">
        <v>1</v>
      </c>
    </row>
    <row r="33" spans="1:22" ht="15">
      <c r="A33" s="80" t="s">
        <v>2073</v>
      </c>
      <c r="B33" s="79">
        <v>16</v>
      </c>
      <c r="C33" s="79"/>
      <c r="D33" s="79"/>
      <c r="E33" s="79" t="s">
        <v>1989</v>
      </c>
      <c r="F33" s="79">
        <v>3</v>
      </c>
      <c r="G33" s="79"/>
      <c r="H33" s="79"/>
      <c r="I33" s="79" t="s">
        <v>1705</v>
      </c>
      <c r="J33" s="79">
        <v>3</v>
      </c>
      <c r="K33" s="79" t="s">
        <v>1730</v>
      </c>
      <c r="L33" s="79">
        <v>2</v>
      </c>
      <c r="M33" s="79"/>
      <c r="N33" s="79"/>
      <c r="O33" s="79" t="s">
        <v>2242</v>
      </c>
      <c r="P33" s="79">
        <v>7</v>
      </c>
      <c r="Q33" s="79"/>
      <c r="R33" s="79"/>
      <c r="S33" s="79"/>
      <c r="T33" s="79"/>
      <c r="U33" s="79"/>
      <c r="V33" s="79"/>
    </row>
    <row r="34" spans="1:22" ht="15">
      <c r="A34" s="80" t="s">
        <v>1864</v>
      </c>
      <c r="B34" s="79">
        <v>16</v>
      </c>
      <c r="C34" s="79"/>
      <c r="D34" s="79"/>
      <c r="E34" s="79"/>
      <c r="F34" s="79"/>
      <c r="G34" s="79"/>
      <c r="H34" s="79"/>
      <c r="I34" s="79" t="s">
        <v>2228</v>
      </c>
      <c r="J34" s="79">
        <v>2</v>
      </c>
      <c r="K34" s="79" t="s">
        <v>2038</v>
      </c>
      <c r="L34" s="79">
        <v>2</v>
      </c>
      <c r="M34" s="79"/>
      <c r="N34" s="79"/>
      <c r="O34" s="79" t="s">
        <v>2243</v>
      </c>
      <c r="P34" s="79">
        <v>6</v>
      </c>
      <c r="Q34" s="79"/>
      <c r="R34" s="79"/>
      <c r="S34" s="79"/>
      <c r="T34" s="79"/>
      <c r="U34" s="79"/>
      <c r="V34" s="79"/>
    </row>
    <row r="35" spans="1:22" ht="15">
      <c r="A35" s="80" t="s">
        <v>2221</v>
      </c>
      <c r="B35" s="79">
        <v>14</v>
      </c>
      <c r="C35" s="79"/>
      <c r="D35" s="79"/>
      <c r="E35" s="79"/>
      <c r="F35" s="79"/>
      <c r="G35" s="79"/>
      <c r="H35" s="79"/>
      <c r="I35" s="79" t="s">
        <v>1704</v>
      </c>
      <c r="J35" s="79">
        <v>2</v>
      </c>
      <c r="K35" s="79" t="s">
        <v>2232</v>
      </c>
      <c r="L35" s="79">
        <v>2</v>
      </c>
      <c r="M35" s="79"/>
      <c r="N35" s="79"/>
      <c r="O35" s="79" t="s">
        <v>2244</v>
      </c>
      <c r="P35" s="79">
        <v>3</v>
      </c>
      <c r="Q35" s="79"/>
      <c r="R35" s="79"/>
      <c r="S35" s="79"/>
      <c r="T35" s="79"/>
      <c r="U35" s="79"/>
      <c r="V35" s="79"/>
    </row>
    <row r="36" spans="1:22" ht="15">
      <c r="A36" s="80" t="s">
        <v>1746</v>
      </c>
      <c r="B36" s="79">
        <v>12</v>
      </c>
      <c r="C36" s="79"/>
      <c r="D36" s="79"/>
      <c r="E36" s="79"/>
      <c r="F36" s="79"/>
      <c r="G36" s="79"/>
      <c r="H36" s="79"/>
      <c r="I36" s="79" t="s">
        <v>2229</v>
      </c>
      <c r="J36" s="79">
        <v>2</v>
      </c>
      <c r="K36" s="79" t="s">
        <v>2233</v>
      </c>
      <c r="L36" s="79">
        <v>2</v>
      </c>
      <c r="M36" s="79"/>
      <c r="N36" s="79"/>
      <c r="O36" s="79" t="s">
        <v>2245</v>
      </c>
      <c r="P36" s="79">
        <v>2</v>
      </c>
      <c r="Q36" s="79"/>
      <c r="R36" s="79"/>
      <c r="S36" s="79"/>
      <c r="T36" s="79"/>
      <c r="U36" s="79"/>
      <c r="V36" s="79"/>
    </row>
    <row r="37" spans="1:22" ht="15">
      <c r="A37" s="80" t="s">
        <v>2222</v>
      </c>
      <c r="B37" s="79">
        <v>11</v>
      </c>
      <c r="C37" s="79"/>
      <c r="D37" s="79"/>
      <c r="E37" s="79"/>
      <c r="F37" s="79"/>
      <c r="G37" s="79"/>
      <c r="H37" s="79"/>
      <c r="I37" s="79" t="s">
        <v>2230</v>
      </c>
      <c r="J37" s="79">
        <v>1</v>
      </c>
      <c r="K37" s="79"/>
      <c r="L37" s="79"/>
      <c r="M37" s="79"/>
      <c r="N37" s="79"/>
      <c r="O37" s="79" t="s">
        <v>2246</v>
      </c>
      <c r="P37" s="79">
        <v>2</v>
      </c>
      <c r="Q37" s="79"/>
      <c r="R37" s="79"/>
      <c r="S37" s="79"/>
      <c r="T37" s="79"/>
      <c r="U37" s="79"/>
      <c r="V37" s="79"/>
    </row>
    <row r="40" spans="1:22" ht="15" customHeight="1">
      <c r="A40" s="13" t="s">
        <v>2265</v>
      </c>
      <c r="B40" s="13" t="s">
        <v>2152</v>
      </c>
      <c r="C40" s="13" t="s">
        <v>2266</v>
      </c>
      <c r="D40" s="13" t="s">
        <v>2155</v>
      </c>
      <c r="E40" s="13" t="s">
        <v>2267</v>
      </c>
      <c r="F40" s="13" t="s">
        <v>2159</v>
      </c>
      <c r="G40" s="13" t="s">
        <v>2268</v>
      </c>
      <c r="H40" s="13" t="s">
        <v>2161</v>
      </c>
      <c r="I40" s="13" t="s">
        <v>2269</v>
      </c>
      <c r="J40" s="13" t="s">
        <v>2173</v>
      </c>
      <c r="K40" s="13" t="s">
        <v>2270</v>
      </c>
      <c r="L40" s="13" t="s">
        <v>2176</v>
      </c>
      <c r="M40" s="13" t="s">
        <v>2271</v>
      </c>
      <c r="N40" s="13" t="s">
        <v>2178</v>
      </c>
      <c r="O40" s="13" t="s">
        <v>2272</v>
      </c>
      <c r="P40" s="13" t="s">
        <v>2182</v>
      </c>
      <c r="Q40" s="13" t="s">
        <v>2273</v>
      </c>
      <c r="R40" s="13" t="s">
        <v>2184</v>
      </c>
      <c r="S40" s="79" t="s">
        <v>2274</v>
      </c>
      <c r="T40" s="79" t="s">
        <v>2186</v>
      </c>
      <c r="U40" s="13" t="s">
        <v>2275</v>
      </c>
      <c r="V40" s="13" t="s">
        <v>2187</v>
      </c>
    </row>
    <row r="41" spans="1:22" ht="15">
      <c r="A41" s="84" t="s">
        <v>1703</v>
      </c>
      <c r="B41" s="84">
        <v>174</v>
      </c>
      <c r="C41" s="84" t="s">
        <v>1704</v>
      </c>
      <c r="D41" s="84">
        <v>74</v>
      </c>
      <c r="E41" s="84" t="s">
        <v>368</v>
      </c>
      <c r="F41" s="84">
        <v>24</v>
      </c>
      <c r="G41" s="84" t="s">
        <v>1726</v>
      </c>
      <c r="H41" s="84">
        <v>21</v>
      </c>
      <c r="I41" s="84" t="s">
        <v>1703</v>
      </c>
      <c r="J41" s="84">
        <v>15</v>
      </c>
      <c r="K41" s="84" t="s">
        <v>1703</v>
      </c>
      <c r="L41" s="84">
        <v>6</v>
      </c>
      <c r="M41" s="84" t="s">
        <v>1744</v>
      </c>
      <c r="N41" s="84">
        <v>14</v>
      </c>
      <c r="O41" s="84" t="s">
        <v>1749</v>
      </c>
      <c r="P41" s="84">
        <v>9</v>
      </c>
      <c r="Q41" s="84" t="s">
        <v>1745</v>
      </c>
      <c r="R41" s="84">
        <v>12</v>
      </c>
      <c r="S41" s="84"/>
      <c r="T41" s="84"/>
      <c r="U41" s="84" t="s">
        <v>1703</v>
      </c>
      <c r="V41" s="84">
        <v>6</v>
      </c>
    </row>
    <row r="42" spans="1:22" ht="15">
      <c r="A42" s="85" t="s">
        <v>1704</v>
      </c>
      <c r="B42" s="84">
        <v>79</v>
      </c>
      <c r="C42" s="84" t="s">
        <v>1708</v>
      </c>
      <c r="D42" s="84">
        <v>37</v>
      </c>
      <c r="E42" s="84" t="s">
        <v>1725</v>
      </c>
      <c r="F42" s="84">
        <v>24</v>
      </c>
      <c r="G42" s="84" t="s">
        <v>1703</v>
      </c>
      <c r="H42" s="84">
        <v>20</v>
      </c>
      <c r="I42" s="84" t="s">
        <v>1724</v>
      </c>
      <c r="J42" s="84">
        <v>6</v>
      </c>
      <c r="K42" s="84" t="s">
        <v>363</v>
      </c>
      <c r="L42" s="84">
        <v>4</v>
      </c>
      <c r="M42" s="84" t="s">
        <v>1795</v>
      </c>
      <c r="N42" s="84">
        <v>7</v>
      </c>
      <c r="O42" s="84" t="s">
        <v>1703</v>
      </c>
      <c r="P42" s="84">
        <v>9</v>
      </c>
      <c r="Q42" s="84" t="s">
        <v>1806</v>
      </c>
      <c r="R42" s="84">
        <v>6</v>
      </c>
      <c r="S42" s="84"/>
      <c r="T42" s="84"/>
      <c r="U42" s="84" t="s">
        <v>1842</v>
      </c>
      <c r="V42" s="84">
        <v>5</v>
      </c>
    </row>
    <row r="43" spans="1:22" ht="15">
      <c r="A43" s="85" t="s">
        <v>1705</v>
      </c>
      <c r="B43" s="84">
        <v>50</v>
      </c>
      <c r="C43" s="84" t="s">
        <v>1709</v>
      </c>
      <c r="D43" s="84">
        <v>37</v>
      </c>
      <c r="E43" s="84" t="s">
        <v>1703</v>
      </c>
      <c r="F43" s="84">
        <v>24</v>
      </c>
      <c r="G43" s="84" t="s">
        <v>1735</v>
      </c>
      <c r="H43" s="84">
        <v>16</v>
      </c>
      <c r="I43" s="84" t="s">
        <v>1730</v>
      </c>
      <c r="J43" s="84">
        <v>4</v>
      </c>
      <c r="K43" s="84" t="s">
        <v>1747</v>
      </c>
      <c r="L43" s="84">
        <v>4</v>
      </c>
      <c r="M43" s="84" t="s">
        <v>219</v>
      </c>
      <c r="N43" s="84">
        <v>7</v>
      </c>
      <c r="O43" s="84" t="s">
        <v>1764</v>
      </c>
      <c r="P43" s="84">
        <v>8</v>
      </c>
      <c r="Q43" s="84" t="s">
        <v>1807</v>
      </c>
      <c r="R43" s="84">
        <v>6</v>
      </c>
      <c r="S43" s="84"/>
      <c r="T43" s="84"/>
      <c r="U43" s="84" t="s">
        <v>1724</v>
      </c>
      <c r="V43" s="84">
        <v>5</v>
      </c>
    </row>
    <row r="44" spans="1:22" ht="15">
      <c r="A44" s="85" t="s">
        <v>1706</v>
      </c>
      <c r="B44" s="84">
        <v>48</v>
      </c>
      <c r="C44" s="84" t="s">
        <v>1710</v>
      </c>
      <c r="D44" s="84">
        <v>37</v>
      </c>
      <c r="E44" s="84" t="s">
        <v>1737</v>
      </c>
      <c r="F44" s="84">
        <v>14</v>
      </c>
      <c r="G44" s="84" t="s">
        <v>1729</v>
      </c>
      <c r="H44" s="84">
        <v>15</v>
      </c>
      <c r="I44" s="84" t="s">
        <v>1706</v>
      </c>
      <c r="J44" s="84">
        <v>4</v>
      </c>
      <c r="K44" s="84" t="s">
        <v>1966</v>
      </c>
      <c r="L44" s="84">
        <v>2</v>
      </c>
      <c r="M44" s="84" t="s">
        <v>1796</v>
      </c>
      <c r="N44" s="84">
        <v>7</v>
      </c>
      <c r="O44" s="84" t="s">
        <v>1765</v>
      </c>
      <c r="P44" s="84">
        <v>8</v>
      </c>
      <c r="Q44" s="84" t="s">
        <v>1808</v>
      </c>
      <c r="R44" s="84">
        <v>6</v>
      </c>
      <c r="S44" s="84"/>
      <c r="T44" s="84"/>
      <c r="U44" s="84" t="s">
        <v>1843</v>
      </c>
      <c r="V44" s="84">
        <v>5</v>
      </c>
    </row>
    <row r="45" spans="1:22" ht="15">
      <c r="A45" s="85" t="s">
        <v>1707</v>
      </c>
      <c r="B45" s="84">
        <v>40</v>
      </c>
      <c r="C45" s="84" t="s">
        <v>1711</v>
      </c>
      <c r="D45" s="84">
        <v>37</v>
      </c>
      <c r="E45" s="84" t="s">
        <v>1731</v>
      </c>
      <c r="F45" s="84">
        <v>14</v>
      </c>
      <c r="G45" s="84" t="s">
        <v>1748</v>
      </c>
      <c r="H45" s="84">
        <v>12</v>
      </c>
      <c r="I45" s="84" t="s">
        <v>1857</v>
      </c>
      <c r="J45" s="84">
        <v>4</v>
      </c>
      <c r="K45" s="84" t="s">
        <v>1967</v>
      </c>
      <c r="L45" s="84">
        <v>2</v>
      </c>
      <c r="M45" s="84" t="s">
        <v>1797</v>
      </c>
      <c r="N45" s="84">
        <v>7</v>
      </c>
      <c r="O45" s="84" t="s">
        <v>1752</v>
      </c>
      <c r="P45" s="84">
        <v>7</v>
      </c>
      <c r="Q45" s="84" t="s">
        <v>1809</v>
      </c>
      <c r="R45" s="84">
        <v>6</v>
      </c>
      <c r="S45" s="84"/>
      <c r="T45" s="84"/>
      <c r="U45" s="84" t="s">
        <v>1818</v>
      </c>
      <c r="V45" s="84">
        <v>5</v>
      </c>
    </row>
    <row r="46" spans="1:22" ht="15">
      <c r="A46" s="85" t="s">
        <v>1708</v>
      </c>
      <c r="B46" s="84">
        <v>37</v>
      </c>
      <c r="C46" s="84" t="s">
        <v>1712</v>
      </c>
      <c r="D46" s="84">
        <v>37</v>
      </c>
      <c r="E46" s="84" t="s">
        <v>1738</v>
      </c>
      <c r="F46" s="84">
        <v>14</v>
      </c>
      <c r="G46" s="84" t="s">
        <v>1746</v>
      </c>
      <c r="H46" s="84">
        <v>12</v>
      </c>
      <c r="I46" s="84" t="s">
        <v>1880</v>
      </c>
      <c r="J46" s="84">
        <v>3</v>
      </c>
      <c r="K46" s="84" t="s">
        <v>368</v>
      </c>
      <c r="L46" s="84">
        <v>2</v>
      </c>
      <c r="M46" s="84" t="s">
        <v>1798</v>
      </c>
      <c r="N46" s="84">
        <v>7</v>
      </c>
      <c r="O46" s="84" t="s">
        <v>1782</v>
      </c>
      <c r="P46" s="84">
        <v>7</v>
      </c>
      <c r="Q46" s="84" t="s">
        <v>1727</v>
      </c>
      <c r="R46" s="84">
        <v>6</v>
      </c>
      <c r="S46" s="84"/>
      <c r="T46" s="84"/>
      <c r="U46" s="84" t="s">
        <v>1844</v>
      </c>
      <c r="V46" s="84">
        <v>5</v>
      </c>
    </row>
    <row r="47" spans="1:22" ht="15">
      <c r="A47" s="85" t="s">
        <v>1709</v>
      </c>
      <c r="B47" s="84">
        <v>37</v>
      </c>
      <c r="C47" s="84" t="s">
        <v>1713</v>
      </c>
      <c r="D47" s="84">
        <v>37</v>
      </c>
      <c r="E47" s="84" t="s">
        <v>1739</v>
      </c>
      <c r="F47" s="84">
        <v>14</v>
      </c>
      <c r="G47" s="84" t="s">
        <v>1733</v>
      </c>
      <c r="H47" s="84">
        <v>12</v>
      </c>
      <c r="I47" s="84" t="s">
        <v>1888</v>
      </c>
      <c r="J47" s="84">
        <v>3</v>
      </c>
      <c r="K47" s="84" t="s">
        <v>1707</v>
      </c>
      <c r="L47" s="84">
        <v>2</v>
      </c>
      <c r="M47" s="84" t="s">
        <v>1799</v>
      </c>
      <c r="N47" s="84">
        <v>7</v>
      </c>
      <c r="O47" s="84" t="s">
        <v>1783</v>
      </c>
      <c r="P47" s="84">
        <v>7</v>
      </c>
      <c r="Q47" s="84" t="s">
        <v>1810</v>
      </c>
      <c r="R47" s="84">
        <v>6</v>
      </c>
      <c r="S47" s="84"/>
      <c r="T47" s="84"/>
      <c r="U47" s="84" t="s">
        <v>1750</v>
      </c>
      <c r="V47" s="84">
        <v>5</v>
      </c>
    </row>
    <row r="48" spans="1:22" ht="15">
      <c r="A48" s="85" t="s">
        <v>1710</v>
      </c>
      <c r="B48" s="84">
        <v>37</v>
      </c>
      <c r="C48" s="84" t="s">
        <v>1714</v>
      </c>
      <c r="D48" s="84">
        <v>37</v>
      </c>
      <c r="E48" s="84" t="s">
        <v>370</v>
      </c>
      <c r="F48" s="84">
        <v>14</v>
      </c>
      <c r="G48" s="84" t="s">
        <v>1755</v>
      </c>
      <c r="H48" s="84">
        <v>10</v>
      </c>
      <c r="I48" s="84" t="s">
        <v>1704</v>
      </c>
      <c r="J48" s="84">
        <v>2</v>
      </c>
      <c r="K48" s="84" t="s">
        <v>1730</v>
      </c>
      <c r="L48" s="84">
        <v>2</v>
      </c>
      <c r="M48" s="84" t="s">
        <v>1800</v>
      </c>
      <c r="N48" s="84">
        <v>7</v>
      </c>
      <c r="O48" s="84" t="s">
        <v>1805</v>
      </c>
      <c r="P48" s="84">
        <v>6</v>
      </c>
      <c r="Q48" s="84" t="s">
        <v>1811</v>
      </c>
      <c r="R48" s="84">
        <v>6</v>
      </c>
      <c r="S48" s="84"/>
      <c r="T48" s="84"/>
      <c r="U48" s="84" t="s">
        <v>1759</v>
      </c>
      <c r="V48" s="84">
        <v>5</v>
      </c>
    </row>
    <row r="49" spans="1:22" ht="15">
      <c r="A49" s="85" t="s">
        <v>1711</v>
      </c>
      <c r="B49" s="84">
        <v>37</v>
      </c>
      <c r="C49" s="84" t="s">
        <v>1715</v>
      </c>
      <c r="D49" s="84">
        <v>37</v>
      </c>
      <c r="E49" s="84" t="s">
        <v>1736</v>
      </c>
      <c r="F49" s="84">
        <v>14</v>
      </c>
      <c r="G49" s="84" t="s">
        <v>1756</v>
      </c>
      <c r="H49" s="84">
        <v>10</v>
      </c>
      <c r="I49" s="84" t="s">
        <v>1903</v>
      </c>
      <c r="J49" s="84">
        <v>2</v>
      </c>
      <c r="K49" s="84" t="s">
        <v>1968</v>
      </c>
      <c r="L49" s="84">
        <v>2</v>
      </c>
      <c r="M49" s="84" t="s">
        <v>220</v>
      </c>
      <c r="N49" s="84">
        <v>7</v>
      </c>
      <c r="O49" s="84" t="s">
        <v>376</v>
      </c>
      <c r="P49" s="84">
        <v>6</v>
      </c>
      <c r="Q49" s="84" t="s">
        <v>1812</v>
      </c>
      <c r="R49" s="84">
        <v>6</v>
      </c>
      <c r="S49" s="84"/>
      <c r="T49" s="84"/>
      <c r="U49" s="84" t="s">
        <v>1845</v>
      </c>
      <c r="V49" s="84">
        <v>5</v>
      </c>
    </row>
    <row r="50" spans="1:22" ht="15">
      <c r="A50" s="85" t="s">
        <v>1712</v>
      </c>
      <c r="B50" s="84">
        <v>37</v>
      </c>
      <c r="C50" s="84" t="s">
        <v>1707</v>
      </c>
      <c r="D50" s="84">
        <v>37</v>
      </c>
      <c r="E50" s="84" t="s">
        <v>1727</v>
      </c>
      <c r="F50" s="84">
        <v>14</v>
      </c>
      <c r="G50" s="84" t="s">
        <v>1761</v>
      </c>
      <c r="H50" s="84">
        <v>9</v>
      </c>
      <c r="I50" s="84" t="s">
        <v>1759</v>
      </c>
      <c r="J50" s="84">
        <v>2</v>
      </c>
      <c r="K50" s="84" t="s">
        <v>1733</v>
      </c>
      <c r="L50" s="84">
        <v>2</v>
      </c>
      <c r="M50" s="84" t="s">
        <v>358</v>
      </c>
      <c r="N50" s="84">
        <v>7</v>
      </c>
      <c r="O50" s="84" t="s">
        <v>1766</v>
      </c>
      <c r="P50" s="84">
        <v>5</v>
      </c>
      <c r="Q50" s="84" t="s">
        <v>1728</v>
      </c>
      <c r="R50" s="84">
        <v>6</v>
      </c>
      <c r="S50" s="84"/>
      <c r="T50" s="84"/>
      <c r="U50" s="84" t="s">
        <v>1846</v>
      </c>
      <c r="V50" s="84">
        <v>5</v>
      </c>
    </row>
    <row r="53" spans="1:22" ht="15" customHeight="1">
      <c r="A53" s="13" t="s">
        <v>2298</v>
      </c>
      <c r="B53" s="13" t="s">
        <v>2152</v>
      </c>
      <c r="C53" s="13" t="s">
        <v>2309</v>
      </c>
      <c r="D53" s="13" t="s">
        <v>2155</v>
      </c>
      <c r="E53" s="13" t="s">
        <v>2311</v>
      </c>
      <c r="F53" s="13" t="s">
        <v>2159</v>
      </c>
      <c r="G53" s="13" t="s">
        <v>2322</v>
      </c>
      <c r="H53" s="13" t="s">
        <v>2161</v>
      </c>
      <c r="I53" s="13" t="s">
        <v>2333</v>
      </c>
      <c r="J53" s="13" t="s">
        <v>2173</v>
      </c>
      <c r="K53" s="13" t="s">
        <v>2335</v>
      </c>
      <c r="L53" s="13" t="s">
        <v>2176</v>
      </c>
      <c r="M53" s="13" t="s">
        <v>2346</v>
      </c>
      <c r="N53" s="13" t="s">
        <v>2178</v>
      </c>
      <c r="O53" s="13" t="s">
        <v>2357</v>
      </c>
      <c r="P53" s="13" t="s">
        <v>2182</v>
      </c>
      <c r="Q53" s="13" t="s">
        <v>2368</v>
      </c>
      <c r="R53" s="13" t="s">
        <v>2184</v>
      </c>
      <c r="S53" s="79" t="s">
        <v>2379</v>
      </c>
      <c r="T53" s="79" t="s">
        <v>2186</v>
      </c>
      <c r="U53" s="13" t="s">
        <v>2380</v>
      </c>
      <c r="V53" s="13" t="s">
        <v>2187</v>
      </c>
    </row>
    <row r="54" spans="1:22" ht="15">
      <c r="A54" s="84" t="s">
        <v>2299</v>
      </c>
      <c r="B54" s="84">
        <v>39</v>
      </c>
      <c r="C54" s="84" t="s">
        <v>2300</v>
      </c>
      <c r="D54" s="84">
        <v>37</v>
      </c>
      <c r="E54" s="84" t="s">
        <v>2312</v>
      </c>
      <c r="F54" s="84">
        <v>14</v>
      </c>
      <c r="G54" s="84" t="s">
        <v>2323</v>
      </c>
      <c r="H54" s="84">
        <v>8</v>
      </c>
      <c r="I54" s="84" t="s">
        <v>2334</v>
      </c>
      <c r="J54" s="84">
        <v>2</v>
      </c>
      <c r="K54" s="84" t="s">
        <v>2336</v>
      </c>
      <c r="L54" s="84">
        <v>2</v>
      </c>
      <c r="M54" s="84" t="s">
        <v>2347</v>
      </c>
      <c r="N54" s="84">
        <v>7</v>
      </c>
      <c r="O54" s="84" t="s">
        <v>2358</v>
      </c>
      <c r="P54" s="84">
        <v>7</v>
      </c>
      <c r="Q54" s="84" t="s">
        <v>2369</v>
      </c>
      <c r="R54" s="84">
        <v>6</v>
      </c>
      <c r="S54" s="84"/>
      <c r="T54" s="84"/>
      <c r="U54" s="84" t="s">
        <v>2381</v>
      </c>
      <c r="V54" s="84">
        <v>5</v>
      </c>
    </row>
    <row r="55" spans="1:22" ht="15">
      <c r="A55" s="85" t="s">
        <v>2300</v>
      </c>
      <c r="B55" s="84">
        <v>37</v>
      </c>
      <c r="C55" s="84" t="s">
        <v>2301</v>
      </c>
      <c r="D55" s="84">
        <v>37</v>
      </c>
      <c r="E55" s="84" t="s">
        <v>2313</v>
      </c>
      <c r="F55" s="84">
        <v>14</v>
      </c>
      <c r="G55" s="84" t="s">
        <v>2324</v>
      </c>
      <c r="H55" s="84">
        <v>8</v>
      </c>
      <c r="I55" s="84"/>
      <c r="J55" s="84"/>
      <c r="K55" s="84" t="s">
        <v>2337</v>
      </c>
      <c r="L55" s="84">
        <v>2</v>
      </c>
      <c r="M55" s="84" t="s">
        <v>2348</v>
      </c>
      <c r="N55" s="84">
        <v>7</v>
      </c>
      <c r="O55" s="84" t="s">
        <v>2359</v>
      </c>
      <c r="P55" s="84">
        <v>6</v>
      </c>
      <c r="Q55" s="84" t="s">
        <v>2370</v>
      </c>
      <c r="R55" s="84">
        <v>6</v>
      </c>
      <c r="S55" s="84"/>
      <c r="T55" s="84"/>
      <c r="U55" s="84" t="s">
        <v>2382</v>
      </c>
      <c r="V55" s="84">
        <v>5</v>
      </c>
    </row>
    <row r="56" spans="1:22" ht="15">
      <c r="A56" s="85" t="s">
        <v>2301</v>
      </c>
      <c r="B56" s="84">
        <v>37</v>
      </c>
      <c r="C56" s="84" t="s">
        <v>2302</v>
      </c>
      <c r="D56" s="84">
        <v>37</v>
      </c>
      <c r="E56" s="84" t="s">
        <v>2314</v>
      </c>
      <c r="F56" s="84">
        <v>14</v>
      </c>
      <c r="G56" s="84" t="s">
        <v>2325</v>
      </c>
      <c r="H56" s="84">
        <v>8</v>
      </c>
      <c r="I56" s="84"/>
      <c r="J56" s="84"/>
      <c r="K56" s="84" t="s">
        <v>2338</v>
      </c>
      <c r="L56" s="84">
        <v>2</v>
      </c>
      <c r="M56" s="84" t="s">
        <v>2349</v>
      </c>
      <c r="N56" s="84">
        <v>7</v>
      </c>
      <c r="O56" s="84" t="s">
        <v>2360</v>
      </c>
      <c r="P56" s="84">
        <v>5</v>
      </c>
      <c r="Q56" s="84" t="s">
        <v>2371</v>
      </c>
      <c r="R56" s="84">
        <v>6</v>
      </c>
      <c r="S56" s="84"/>
      <c r="T56" s="84"/>
      <c r="U56" s="84" t="s">
        <v>2383</v>
      </c>
      <c r="V56" s="84">
        <v>5</v>
      </c>
    </row>
    <row r="57" spans="1:22" ht="15">
      <c r="A57" s="85" t="s">
        <v>2302</v>
      </c>
      <c r="B57" s="84">
        <v>37</v>
      </c>
      <c r="C57" s="84" t="s">
        <v>2303</v>
      </c>
      <c r="D57" s="84">
        <v>37</v>
      </c>
      <c r="E57" s="84" t="s">
        <v>2315</v>
      </c>
      <c r="F57" s="84">
        <v>14</v>
      </c>
      <c r="G57" s="84" t="s">
        <v>2326</v>
      </c>
      <c r="H57" s="84">
        <v>8</v>
      </c>
      <c r="I57" s="84"/>
      <c r="J57" s="84"/>
      <c r="K57" s="84" t="s">
        <v>2339</v>
      </c>
      <c r="L57" s="84">
        <v>2</v>
      </c>
      <c r="M57" s="84" t="s">
        <v>2350</v>
      </c>
      <c r="N57" s="84">
        <v>7</v>
      </c>
      <c r="O57" s="84" t="s">
        <v>2361</v>
      </c>
      <c r="P57" s="84">
        <v>5</v>
      </c>
      <c r="Q57" s="84" t="s">
        <v>2372</v>
      </c>
      <c r="R57" s="84">
        <v>6</v>
      </c>
      <c r="S57" s="84"/>
      <c r="T57" s="84"/>
      <c r="U57" s="84" t="s">
        <v>2384</v>
      </c>
      <c r="V57" s="84">
        <v>5</v>
      </c>
    </row>
    <row r="58" spans="1:22" ht="15">
      <c r="A58" s="85" t="s">
        <v>2303</v>
      </c>
      <c r="B58" s="84">
        <v>37</v>
      </c>
      <c r="C58" s="84" t="s">
        <v>2304</v>
      </c>
      <c r="D58" s="84">
        <v>37</v>
      </c>
      <c r="E58" s="84" t="s">
        <v>2316</v>
      </c>
      <c r="F58" s="84">
        <v>14</v>
      </c>
      <c r="G58" s="84" t="s">
        <v>2327</v>
      </c>
      <c r="H58" s="84">
        <v>8</v>
      </c>
      <c r="I58" s="84"/>
      <c r="J58" s="84"/>
      <c r="K58" s="84" t="s">
        <v>2340</v>
      </c>
      <c r="L58" s="84">
        <v>2</v>
      </c>
      <c r="M58" s="84" t="s">
        <v>2351</v>
      </c>
      <c r="N58" s="84">
        <v>7</v>
      </c>
      <c r="O58" s="84" t="s">
        <v>2362</v>
      </c>
      <c r="P58" s="84">
        <v>4</v>
      </c>
      <c r="Q58" s="84" t="s">
        <v>2373</v>
      </c>
      <c r="R58" s="84">
        <v>6</v>
      </c>
      <c r="S58" s="84"/>
      <c r="T58" s="84"/>
      <c r="U58" s="84" t="s">
        <v>2385</v>
      </c>
      <c r="V58" s="84">
        <v>5</v>
      </c>
    </row>
    <row r="59" spans="1:22" ht="15">
      <c r="A59" s="85" t="s">
        <v>2304</v>
      </c>
      <c r="B59" s="84">
        <v>37</v>
      </c>
      <c r="C59" s="84" t="s">
        <v>2305</v>
      </c>
      <c r="D59" s="84">
        <v>37</v>
      </c>
      <c r="E59" s="84" t="s">
        <v>2317</v>
      </c>
      <c r="F59" s="84">
        <v>14</v>
      </c>
      <c r="G59" s="84" t="s">
        <v>2328</v>
      </c>
      <c r="H59" s="84">
        <v>8</v>
      </c>
      <c r="I59" s="84"/>
      <c r="J59" s="84"/>
      <c r="K59" s="84" t="s">
        <v>2341</v>
      </c>
      <c r="L59" s="84">
        <v>2</v>
      </c>
      <c r="M59" s="84" t="s">
        <v>2352</v>
      </c>
      <c r="N59" s="84">
        <v>7</v>
      </c>
      <c r="O59" s="84" t="s">
        <v>2363</v>
      </c>
      <c r="P59" s="84">
        <v>4</v>
      </c>
      <c r="Q59" s="84" t="s">
        <v>2374</v>
      </c>
      <c r="R59" s="84">
        <v>6</v>
      </c>
      <c r="S59" s="84"/>
      <c r="T59" s="84"/>
      <c r="U59" s="84" t="s">
        <v>2386</v>
      </c>
      <c r="V59" s="84">
        <v>5</v>
      </c>
    </row>
    <row r="60" spans="1:22" ht="15">
      <c r="A60" s="85" t="s">
        <v>2305</v>
      </c>
      <c r="B60" s="84">
        <v>37</v>
      </c>
      <c r="C60" s="84" t="s">
        <v>2306</v>
      </c>
      <c r="D60" s="84">
        <v>37</v>
      </c>
      <c r="E60" s="84" t="s">
        <v>2318</v>
      </c>
      <c r="F60" s="84">
        <v>14</v>
      </c>
      <c r="G60" s="84" t="s">
        <v>2329</v>
      </c>
      <c r="H60" s="84">
        <v>8</v>
      </c>
      <c r="I60" s="84"/>
      <c r="J60" s="84"/>
      <c r="K60" s="84" t="s">
        <v>2342</v>
      </c>
      <c r="L60" s="84">
        <v>2</v>
      </c>
      <c r="M60" s="84" t="s">
        <v>2353</v>
      </c>
      <c r="N60" s="84">
        <v>7</v>
      </c>
      <c r="O60" s="84" t="s">
        <v>2364</v>
      </c>
      <c r="P60" s="84">
        <v>4</v>
      </c>
      <c r="Q60" s="84" t="s">
        <v>2375</v>
      </c>
      <c r="R60" s="84">
        <v>6</v>
      </c>
      <c r="S60" s="84"/>
      <c r="T60" s="84"/>
      <c r="U60" s="84" t="s">
        <v>2387</v>
      </c>
      <c r="V60" s="84">
        <v>5</v>
      </c>
    </row>
    <row r="61" spans="1:22" ht="15">
      <c r="A61" s="85" t="s">
        <v>2306</v>
      </c>
      <c r="B61" s="84">
        <v>37</v>
      </c>
      <c r="C61" s="84" t="s">
        <v>2307</v>
      </c>
      <c r="D61" s="84">
        <v>37</v>
      </c>
      <c r="E61" s="84" t="s">
        <v>2319</v>
      </c>
      <c r="F61" s="84">
        <v>14</v>
      </c>
      <c r="G61" s="84" t="s">
        <v>2330</v>
      </c>
      <c r="H61" s="84">
        <v>8</v>
      </c>
      <c r="I61" s="84"/>
      <c r="J61" s="84"/>
      <c r="K61" s="84" t="s">
        <v>2343</v>
      </c>
      <c r="L61" s="84">
        <v>2</v>
      </c>
      <c r="M61" s="84" t="s">
        <v>2354</v>
      </c>
      <c r="N61" s="84">
        <v>7</v>
      </c>
      <c r="O61" s="84" t="s">
        <v>2365</v>
      </c>
      <c r="P61" s="84">
        <v>4</v>
      </c>
      <c r="Q61" s="84" t="s">
        <v>2376</v>
      </c>
      <c r="R61" s="84">
        <v>6</v>
      </c>
      <c r="S61" s="84"/>
      <c r="T61" s="84"/>
      <c r="U61" s="84" t="s">
        <v>2388</v>
      </c>
      <c r="V61" s="84">
        <v>5</v>
      </c>
    </row>
    <row r="62" spans="1:22" ht="15">
      <c r="A62" s="85" t="s">
        <v>2307</v>
      </c>
      <c r="B62" s="84">
        <v>37</v>
      </c>
      <c r="C62" s="84" t="s">
        <v>2308</v>
      </c>
      <c r="D62" s="84">
        <v>37</v>
      </c>
      <c r="E62" s="84" t="s">
        <v>2320</v>
      </c>
      <c r="F62" s="84">
        <v>14</v>
      </c>
      <c r="G62" s="84" t="s">
        <v>2331</v>
      </c>
      <c r="H62" s="84">
        <v>8</v>
      </c>
      <c r="I62" s="84"/>
      <c r="J62" s="84"/>
      <c r="K62" s="84" t="s">
        <v>2344</v>
      </c>
      <c r="L62" s="84">
        <v>2</v>
      </c>
      <c r="M62" s="84" t="s">
        <v>2355</v>
      </c>
      <c r="N62" s="84">
        <v>7</v>
      </c>
      <c r="O62" s="84" t="s">
        <v>2366</v>
      </c>
      <c r="P62" s="84">
        <v>4</v>
      </c>
      <c r="Q62" s="84" t="s">
        <v>2377</v>
      </c>
      <c r="R62" s="84">
        <v>6</v>
      </c>
      <c r="S62" s="84"/>
      <c r="T62" s="84"/>
      <c r="U62" s="84" t="s">
        <v>2389</v>
      </c>
      <c r="V62" s="84">
        <v>5</v>
      </c>
    </row>
    <row r="63" spans="1:22" ht="15">
      <c r="A63" s="85" t="s">
        <v>2308</v>
      </c>
      <c r="B63" s="84">
        <v>37</v>
      </c>
      <c r="C63" s="84" t="s">
        <v>2310</v>
      </c>
      <c r="D63" s="84">
        <v>37</v>
      </c>
      <c r="E63" s="84" t="s">
        <v>2321</v>
      </c>
      <c r="F63" s="84">
        <v>14</v>
      </c>
      <c r="G63" s="84" t="s">
        <v>2332</v>
      </c>
      <c r="H63" s="84">
        <v>8</v>
      </c>
      <c r="I63" s="84"/>
      <c r="J63" s="84"/>
      <c r="K63" s="84" t="s">
        <v>2345</v>
      </c>
      <c r="L63" s="84">
        <v>2</v>
      </c>
      <c r="M63" s="84" t="s">
        <v>2356</v>
      </c>
      <c r="N63" s="84">
        <v>7</v>
      </c>
      <c r="O63" s="84" t="s">
        <v>2367</v>
      </c>
      <c r="P63" s="84">
        <v>4</v>
      </c>
      <c r="Q63" s="84" t="s">
        <v>2378</v>
      </c>
      <c r="R63" s="84">
        <v>6</v>
      </c>
      <c r="S63" s="84"/>
      <c r="T63" s="84"/>
      <c r="U63" s="84" t="s">
        <v>2390</v>
      </c>
      <c r="V63" s="84">
        <v>5</v>
      </c>
    </row>
    <row r="66" spans="1:22" ht="15" customHeight="1">
      <c r="A66" s="13" t="s">
        <v>2412</v>
      </c>
      <c r="B66" s="13" t="s">
        <v>2152</v>
      </c>
      <c r="C66" s="79" t="s">
        <v>2414</v>
      </c>
      <c r="D66" s="79" t="s">
        <v>2155</v>
      </c>
      <c r="E66" s="79" t="s">
        <v>2415</v>
      </c>
      <c r="F66" s="79" t="s">
        <v>2159</v>
      </c>
      <c r="G66" s="79" t="s">
        <v>2418</v>
      </c>
      <c r="H66" s="79" t="s">
        <v>2161</v>
      </c>
      <c r="I66" s="79" t="s">
        <v>2420</v>
      </c>
      <c r="J66" s="79" t="s">
        <v>2173</v>
      </c>
      <c r="K66" s="79" t="s">
        <v>2422</v>
      </c>
      <c r="L66" s="79" t="s">
        <v>2176</v>
      </c>
      <c r="M66" s="79" t="s">
        <v>2424</v>
      </c>
      <c r="N66" s="79" t="s">
        <v>2178</v>
      </c>
      <c r="O66" s="79" t="s">
        <v>2426</v>
      </c>
      <c r="P66" s="79" t="s">
        <v>2182</v>
      </c>
      <c r="Q66" s="79" t="s">
        <v>2428</v>
      </c>
      <c r="R66" s="79" t="s">
        <v>2184</v>
      </c>
      <c r="S66" s="13" t="s">
        <v>2430</v>
      </c>
      <c r="T66" s="13" t="s">
        <v>2186</v>
      </c>
      <c r="U66" s="79" t="s">
        <v>2432</v>
      </c>
      <c r="V66" s="79" t="s">
        <v>2187</v>
      </c>
    </row>
    <row r="67" spans="1:22" ht="15">
      <c r="A67" s="79" t="s">
        <v>380</v>
      </c>
      <c r="B67" s="79">
        <v>1</v>
      </c>
      <c r="C67" s="79"/>
      <c r="D67" s="79"/>
      <c r="E67" s="79"/>
      <c r="F67" s="79"/>
      <c r="G67" s="79"/>
      <c r="H67" s="79"/>
      <c r="I67" s="79"/>
      <c r="J67" s="79"/>
      <c r="K67" s="79"/>
      <c r="L67" s="79"/>
      <c r="M67" s="79"/>
      <c r="N67" s="79"/>
      <c r="O67" s="79"/>
      <c r="P67" s="79"/>
      <c r="Q67" s="79"/>
      <c r="R67" s="79"/>
      <c r="S67" s="79" t="s">
        <v>375</v>
      </c>
      <c r="T67" s="79">
        <v>1</v>
      </c>
      <c r="U67" s="79"/>
      <c r="V67" s="79"/>
    </row>
    <row r="68" spans="1:22" ht="15">
      <c r="A68" s="80" t="s">
        <v>379</v>
      </c>
      <c r="B68" s="79">
        <v>1</v>
      </c>
      <c r="C68" s="79"/>
      <c r="D68" s="79"/>
      <c r="E68" s="79"/>
      <c r="F68" s="79"/>
      <c r="G68" s="79"/>
      <c r="H68" s="79"/>
      <c r="I68" s="79"/>
      <c r="J68" s="79"/>
      <c r="K68" s="79"/>
      <c r="L68" s="79"/>
      <c r="M68" s="79"/>
      <c r="N68" s="79"/>
      <c r="O68" s="79"/>
      <c r="P68" s="79"/>
      <c r="Q68" s="79"/>
      <c r="R68" s="79"/>
      <c r="S68" s="79"/>
      <c r="T68" s="79"/>
      <c r="U68" s="79"/>
      <c r="V68" s="79"/>
    </row>
    <row r="69" spans="1:22" ht="15">
      <c r="A69" s="80" t="s">
        <v>378</v>
      </c>
      <c r="B69" s="79">
        <v>1</v>
      </c>
      <c r="C69" s="79"/>
      <c r="D69" s="79"/>
      <c r="E69" s="79"/>
      <c r="F69" s="79"/>
      <c r="G69" s="79"/>
      <c r="H69" s="79"/>
      <c r="I69" s="79"/>
      <c r="J69" s="79"/>
      <c r="K69" s="79"/>
      <c r="L69" s="79"/>
      <c r="M69" s="79"/>
      <c r="N69" s="79"/>
      <c r="O69" s="79"/>
      <c r="P69" s="79"/>
      <c r="Q69" s="79"/>
      <c r="R69" s="79"/>
      <c r="S69" s="79"/>
      <c r="T69" s="79"/>
      <c r="U69" s="79"/>
      <c r="V69" s="79"/>
    </row>
    <row r="70" spans="1:22" ht="15">
      <c r="A70" s="80" t="s">
        <v>375</v>
      </c>
      <c r="B70" s="79">
        <v>1</v>
      </c>
      <c r="C70" s="79"/>
      <c r="D70" s="79"/>
      <c r="E70" s="79"/>
      <c r="F70" s="79"/>
      <c r="G70" s="79"/>
      <c r="H70" s="79"/>
      <c r="I70" s="79"/>
      <c r="J70" s="79"/>
      <c r="K70" s="79"/>
      <c r="L70" s="79"/>
      <c r="M70" s="79"/>
      <c r="N70" s="79"/>
      <c r="O70" s="79"/>
      <c r="P70" s="79"/>
      <c r="Q70" s="79"/>
      <c r="R70" s="79"/>
      <c r="S70" s="79"/>
      <c r="T70" s="79"/>
      <c r="U70" s="79"/>
      <c r="V70" s="79"/>
    </row>
    <row r="73" spans="1:22" ht="15" customHeight="1">
      <c r="A73" s="13" t="s">
        <v>2413</v>
      </c>
      <c r="B73" s="13" t="s">
        <v>2152</v>
      </c>
      <c r="C73" s="79" t="s">
        <v>2416</v>
      </c>
      <c r="D73" s="79" t="s">
        <v>2155</v>
      </c>
      <c r="E73" s="13" t="s">
        <v>2417</v>
      </c>
      <c r="F73" s="13" t="s">
        <v>2159</v>
      </c>
      <c r="G73" s="13" t="s">
        <v>2419</v>
      </c>
      <c r="H73" s="13" t="s">
        <v>2161</v>
      </c>
      <c r="I73" s="79" t="s">
        <v>2421</v>
      </c>
      <c r="J73" s="79" t="s">
        <v>2173</v>
      </c>
      <c r="K73" s="13" t="s">
        <v>2423</v>
      </c>
      <c r="L73" s="13" t="s">
        <v>2176</v>
      </c>
      <c r="M73" s="13" t="s">
        <v>2425</v>
      </c>
      <c r="N73" s="13" t="s">
        <v>2178</v>
      </c>
      <c r="O73" s="13" t="s">
        <v>2427</v>
      </c>
      <c r="P73" s="13" t="s">
        <v>2182</v>
      </c>
      <c r="Q73" s="79" t="s">
        <v>2429</v>
      </c>
      <c r="R73" s="79" t="s">
        <v>2184</v>
      </c>
      <c r="S73" s="13" t="s">
        <v>2431</v>
      </c>
      <c r="T73" s="13" t="s">
        <v>2186</v>
      </c>
      <c r="U73" s="79" t="s">
        <v>2433</v>
      </c>
      <c r="V73" s="79" t="s">
        <v>2187</v>
      </c>
    </row>
    <row r="74" spans="1:22" ht="15">
      <c r="A74" s="79" t="s">
        <v>368</v>
      </c>
      <c r="B74" s="79">
        <v>28</v>
      </c>
      <c r="C74" s="79"/>
      <c r="D74" s="79"/>
      <c r="E74" s="79" t="s">
        <v>368</v>
      </c>
      <c r="F74" s="79">
        <v>24</v>
      </c>
      <c r="G74" s="79" t="s">
        <v>268</v>
      </c>
      <c r="H74" s="79">
        <v>8</v>
      </c>
      <c r="I74" s="79"/>
      <c r="J74" s="79"/>
      <c r="K74" s="79" t="s">
        <v>363</v>
      </c>
      <c r="L74" s="79">
        <v>4</v>
      </c>
      <c r="M74" s="79" t="s">
        <v>219</v>
      </c>
      <c r="N74" s="79">
        <v>7</v>
      </c>
      <c r="O74" s="79" t="s">
        <v>376</v>
      </c>
      <c r="P74" s="79">
        <v>6</v>
      </c>
      <c r="Q74" s="79"/>
      <c r="R74" s="79"/>
      <c r="S74" s="79" t="s">
        <v>374</v>
      </c>
      <c r="T74" s="79">
        <v>1</v>
      </c>
      <c r="U74" s="79"/>
      <c r="V74" s="79"/>
    </row>
    <row r="75" spans="1:22" ht="15">
      <c r="A75" s="80" t="s">
        <v>370</v>
      </c>
      <c r="B75" s="79">
        <v>14</v>
      </c>
      <c r="C75" s="79"/>
      <c r="D75" s="79"/>
      <c r="E75" s="79" t="s">
        <v>370</v>
      </c>
      <c r="F75" s="79">
        <v>14</v>
      </c>
      <c r="G75" s="79"/>
      <c r="H75" s="79"/>
      <c r="I75" s="79"/>
      <c r="J75" s="79"/>
      <c r="K75" s="79" t="s">
        <v>368</v>
      </c>
      <c r="L75" s="79">
        <v>2</v>
      </c>
      <c r="M75" s="79" t="s">
        <v>220</v>
      </c>
      <c r="N75" s="79">
        <v>7</v>
      </c>
      <c r="O75" s="79" t="s">
        <v>381</v>
      </c>
      <c r="P75" s="79">
        <v>1</v>
      </c>
      <c r="Q75" s="79"/>
      <c r="R75" s="79"/>
      <c r="S75" s="79" t="s">
        <v>373</v>
      </c>
      <c r="T75" s="79">
        <v>1</v>
      </c>
      <c r="U75" s="79"/>
      <c r="V75" s="79"/>
    </row>
    <row r="76" spans="1:22" ht="15">
      <c r="A76" s="80" t="s">
        <v>268</v>
      </c>
      <c r="B76" s="79">
        <v>8</v>
      </c>
      <c r="C76" s="79"/>
      <c r="D76" s="79"/>
      <c r="E76" s="79"/>
      <c r="F76" s="79"/>
      <c r="G76" s="79"/>
      <c r="H76" s="79"/>
      <c r="I76" s="79"/>
      <c r="J76" s="79"/>
      <c r="K76" s="79" t="s">
        <v>362</v>
      </c>
      <c r="L76" s="79">
        <v>2</v>
      </c>
      <c r="M76" s="79" t="s">
        <v>358</v>
      </c>
      <c r="N76" s="79">
        <v>7</v>
      </c>
      <c r="O76" s="79"/>
      <c r="P76" s="79"/>
      <c r="Q76" s="79"/>
      <c r="R76" s="79"/>
      <c r="S76" s="79" t="s">
        <v>372</v>
      </c>
      <c r="T76" s="79">
        <v>1</v>
      </c>
      <c r="U76" s="79"/>
      <c r="V76" s="79"/>
    </row>
    <row r="77" spans="1:22" ht="15">
      <c r="A77" s="80" t="s">
        <v>219</v>
      </c>
      <c r="B77" s="79">
        <v>7</v>
      </c>
      <c r="C77" s="79"/>
      <c r="D77" s="79"/>
      <c r="E77" s="79"/>
      <c r="F77" s="79"/>
      <c r="G77" s="79"/>
      <c r="H77" s="79"/>
      <c r="I77" s="79"/>
      <c r="J77" s="79"/>
      <c r="K77" s="79"/>
      <c r="L77" s="79"/>
      <c r="M77" s="79" t="s">
        <v>221</v>
      </c>
      <c r="N77" s="79">
        <v>7</v>
      </c>
      <c r="O77" s="79"/>
      <c r="P77" s="79"/>
      <c r="Q77" s="79"/>
      <c r="R77" s="79"/>
      <c r="S77" s="79" t="s">
        <v>371</v>
      </c>
      <c r="T77" s="79">
        <v>1</v>
      </c>
      <c r="U77" s="79"/>
      <c r="V77" s="79"/>
    </row>
    <row r="78" spans="1:22" ht="15">
      <c r="A78" s="80" t="s">
        <v>220</v>
      </c>
      <c r="B78" s="79">
        <v>7</v>
      </c>
      <c r="C78" s="79"/>
      <c r="D78" s="79"/>
      <c r="E78" s="79"/>
      <c r="F78" s="79"/>
      <c r="G78" s="79"/>
      <c r="H78" s="79"/>
      <c r="I78" s="79"/>
      <c r="J78" s="79"/>
      <c r="K78" s="79"/>
      <c r="L78" s="79"/>
      <c r="M78" s="79"/>
      <c r="N78" s="79"/>
      <c r="O78" s="79"/>
      <c r="P78" s="79"/>
      <c r="Q78" s="79"/>
      <c r="R78" s="79"/>
      <c r="S78" s="79"/>
      <c r="T78" s="79"/>
      <c r="U78" s="79"/>
      <c r="V78" s="79"/>
    </row>
    <row r="79" spans="1:22" ht="15">
      <c r="A79" s="80" t="s">
        <v>358</v>
      </c>
      <c r="B79" s="79">
        <v>7</v>
      </c>
      <c r="C79" s="79"/>
      <c r="D79" s="79"/>
      <c r="E79" s="79"/>
      <c r="F79" s="79"/>
      <c r="G79" s="79"/>
      <c r="H79" s="79"/>
      <c r="I79" s="79"/>
      <c r="J79" s="79"/>
      <c r="K79" s="79"/>
      <c r="L79" s="79"/>
      <c r="M79" s="79"/>
      <c r="N79" s="79"/>
      <c r="O79" s="79"/>
      <c r="P79" s="79"/>
      <c r="Q79" s="79"/>
      <c r="R79" s="79"/>
      <c r="S79" s="79"/>
      <c r="T79" s="79"/>
      <c r="U79" s="79"/>
      <c r="V79" s="79"/>
    </row>
    <row r="80" spans="1:22" ht="15">
      <c r="A80" s="80" t="s">
        <v>221</v>
      </c>
      <c r="B80" s="79">
        <v>7</v>
      </c>
      <c r="C80" s="79"/>
      <c r="D80" s="79"/>
      <c r="E80" s="79"/>
      <c r="F80" s="79"/>
      <c r="G80" s="79"/>
      <c r="H80" s="79"/>
      <c r="I80" s="79"/>
      <c r="J80" s="79"/>
      <c r="K80" s="79"/>
      <c r="L80" s="79"/>
      <c r="M80" s="79"/>
      <c r="N80" s="79"/>
      <c r="O80" s="79"/>
      <c r="P80" s="79"/>
      <c r="Q80" s="79"/>
      <c r="R80" s="79"/>
      <c r="S80" s="79"/>
      <c r="T80" s="79"/>
      <c r="U80" s="79"/>
      <c r="V80" s="79"/>
    </row>
    <row r="81" spans="1:22" ht="15">
      <c r="A81" s="80" t="s">
        <v>376</v>
      </c>
      <c r="B81" s="79">
        <v>6</v>
      </c>
      <c r="C81" s="79"/>
      <c r="D81" s="79"/>
      <c r="E81" s="79"/>
      <c r="F81" s="79"/>
      <c r="G81" s="79"/>
      <c r="H81" s="79"/>
      <c r="I81" s="79"/>
      <c r="J81" s="79"/>
      <c r="K81" s="79"/>
      <c r="L81" s="79"/>
      <c r="M81" s="79"/>
      <c r="N81" s="79"/>
      <c r="O81" s="79"/>
      <c r="P81" s="79"/>
      <c r="Q81" s="79"/>
      <c r="R81" s="79"/>
      <c r="S81" s="79"/>
      <c r="T81" s="79"/>
      <c r="U81" s="79"/>
      <c r="V81" s="79"/>
    </row>
    <row r="82" spans="1:22" ht="15">
      <c r="A82" s="80" t="s">
        <v>363</v>
      </c>
      <c r="B82" s="79">
        <v>4</v>
      </c>
      <c r="C82" s="79"/>
      <c r="D82" s="79"/>
      <c r="E82" s="79"/>
      <c r="F82" s="79"/>
      <c r="G82" s="79"/>
      <c r="H82" s="79"/>
      <c r="I82" s="79"/>
      <c r="J82" s="79"/>
      <c r="K82" s="79"/>
      <c r="L82" s="79"/>
      <c r="M82" s="79"/>
      <c r="N82" s="79"/>
      <c r="O82" s="79"/>
      <c r="P82" s="79"/>
      <c r="Q82" s="79"/>
      <c r="R82" s="79"/>
      <c r="S82" s="79"/>
      <c r="T82" s="79"/>
      <c r="U82" s="79"/>
      <c r="V82" s="79"/>
    </row>
    <row r="83" spans="1:22" ht="15">
      <c r="A83" s="80" t="s">
        <v>369</v>
      </c>
      <c r="B83" s="79">
        <v>2</v>
      </c>
      <c r="C83" s="79"/>
      <c r="D83" s="79"/>
      <c r="E83" s="79"/>
      <c r="F83" s="79"/>
      <c r="G83" s="79"/>
      <c r="H83" s="79"/>
      <c r="I83" s="79"/>
      <c r="J83" s="79"/>
      <c r="K83" s="79"/>
      <c r="L83" s="79"/>
      <c r="M83" s="79"/>
      <c r="N83" s="79"/>
      <c r="O83" s="79"/>
      <c r="P83" s="79"/>
      <c r="Q83" s="79"/>
      <c r="R83" s="79"/>
      <c r="S83" s="79"/>
      <c r="T83" s="79"/>
      <c r="U83" s="79"/>
      <c r="V83" s="79"/>
    </row>
    <row r="86" spans="1:22" ht="15" customHeight="1">
      <c r="A86" s="13" t="s">
        <v>2443</v>
      </c>
      <c r="B86" s="13" t="s">
        <v>2152</v>
      </c>
      <c r="C86" s="13" t="s">
        <v>2444</v>
      </c>
      <c r="D86" s="13" t="s">
        <v>2155</v>
      </c>
      <c r="E86" s="13" t="s">
        <v>2445</v>
      </c>
      <c r="F86" s="13" t="s">
        <v>2159</v>
      </c>
      <c r="G86" s="13" t="s">
        <v>2446</v>
      </c>
      <c r="H86" s="13" t="s">
        <v>2161</v>
      </c>
      <c r="I86" s="13" t="s">
        <v>2447</v>
      </c>
      <c r="J86" s="13" t="s">
        <v>2173</v>
      </c>
      <c r="K86" s="13" t="s">
        <v>2448</v>
      </c>
      <c r="L86" s="13" t="s">
        <v>2176</v>
      </c>
      <c r="M86" s="13" t="s">
        <v>2449</v>
      </c>
      <c r="N86" s="13" t="s">
        <v>2178</v>
      </c>
      <c r="O86" s="13" t="s">
        <v>2450</v>
      </c>
      <c r="P86" s="13" t="s">
        <v>2182</v>
      </c>
      <c r="Q86" s="13" t="s">
        <v>2451</v>
      </c>
      <c r="R86" s="13" t="s">
        <v>2184</v>
      </c>
      <c r="S86" s="13" t="s">
        <v>2452</v>
      </c>
      <c r="T86" s="13" t="s">
        <v>2186</v>
      </c>
      <c r="U86" s="13" t="s">
        <v>2453</v>
      </c>
      <c r="V86" s="13" t="s">
        <v>2187</v>
      </c>
    </row>
    <row r="87" spans="1:22" ht="15">
      <c r="A87" s="105" t="s">
        <v>380</v>
      </c>
      <c r="B87" s="79">
        <v>726969</v>
      </c>
      <c r="C87" s="105" t="s">
        <v>303</v>
      </c>
      <c r="D87" s="79">
        <v>310114</v>
      </c>
      <c r="E87" s="105" t="s">
        <v>325</v>
      </c>
      <c r="F87" s="79">
        <v>560398</v>
      </c>
      <c r="G87" s="105" t="s">
        <v>249</v>
      </c>
      <c r="H87" s="79">
        <v>284294</v>
      </c>
      <c r="I87" s="105" t="s">
        <v>345</v>
      </c>
      <c r="J87" s="79">
        <v>90170</v>
      </c>
      <c r="K87" s="105" t="s">
        <v>246</v>
      </c>
      <c r="L87" s="79">
        <v>203745</v>
      </c>
      <c r="M87" s="105" t="s">
        <v>219</v>
      </c>
      <c r="N87" s="79">
        <v>277603</v>
      </c>
      <c r="O87" s="105" t="s">
        <v>381</v>
      </c>
      <c r="P87" s="79">
        <v>78615</v>
      </c>
      <c r="Q87" s="105" t="s">
        <v>343</v>
      </c>
      <c r="R87" s="79">
        <v>91086</v>
      </c>
      <c r="S87" s="105" t="s">
        <v>374</v>
      </c>
      <c r="T87" s="79">
        <v>46388</v>
      </c>
      <c r="U87" s="105" t="s">
        <v>234</v>
      </c>
      <c r="V87" s="79">
        <v>86097</v>
      </c>
    </row>
    <row r="88" spans="1:22" ht="15">
      <c r="A88" s="108" t="s">
        <v>325</v>
      </c>
      <c r="B88" s="79">
        <v>560398</v>
      </c>
      <c r="C88" s="105" t="s">
        <v>294</v>
      </c>
      <c r="D88" s="79">
        <v>101504</v>
      </c>
      <c r="E88" s="105" t="s">
        <v>314</v>
      </c>
      <c r="F88" s="79">
        <v>313507</v>
      </c>
      <c r="G88" s="105" t="s">
        <v>250</v>
      </c>
      <c r="H88" s="79">
        <v>70153</v>
      </c>
      <c r="I88" s="105" t="s">
        <v>259</v>
      </c>
      <c r="J88" s="79">
        <v>19974</v>
      </c>
      <c r="K88" s="105" t="s">
        <v>244</v>
      </c>
      <c r="L88" s="79">
        <v>97061</v>
      </c>
      <c r="M88" s="105" t="s">
        <v>222</v>
      </c>
      <c r="N88" s="79">
        <v>195789</v>
      </c>
      <c r="O88" s="105" t="s">
        <v>376</v>
      </c>
      <c r="P88" s="79">
        <v>40681</v>
      </c>
      <c r="Q88" s="105" t="s">
        <v>346</v>
      </c>
      <c r="R88" s="79">
        <v>26564</v>
      </c>
      <c r="S88" s="105" t="s">
        <v>372</v>
      </c>
      <c r="T88" s="79">
        <v>17755</v>
      </c>
      <c r="U88" s="105" t="s">
        <v>238</v>
      </c>
      <c r="V88" s="79">
        <v>36319</v>
      </c>
    </row>
    <row r="89" spans="1:22" ht="15">
      <c r="A89" s="108" t="s">
        <v>255</v>
      </c>
      <c r="B89" s="79">
        <v>347718</v>
      </c>
      <c r="C89" s="105" t="s">
        <v>322</v>
      </c>
      <c r="D89" s="79">
        <v>81633</v>
      </c>
      <c r="E89" s="105" t="s">
        <v>338</v>
      </c>
      <c r="F89" s="79">
        <v>184173</v>
      </c>
      <c r="G89" s="105" t="s">
        <v>240</v>
      </c>
      <c r="H89" s="79">
        <v>41273</v>
      </c>
      <c r="I89" s="105" t="s">
        <v>354</v>
      </c>
      <c r="J89" s="79">
        <v>10049</v>
      </c>
      <c r="K89" s="105" t="s">
        <v>362</v>
      </c>
      <c r="L89" s="79">
        <v>17090</v>
      </c>
      <c r="M89" s="105" t="s">
        <v>216</v>
      </c>
      <c r="N89" s="79">
        <v>24439</v>
      </c>
      <c r="O89" s="105" t="s">
        <v>282</v>
      </c>
      <c r="P89" s="79">
        <v>37566</v>
      </c>
      <c r="Q89" s="105" t="s">
        <v>344</v>
      </c>
      <c r="R89" s="79">
        <v>21105</v>
      </c>
      <c r="S89" s="105" t="s">
        <v>371</v>
      </c>
      <c r="T89" s="79">
        <v>12078</v>
      </c>
      <c r="U89" s="105" t="s">
        <v>236</v>
      </c>
      <c r="V89" s="79">
        <v>20428</v>
      </c>
    </row>
    <row r="90" spans="1:22" ht="15">
      <c r="A90" s="108" t="s">
        <v>314</v>
      </c>
      <c r="B90" s="79">
        <v>313507</v>
      </c>
      <c r="C90" s="105" t="s">
        <v>286</v>
      </c>
      <c r="D90" s="79">
        <v>77434</v>
      </c>
      <c r="E90" s="105" t="s">
        <v>277</v>
      </c>
      <c r="F90" s="79">
        <v>124157</v>
      </c>
      <c r="G90" s="105" t="s">
        <v>226</v>
      </c>
      <c r="H90" s="79">
        <v>33703</v>
      </c>
      <c r="I90" s="105" t="s">
        <v>233</v>
      </c>
      <c r="J90" s="79">
        <v>7096</v>
      </c>
      <c r="K90" s="105" t="s">
        <v>245</v>
      </c>
      <c r="L90" s="79">
        <v>14159</v>
      </c>
      <c r="M90" s="105" t="s">
        <v>220</v>
      </c>
      <c r="N90" s="79">
        <v>22273</v>
      </c>
      <c r="O90" s="105" t="s">
        <v>295</v>
      </c>
      <c r="P90" s="79">
        <v>8551</v>
      </c>
      <c r="Q90" s="105" t="s">
        <v>351</v>
      </c>
      <c r="R90" s="79">
        <v>7488</v>
      </c>
      <c r="S90" s="105" t="s">
        <v>375</v>
      </c>
      <c r="T90" s="79">
        <v>1552</v>
      </c>
      <c r="U90" s="105" t="s">
        <v>235</v>
      </c>
      <c r="V90" s="79">
        <v>10129</v>
      </c>
    </row>
    <row r="91" spans="1:22" ht="15">
      <c r="A91" s="108" t="s">
        <v>303</v>
      </c>
      <c r="B91" s="79">
        <v>310114</v>
      </c>
      <c r="C91" s="105" t="s">
        <v>309</v>
      </c>
      <c r="D91" s="79">
        <v>68332</v>
      </c>
      <c r="E91" s="105" t="s">
        <v>331</v>
      </c>
      <c r="F91" s="79">
        <v>120423</v>
      </c>
      <c r="G91" s="105" t="s">
        <v>269</v>
      </c>
      <c r="H91" s="79">
        <v>32840</v>
      </c>
      <c r="I91" s="105" t="s">
        <v>229</v>
      </c>
      <c r="J91" s="79">
        <v>5873</v>
      </c>
      <c r="K91" s="105" t="s">
        <v>363</v>
      </c>
      <c r="L91" s="79">
        <v>4090</v>
      </c>
      <c r="M91" s="105" t="s">
        <v>221</v>
      </c>
      <c r="N91" s="79">
        <v>13640</v>
      </c>
      <c r="O91" s="105" t="s">
        <v>319</v>
      </c>
      <c r="P91" s="79">
        <v>2457</v>
      </c>
      <c r="Q91" s="105" t="s">
        <v>350</v>
      </c>
      <c r="R91" s="79">
        <v>3816</v>
      </c>
      <c r="S91" s="105" t="s">
        <v>280</v>
      </c>
      <c r="T91" s="79">
        <v>1099</v>
      </c>
      <c r="U91" s="105" t="s">
        <v>239</v>
      </c>
      <c r="V91" s="79">
        <v>3796</v>
      </c>
    </row>
    <row r="92" spans="1:22" ht="15">
      <c r="A92" s="108" t="s">
        <v>249</v>
      </c>
      <c r="B92" s="79">
        <v>284294</v>
      </c>
      <c r="C92" s="105" t="s">
        <v>289</v>
      </c>
      <c r="D92" s="79">
        <v>64294</v>
      </c>
      <c r="E92" s="105" t="s">
        <v>273</v>
      </c>
      <c r="F92" s="79">
        <v>73342</v>
      </c>
      <c r="G92" s="105" t="s">
        <v>270</v>
      </c>
      <c r="H92" s="79">
        <v>31746</v>
      </c>
      <c r="I92" s="105" t="s">
        <v>272</v>
      </c>
      <c r="J92" s="79">
        <v>5024</v>
      </c>
      <c r="K92" s="105" t="s">
        <v>341</v>
      </c>
      <c r="L92" s="79">
        <v>1897</v>
      </c>
      <c r="M92" s="105" t="s">
        <v>223</v>
      </c>
      <c r="N92" s="79">
        <v>7178</v>
      </c>
      <c r="O92" s="105" t="s">
        <v>355</v>
      </c>
      <c r="P92" s="79">
        <v>24</v>
      </c>
      <c r="Q92" s="105" t="s">
        <v>352</v>
      </c>
      <c r="R92" s="79">
        <v>2846</v>
      </c>
      <c r="S92" s="105" t="s">
        <v>373</v>
      </c>
      <c r="T92" s="79">
        <v>9</v>
      </c>
      <c r="U92" s="105"/>
      <c r="V92" s="79"/>
    </row>
    <row r="93" spans="1:22" ht="15">
      <c r="A93" s="108" t="s">
        <v>219</v>
      </c>
      <c r="B93" s="79">
        <v>277603</v>
      </c>
      <c r="C93" s="105" t="s">
        <v>321</v>
      </c>
      <c r="D93" s="79">
        <v>54007</v>
      </c>
      <c r="E93" s="105" t="s">
        <v>329</v>
      </c>
      <c r="F93" s="79">
        <v>72085</v>
      </c>
      <c r="G93" s="105" t="s">
        <v>268</v>
      </c>
      <c r="H93" s="79">
        <v>16181</v>
      </c>
      <c r="I93" s="105" t="s">
        <v>267</v>
      </c>
      <c r="J93" s="79">
        <v>1873</v>
      </c>
      <c r="K93" s="105" t="s">
        <v>342</v>
      </c>
      <c r="L93" s="79">
        <v>1688</v>
      </c>
      <c r="M93" s="105" t="s">
        <v>358</v>
      </c>
      <c r="N93" s="79">
        <v>5</v>
      </c>
      <c r="O93" s="105"/>
      <c r="P93" s="79"/>
      <c r="Q93" s="105"/>
      <c r="R93" s="79"/>
      <c r="S93" s="105"/>
      <c r="T93" s="79"/>
      <c r="U93" s="105"/>
      <c r="V93" s="79"/>
    </row>
    <row r="94" spans="1:22" ht="15">
      <c r="A94" s="108" t="s">
        <v>256</v>
      </c>
      <c r="B94" s="79">
        <v>214009</v>
      </c>
      <c r="C94" s="105" t="s">
        <v>285</v>
      </c>
      <c r="D94" s="79">
        <v>51310</v>
      </c>
      <c r="E94" s="105" t="s">
        <v>264</v>
      </c>
      <c r="F94" s="79">
        <v>63118</v>
      </c>
      <c r="G94" s="105" t="s">
        <v>231</v>
      </c>
      <c r="H94" s="79">
        <v>15322</v>
      </c>
      <c r="I94" s="105" t="s">
        <v>274</v>
      </c>
      <c r="J94" s="79">
        <v>1826</v>
      </c>
      <c r="K94" s="105"/>
      <c r="L94" s="79"/>
      <c r="M94" s="105"/>
      <c r="N94" s="79"/>
      <c r="O94" s="105"/>
      <c r="P94" s="79"/>
      <c r="Q94" s="105"/>
      <c r="R94" s="79"/>
      <c r="S94" s="105"/>
      <c r="T94" s="79"/>
      <c r="U94" s="105"/>
      <c r="V94" s="79"/>
    </row>
    <row r="95" spans="1:22" ht="15">
      <c r="A95" s="108" t="s">
        <v>246</v>
      </c>
      <c r="B95" s="79">
        <v>203745</v>
      </c>
      <c r="C95" s="105" t="s">
        <v>332</v>
      </c>
      <c r="D95" s="79">
        <v>48062</v>
      </c>
      <c r="E95" s="105" t="s">
        <v>276</v>
      </c>
      <c r="F95" s="79">
        <v>63082</v>
      </c>
      <c r="G95" s="105" t="s">
        <v>251</v>
      </c>
      <c r="H95" s="79">
        <v>9531</v>
      </c>
      <c r="I95" s="105" t="s">
        <v>224</v>
      </c>
      <c r="J95" s="79">
        <v>467</v>
      </c>
      <c r="K95" s="105"/>
      <c r="L95" s="79"/>
      <c r="M95" s="105"/>
      <c r="N95" s="79"/>
      <c r="O95" s="105"/>
      <c r="P95" s="79"/>
      <c r="Q95" s="105"/>
      <c r="R95" s="79"/>
      <c r="S95" s="105"/>
      <c r="T95" s="79"/>
      <c r="U95" s="105"/>
      <c r="V95" s="79"/>
    </row>
    <row r="96" spans="1:22" ht="15">
      <c r="A96" s="108" t="s">
        <v>222</v>
      </c>
      <c r="B96" s="79">
        <v>195789</v>
      </c>
      <c r="C96" s="105" t="s">
        <v>306</v>
      </c>
      <c r="D96" s="79">
        <v>46992</v>
      </c>
      <c r="E96" s="105" t="s">
        <v>265</v>
      </c>
      <c r="F96" s="79">
        <v>57564</v>
      </c>
      <c r="G96" s="105" t="s">
        <v>225</v>
      </c>
      <c r="H96" s="79">
        <v>5050</v>
      </c>
      <c r="I96" s="105" t="s">
        <v>296</v>
      </c>
      <c r="J96" s="79">
        <v>265</v>
      </c>
      <c r="K96" s="105"/>
      <c r="L96" s="79"/>
      <c r="M96" s="105"/>
      <c r="N96" s="79"/>
      <c r="O96" s="105"/>
      <c r="P96" s="79"/>
      <c r="Q96" s="105"/>
      <c r="R96" s="79"/>
      <c r="S96" s="105"/>
      <c r="T96" s="79"/>
      <c r="U96" s="105"/>
      <c r="V96" s="79"/>
    </row>
  </sheetData>
  <hyperlinks>
    <hyperlink ref="A2" r:id="rId1" display="http://gabinete.mx/index.php/es/component/k2/item/658-amlo-seguimiento-septiembre-2021"/>
    <hyperlink ref="A3" r:id="rId2" display="https://www.meltingpot.org/Tapachula-frontiera-sud-del-Messico-migliaia-di-persone.html"/>
    <hyperlink ref="A4" r:id="rId3" display="https://www.jornada.com.mx/notas/2021/09/21/estados/inm-envia-por-avion-a-120-haitianos-a-chiapas-desde-coahuila/"/>
    <hyperlink ref="A5" r:id="rId4" display="https://www.youtube.com/channel/UCRja7nxirrJ4yEUa9pPkFmw"/>
    <hyperlink ref="A6" r:id="rId5" display="https://www.youtube.com/watch?v=SAkyfdQhNLw&amp;feature=youtu.be"/>
    <hyperlink ref="A7" r:id="rId6" display="https://twitter.com/GCorreaCabrera/status/1438536476061491211"/>
    <hyperlink ref="A8" r:id="rId7" display="https://avispa.org/migrantes-buscan-rutas-alternativas-en-chiapas-autoridades-responden-con-violencia/"/>
    <hyperlink ref="A9" r:id="rId8" display="https://www.diariodelsur.com.mx/local/activa-guardia-nacional-busqueda-de-migrantes-en-taxis-7222717.html"/>
    <hyperlink ref="A10" r:id="rId9" display="https://www.diariodelsur.com.mx/local/migrantes-intentan-salir-de-chiapas-con-rumbo-a-veracruz-7237222.html"/>
    <hyperlink ref="A11" r:id="rId10" display="https://movimientomigrantemesoamericano.org/2021/09/16/se-desborda-flujo-migratorio/"/>
    <hyperlink ref="E2" r:id="rId11" display="https://www.jornada.com.mx/notas/2021/09/21/estados/inm-envia-por-avion-a-120-haitianos-a-chiapas-desde-coahuila/"/>
    <hyperlink ref="E3" r:id="rId12" display="https://www.ejecentral.com.mx/inm-lleva-a-120-migrantes-a-chiapas-haitianos-siguen-llegando-al-norte/"/>
    <hyperlink ref="E4" r:id="rId13" display="https://cutt.ly/IEhgLyr"/>
    <hyperlink ref="G2" r:id="rId14" display="https://www.meltingpot.org/Tapachula-frontiera-sud-del-Messico-migliaia-di-persone.html"/>
    <hyperlink ref="G3" r:id="rId15" display="https://www.diariodelsur.com.mx/local/activa-guardia-nacional-busqueda-de-migrantes-en-taxis-7222717.html"/>
    <hyperlink ref="G4" r:id="rId16" display="https://www.diariodelsur.com.mx/local/migrantes-intentan-salir-de-chiapas-con-rumbo-a-veracruz-7237222.html"/>
    <hyperlink ref="G5" r:id="rId17" display="https://movimientomigrantemesoamericano.org/2021/09/16/se-desborda-flujo-migratorio/"/>
    <hyperlink ref="I2" r:id="rId18" display="https://talcualdigital.com/el-bloqueo-migratorio-en-mexico-fortalece-al-crimen-organizado-por-carlos-barrachina-l/"/>
    <hyperlink ref="I3" r:id="rId19" display="https://www.mexnewz.mx/detectan-covid-en-20-de-pruebas-realizadas-a-migrantes/"/>
    <hyperlink ref="I4" r:id="rId20" display="http://www.infomediamx.com/65774/"/>
    <hyperlink ref="I5" r:id="rId21" display="https://www.youtube.com/watch?v=ItA1uxOf8TQ"/>
    <hyperlink ref="I6" r:id="rId22" display="https://pulsosur.com/2021/09/20/estados-unidos-cierra-su-frontera-para-frenar-el-cruce-de-mas-migrantes-haitianos/"/>
    <hyperlink ref="I7" r:id="rId23" display="https://www.youtube.com/watch?v=Qb_wGiyo4NY&amp;feature=youtu.be"/>
    <hyperlink ref="I8" r:id="rId24" display="https://www.youtube.com/watch?v=3RqhLdsLdeI&amp;feature=youtu.be"/>
    <hyperlink ref="I9" r:id="rId25" display="https://www.youtube.com/watch?v=SVNAKVANq8o&amp;feature=youtu.be"/>
    <hyperlink ref="I10" r:id="rId26" display="https://www.youtube.com/watch?v=2xnoo4EEV84&amp;feature=youtu.be"/>
    <hyperlink ref="I11" r:id="rId27" display="https://twitter.com/Arcariam85/status/1441559222328647687"/>
    <hyperlink ref="K2" r:id="rId28" display="https://piedepagina.mx/tapachula-la-ciudad-prision/"/>
    <hyperlink ref="M2" r:id="rId29" display="https://www.youtube.com/channel/UCRja7nxirrJ4yEUa9pPkFmw"/>
    <hyperlink ref="M3" r:id="rId30" display="https://www.youtube.com/watch?v=SAkyfdQhNLw&amp;feature=youtu.be"/>
    <hyperlink ref="M4" r:id="rId31" display="https://twitter.com/GCorreaCabrera/status/1438536476061491211"/>
    <hyperlink ref="O2" r:id="rId32" display="https://versusmedia.mx/lo-que-queda-en-el-camino-estrena-en-el-giff-2021/"/>
    <hyperlink ref="O3" r:id="rId33" display="https://www.elsiglodedurango.com.mx/2021/09/1341510.cinta-sobre-caravana-migrante-se-estrena-en-el-giff.html#.YUjc25Gos58.twitter"/>
    <hyperlink ref="Q2" r:id="rId34" display="https://avispa.org/migrantes-buscan-rutas-alternativas-en-chiapas-autoridades-responden-con-violencia/"/>
  </hyperlinks>
  <printOptions/>
  <pageMargins left="0.7" right="0.7" top="0.75" bottom="0.75" header="0.3" footer="0.3"/>
  <pageSetup orientation="portrait" paperSize="9"/>
  <tableParts>
    <tablePart r:id="rId40"/>
    <tablePart r:id="rId38"/>
    <tablePart r:id="rId42"/>
    <tablePart r:id="rId39"/>
    <tablePart r:id="rId36"/>
    <tablePart r:id="rId35"/>
    <tablePart r:id="rId37"/>
    <tablePart r:id="rId4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9D816-B9E9-443B-BBBA-737E00191AA5}">
  <dimension ref="A1:BN2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1650</v>
      </c>
      <c r="BD2" s="13" t="s">
        <v>1691</v>
      </c>
      <c r="BE2" s="13" t="s">
        <v>1692</v>
      </c>
      <c r="BF2" s="54" t="s">
        <v>2098</v>
      </c>
      <c r="BG2" s="54" t="s">
        <v>2099</v>
      </c>
      <c r="BH2" s="54" t="s">
        <v>2100</v>
      </c>
      <c r="BI2" s="54" t="s">
        <v>2101</v>
      </c>
      <c r="BJ2" s="54" t="s">
        <v>2102</v>
      </c>
      <c r="BK2" s="54" t="s">
        <v>2103</v>
      </c>
      <c r="BL2" s="54" t="s">
        <v>2104</v>
      </c>
      <c r="BM2" s="54" t="s">
        <v>2105</v>
      </c>
      <c r="BN2" s="54" t="s">
        <v>2106</v>
      </c>
    </row>
    <row r="3" spans="1:66" ht="15" customHeight="1">
      <c r="A3" s="65" t="s">
        <v>216</v>
      </c>
      <c r="B3" s="65" t="s">
        <v>221</v>
      </c>
      <c r="C3" s="66" t="s">
        <v>2647</v>
      </c>
      <c r="D3" s="67">
        <v>5</v>
      </c>
      <c r="E3" s="68"/>
      <c r="F3" s="69">
        <v>40</v>
      </c>
      <c r="G3" s="66"/>
      <c r="H3" s="70"/>
      <c r="I3" s="71"/>
      <c r="J3" s="71"/>
      <c r="K3" s="35" t="s">
        <v>65</v>
      </c>
      <c r="L3" s="72">
        <v>3</v>
      </c>
      <c r="M3" s="72"/>
      <c r="N3" s="73"/>
      <c r="O3" s="79" t="s">
        <v>382</v>
      </c>
      <c r="P3" s="81">
        <v>44455.73625</v>
      </c>
      <c r="Q3" s="79" t="s">
        <v>386</v>
      </c>
      <c r="R3" s="79" t="s">
        <v>448</v>
      </c>
      <c r="S3" s="79" t="s">
        <v>449</v>
      </c>
      <c r="T3" s="84" t="s">
        <v>467</v>
      </c>
      <c r="U3" s="86" t="str">
        <f>HYPERLINK("https://pbs.twimg.com/ext_tw_video_thumb/1438555724775231489/pu/img/3eMPChFtKy7dWr8h.jpg")</f>
        <v>https://pbs.twimg.com/ext_tw_video_thumb/1438555724775231489/pu/img/3eMPChFtKy7dWr8h.jpg</v>
      </c>
      <c r="V3" s="86" t="str">
        <f>HYPERLINK("https://pbs.twimg.com/ext_tw_video_thumb/1438555724775231489/pu/img/3eMPChFtKy7dWr8h.jpg")</f>
        <v>https://pbs.twimg.com/ext_tw_video_thumb/1438555724775231489/pu/img/3eMPChFtKy7dWr8h.jpg</v>
      </c>
      <c r="W3" s="81">
        <v>44455.73625</v>
      </c>
      <c r="X3" s="87">
        <v>44455</v>
      </c>
      <c r="Y3" s="84" t="s">
        <v>517</v>
      </c>
      <c r="Z3" s="86" t="str">
        <f>HYPERLINK("https://twitter.com/xxiperiodismo/status/1438558348778016771")</f>
        <v>https://twitter.com/xxiperiodismo/status/1438558348778016771</v>
      </c>
      <c r="AA3" s="79"/>
      <c r="AB3" s="79"/>
      <c r="AC3" s="84" t="s">
        <v>690</v>
      </c>
      <c r="AD3" s="79"/>
      <c r="AE3" s="79" t="b">
        <v>0</v>
      </c>
      <c r="AF3" s="79">
        <v>0</v>
      </c>
      <c r="AG3" s="84" t="s">
        <v>871</v>
      </c>
      <c r="AH3" s="79" t="b">
        <v>1</v>
      </c>
      <c r="AI3" s="79" t="s">
        <v>880</v>
      </c>
      <c r="AJ3" s="79"/>
      <c r="AK3" s="84" t="s">
        <v>885</v>
      </c>
      <c r="AL3" s="79" t="b">
        <v>0</v>
      </c>
      <c r="AM3" s="79">
        <v>6</v>
      </c>
      <c r="AN3" s="84" t="s">
        <v>696</v>
      </c>
      <c r="AO3" s="84" t="s">
        <v>889</v>
      </c>
      <c r="AP3" s="79" t="b">
        <v>0</v>
      </c>
      <c r="AQ3" s="84" t="s">
        <v>696</v>
      </c>
      <c r="AR3" s="79" t="s">
        <v>178</v>
      </c>
      <c r="AS3" s="79">
        <v>0</v>
      </c>
      <c r="AT3" s="79">
        <v>0</v>
      </c>
      <c r="AU3" s="79"/>
      <c r="AV3" s="79"/>
      <c r="AW3" s="79"/>
      <c r="AX3" s="79"/>
      <c r="AY3" s="79"/>
      <c r="AZ3" s="79"/>
      <c r="BA3" s="79"/>
      <c r="BB3" s="79"/>
      <c r="BC3">
        <v>1</v>
      </c>
      <c r="BD3" s="79" t="str">
        <f>REPLACE(INDEX(GroupVertices[Group],MATCH(Edges35[[#This Row],[Vertex 1]],GroupVertices[Vertex],0)),1,1,"")</f>
        <v>6</v>
      </c>
      <c r="BE3" s="79" t="str">
        <f>REPLACE(INDEX(GroupVertices[Group],MATCH(Edges35[[#This Row],[Vertex 2]],GroupVertices[Vertex],0)),1,1,"")</f>
        <v>6</v>
      </c>
      <c r="BF3" s="49"/>
      <c r="BG3" s="50"/>
      <c r="BH3" s="49"/>
      <c r="BI3" s="50"/>
      <c r="BJ3" s="49"/>
      <c r="BK3" s="50"/>
      <c r="BL3" s="49"/>
      <c r="BM3" s="50"/>
      <c r="BN3" s="49"/>
    </row>
    <row r="4" spans="1:66" ht="15" customHeight="1">
      <c r="A4" s="65" t="s">
        <v>217</v>
      </c>
      <c r="B4" s="65" t="s">
        <v>359</v>
      </c>
      <c r="C4" s="66" t="s">
        <v>2647</v>
      </c>
      <c r="D4" s="67">
        <v>5</v>
      </c>
      <c r="E4" s="68"/>
      <c r="F4" s="69">
        <v>40</v>
      </c>
      <c r="G4" s="66"/>
      <c r="H4" s="70"/>
      <c r="I4" s="71"/>
      <c r="J4" s="71"/>
      <c r="K4" s="35" t="s">
        <v>65</v>
      </c>
      <c r="L4" s="78">
        <v>8</v>
      </c>
      <c r="M4" s="78"/>
      <c r="N4" s="73"/>
      <c r="O4" s="80" t="s">
        <v>384</v>
      </c>
      <c r="P4" s="82">
        <v>44440.269594907404</v>
      </c>
      <c r="Q4" s="80" t="s">
        <v>387</v>
      </c>
      <c r="R4" s="80"/>
      <c r="S4" s="80"/>
      <c r="T4" s="85" t="s">
        <v>468</v>
      </c>
      <c r="U4" s="83" t="str">
        <f>HYPERLINK("https://pbs.twimg.com/ext_tw_video_thumb/1432953181168971778/pu/img/8ecDRGo4Sy-MKE2n.jpg")</f>
        <v>https://pbs.twimg.com/ext_tw_video_thumb/1432953181168971778/pu/img/8ecDRGo4Sy-MKE2n.jpg</v>
      </c>
      <c r="V4" s="83" t="str">
        <f>HYPERLINK("https://pbs.twimg.com/ext_tw_video_thumb/1432953181168971778/pu/img/8ecDRGo4Sy-MKE2n.jpg")</f>
        <v>https://pbs.twimg.com/ext_tw_video_thumb/1432953181168971778/pu/img/8ecDRGo4Sy-MKE2n.jpg</v>
      </c>
      <c r="W4" s="82">
        <v>44440.269594907404</v>
      </c>
      <c r="X4" s="88">
        <v>44440</v>
      </c>
      <c r="Y4" s="85" t="s">
        <v>518</v>
      </c>
      <c r="Z4" s="83" t="str">
        <f>HYPERLINK("https://twitter.com/vim_media/status/1432953423612321797")</f>
        <v>https://twitter.com/vim_media/status/1432953423612321797</v>
      </c>
      <c r="AA4" s="80"/>
      <c r="AB4" s="80"/>
      <c r="AC4" s="85" t="s">
        <v>691</v>
      </c>
      <c r="AD4" s="80"/>
      <c r="AE4" s="80" t="b">
        <v>0</v>
      </c>
      <c r="AF4" s="80">
        <v>523</v>
      </c>
      <c r="AG4" s="85" t="s">
        <v>871</v>
      </c>
      <c r="AH4" s="80" t="b">
        <v>0</v>
      </c>
      <c r="AI4" s="80" t="s">
        <v>881</v>
      </c>
      <c r="AJ4" s="80"/>
      <c r="AK4" s="85" t="s">
        <v>871</v>
      </c>
      <c r="AL4" s="80" t="b">
        <v>0</v>
      </c>
      <c r="AM4" s="80">
        <v>147</v>
      </c>
      <c r="AN4" s="85" t="s">
        <v>871</v>
      </c>
      <c r="AO4" s="85" t="s">
        <v>890</v>
      </c>
      <c r="AP4" s="80" t="b">
        <v>0</v>
      </c>
      <c r="AQ4" s="85" t="s">
        <v>691</v>
      </c>
      <c r="AR4" s="80" t="s">
        <v>383</v>
      </c>
      <c r="AS4" s="80">
        <v>0</v>
      </c>
      <c r="AT4" s="80">
        <v>0</v>
      </c>
      <c r="AU4" s="80"/>
      <c r="AV4" s="80"/>
      <c r="AW4" s="80"/>
      <c r="AX4" s="80"/>
      <c r="AY4" s="80"/>
      <c r="AZ4" s="80"/>
      <c r="BA4" s="80"/>
      <c r="BB4" s="80"/>
      <c r="BC4">
        <v>1</v>
      </c>
      <c r="BD4" s="79" t="str">
        <f>REPLACE(INDEX(GroupVertices[Group],MATCH(Edges35[[#This Row],[Vertex 1]],GroupVertices[Vertex],0)),1,1,"")</f>
        <v>17</v>
      </c>
      <c r="BE4" s="79" t="str">
        <f>REPLACE(INDEX(GroupVertices[Group],MATCH(Edges35[[#This Row],[Vertex 2]],GroupVertices[Vertex],0)),1,1,"")</f>
        <v>17</v>
      </c>
      <c r="BF4" s="49">
        <v>1</v>
      </c>
      <c r="BG4" s="50">
        <v>2.7777777777777777</v>
      </c>
      <c r="BH4" s="49">
        <v>0</v>
      </c>
      <c r="BI4" s="50">
        <v>0</v>
      </c>
      <c r="BJ4" s="49">
        <v>0</v>
      </c>
      <c r="BK4" s="50">
        <v>0</v>
      </c>
      <c r="BL4" s="49">
        <v>35</v>
      </c>
      <c r="BM4" s="50">
        <v>97.22222222222223</v>
      </c>
      <c r="BN4" s="49">
        <v>36</v>
      </c>
    </row>
    <row r="5" spans="1:66" ht="15">
      <c r="A5" s="65" t="s">
        <v>218</v>
      </c>
      <c r="B5" s="65" t="s">
        <v>359</v>
      </c>
      <c r="C5" s="66" t="s">
        <v>2647</v>
      </c>
      <c r="D5" s="67">
        <v>5</v>
      </c>
      <c r="E5" s="68"/>
      <c r="F5" s="69">
        <v>40</v>
      </c>
      <c r="G5" s="66"/>
      <c r="H5" s="70"/>
      <c r="I5" s="71"/>
      <c r="J5" s="71"/>
      <c r="K5" s="35" t="s">
        <v>65</v>
      </c>
      <c r="L5" s="78">
        <v>9</v>
      </c>
      <c r="M5" s="78"/>
      <c r="N5" s="73"/>
      <c r="O5" s="80" t="s">
        <v>382</v>
      </c>
      <c r="P5" s="82">
        <v>44455.80405092592</v>
      </c>
      <c r="Q5" s="80" t="s">
        <v>387</v>
      </c>
      <c r="R5" s="80"/>
      <c r="S5" s="80"/>
      <c r="T5" s="85" t="s">
        <v>468</v>
      </c>
      <c r="U5" s="83" t="str">
        <f>HYPERLINK("https://pbs.twimg.com/ext_tw_video_thumb/1432953181168971778/pu/img/8ecDRGo4Sy-MKE2n.jpg")</f>
        <v>https://pbs.twimg.com/ext_tw_video_thumb/1432953181168971778/pu/img/8ecDRGo4Sy-MKE2n.jpg</v>
      </c>
      <c r="V5" s="83" t="str">
        <f>HYPERLINK("https://pbs.twimg.com/ext_tw_video_thumb/1432953181168971778/pu/img/8ecDRGo4Sy-MKE2n.jpg")</f>
        <v>https://pbs.twimg.com/ext_tw_video_thumb/1432953181168971778/pu/img/8ecDRGo4Sy-MKE2n.jpg</v>
      </c>
      <c r="W5" s="82">
        <v>44455.80405092592</v>
      </c>
      <c r="X5" s="88">
        <v>44455</v>
      </c>
      <c r="Y5" s="85" t="s">
        <v>519</v>
      </c>
      <c r="Z5" s="83" t="str">
        <f>HYPERLINK("https://twitter.com/dontreadthis97/status/1438582920277594118")</f>
        <v>https://twitter.com/dontreadthis97/status/1438582920277594118</v>
      </c>
      <c r="AA5" s="80"/>
      <c r="AB5" s="80"/>
      <c r="AC5" s="85" t="s">
        <v>692</v>
      </c>
      <c r="AD5" s="80"/>
      <c r="AE5" s="80" t="b">
        <v>0</v>
      </c>
      <c r="AF5" s="80">
        <v>0</v>
      </c>
      <c r="AG5" s="85" t="s">
        <v>871</v>
      </c>
      <c r="AH5" s="80" t="b">
        <v>0</v>
      </c>
      <c r="AI5" s="80" t="s">
        <v>881</v>
      </c>
      <c r="AJ5" s="80"/>
      <c r="AK5" s="85" t="s">
        <v>871</v>
      </c>
      <c r="AL5" s="80" t="b">
        <v>0</v>
      </c>
      <c r="AM5" s="80">
        <v>147</v>
      </c>
      <c r="AN5" s="85" t="s">
        <v>691</v>
      </c>
      <c r="AO5" s="85" t="s">
        <v>891</v>
      </c>
      <c r="AP5" s="80" t="b">
        <v>0</v>
      </c>
      <c r="AQ5" s="85" t="s">
        <v>691</v>
      </c>
      <c r="AR5" s="80" t="s">
        <v>178</v>
      </c>
      <c r="AS5" s="80">
        <v>0</v>
      </c>
      <c r="AT5" s="80">
        <v>0</v>
      </c>
      <c r="AU5" s="80"/>
      <c r="AV5" s="80"/>
      <c r="AW5" s="80"/>
      <c r="AX5" s="80"/>
      <c r="AY5" s="80"/>
      <c r="AZ5" s="80"/>
      <c r="BA5" s="80"/>
      <c r="BB5" s="80"/>
      <c r="BC5">
        <v>1</v>
      </c>
      <c r="BD5" s="79" t="str">
        <f>REPLACE(INDEX(GroupVertices[Group],MATCH(Edges35[[#This Row],[Vertex 1]],GroupVertices[Vertex],0)),1,1,"")</f>
        <v>17</v>
      </c>
      <c r="BE5" s="79" t="str">
        <f>REPLACE(INDEX(GroupVertices[Group],MATCH(Edges35[[#This Row],[Vertex 2]],GroupVertices[Vertex],0)),1,1,"")</f>
        <v>17</v>
      </c>
      <c r="BF5" s="49"/>
      <c r="BG5" s="50"/>
      <c r="BH5" s="49"/>
      <c r="BI5" s="50"/>
      <c r="BJ5" s="49"/>
      <c r="BK5" s="50"/>
      <c r="BL5" s="49"/>
      <c r="BM5" s="50"/>
      <c r="BN5" s="49"/>
    </row>
    <row r="6" spans="1:66" ht="15">
      <c r="A6" s="65" t="s">
        <v>219</v>
      </c>
      <c r="B6" s="65" t="s">
        <v>221</v>
      </c>
      <c r="C6" s="66" t="s">
        <v>2647</v>
      </c>
      <c r="D6" s="67">
        <v>5</v>
      </c>
      <c r="E6" s="68"/>
      <c r="F6" s="69">
        <v>40</v>
      </c>
      <c r="G6" s="66"/>
      <c r="H6" s="70"/>
      <c r="I6" s="71"/>
      <c r="J6" s="71"/>
      <c r="K6" s="35" t="s">
        <v>66</v>
      </c>
      <c r="L6" s="78">
        <v>11</v>
      </c>
      <c r="M6" s="78"/>
      <c r="N6" s="73"/>
      <c r="O6" s="80" t="s">
        <v>382</v>
      </c>
      <c r="P6" s="82">
        <v>44455.735451388886</v>
      </c>
      <c r="Q6" s="80" t="s">
        <v>386</v>
      </c>
      <c r="R6" s="80" t="s">
        <v>448</v>
      </c>
      <c r="S6" s="80" t="s">
        <v>449</v>
      </c>
      <c r="T6" s="85" t="s">
        <v>467</v>
      </c>
      <c r="U6" s="83" t="str">
        <f>HYPERLINK("https://pbs.twimg.com/ext_tw_video_thumb/1438555724775231489/pu/img/3eMPChFtKy7dWr8h.jpg")</f>
        <v>https://pbs.twimg.com/ext_tw_video_thumb/1438555724775231489/pu/img/3eMPChFtKy7dWr8h.jpg</v>
      </c>
      <c r="V6" s="83" t="str">
        <f>HYPERLINK("https://pbs.twimg.com/ext_tw_video_thumb/1438555724775231489/pu/img/3eMPChFtKy7dWr8h.jpg")</f>
        <v>https://pbs.twimg.com/ext_tw_video_thumb/1438555724775231489/pu/img/3eMPChFtKy7dWr8h.jpg</v>
      </c>
      <c r="W6" s="82">
        <v>44455.735451388886</v>
      </c>
      <c r="X6" s="88">
        <v>44455</v>
      </c>
      <c r="Y6" s="85" t="s">
        <v>520</v>
      </c>
      <c r="Z6" s="83" t="str">
        <f>HYPERLINK("https://twitter.com/julioastillero/status/1438558061103394818")</f>
        <v>https://twitter.com/julioastillero/status/1438558061103394818</v>
      </c>
      <c r="AA6" s="80"/>
      <c r="AB6" s="80"/>
      <c r="AC6" s="85" t="s">
        <v>693</v>
      </c>
      <c r="AD6" s="80"/>
      <c r="AE6" s="80" t="b">
        <v>0</v>
      </c>
      <c r="AF6" s="80">
        <v>0</v>
      </c>
      <c r="AG6" s="85" t="s">
        <v>871</v>
      </c>
      <c r="AH6" s="80" t="b">
        <v>1</v>
      </c>
      <c r="AI6" s="80" t="s">
        <v>880</v>
      </c>
      <c r="AJ6" s="80"/>
      <c r="AK6" s="85" t="s">
        <v>885</v>
      </c>
      <c r="AL6" s="80" t="b">
        <v>0</v>
      </c>
      <c r="AM6" s="80">
        <v>6</v>
      </c>
      <c r="AN6" s="85" t="s">
        <v>696</v>
      </c>
      <c r="AO6" s="85" t="s">
        <v>890</v>
      </c>
      <c r="AP6" s="80" t="b">
        <v>0</v>
      </c>
      <c r="AQ6" s="85" t="s">
        <v>696</v>
      </c>
      <c r="AR6" s="80" t="s">
        <v>178</v>
      </c>
      <c r="AS6" s="80">
        <v>0</v>
      </c>
      <c r="AT6" s="80">
        <v>0</v>
      </c>
      <c r="AU6" s="80"/>
      <c r="AV6" s="80"/>
      <c r="AW6" s="80"/>
      <c r="AX6" s="80"/>
      <c r="AY6" s="80"/>
      <c r="AZ6" s="80"/>
      <c r="BA6" s="80"/>
      <c r="BB6" s="80"/>
      <c r="BC6">
        <v>1</v>
      </c>
      <c r="BD6" s="79" t="str">
        <f>REPLACE(INDEX(GroupVertices[Group],MATCH(Edges35[[#This Row],[Vertex 1]],GroupVertices[Vertex],0)),1,1,"")</f>
        <v>6</v>
      </c>
      <c r="BE6" s="79" t="str">
        <f>REPLACE(INDEX(GroupVertices[Group],MATCH(Edges35[[#This Row],[Vertex 2]],GroupVertices[Vertex],0)),1,1,"")</f>
        <v>6</v>
      </c>
      <c r="BF6" s="49"/>
      <c r="BG6" s="50"/>
      <c r="BH6" s="49"/>
      <c r="BI6" s="50"/>
      <c r="BJ6" s="49"/>
      <c r="BK6" s="50"/>
      <c r="BL6" s="49"/>
      <c r="BM6" s="50"/>
      <c r="BN6" s="49"/>
    </row>
    <row r="7" spans="1:66" ht="15">
      <c r="A7" s="65" t="s">
        <v>220</v>
      </c>
      <c r="B7" s="65" t="s">
        <v>221</v>
      </c>
      <c r="C7" s="66" t="s">
        <v>2647</v>
      </c>
      <c r="D7" s="67">
        <v>5</v>
      </c>
      <c r="E7" s="68"/>
      <c r="F7" s="69">
        <v>40</v>
      </c>
      <c r="G7" s="66"/>
      <c r="H7" s="70"/>
      <c r="I7" s="71"/>
      <c r="J7" s="71"/>
      <c r="K7" s="35" t="s">
        <v>66</v>
      </c>
      <c r="L7" s="78">
        <v>12</v>
      </c>
      <c r="M7" s="78"/>
      <c r="N7" s="73"/>
      <c r="O7" s="80" t="s">
        <v>382</v>
      </c>
      <c r="P7" s="82">
        <v>44455.740752314814</v>
      </c>
      <c r="Q7" s="80" t="s">
        <v>386</v>
      </c>
      <c r="R7" s="80" t="s">
        <v>448</v>
      </c>
      <c r="S7" s="80" t="s">
        <v>449</v>
      </c>
      <c r="T7" s="85" t="s">
        <v>467</v>
      </c>
      <c r="U7" s="83" t="str">
        <f>HYPERLINK("https://pbs.twimg.com/ext_tw_video_thumb/1438555724775231489/pu/img/3eMPChFtKy7dWr8h.jpg")</f>
        <v>https://pbs.twimg.com/ext_tw_video_thumb/1438555724775231489/pu/img/3eMPChFtKy7dWr8h.jpg</v>
      </c>
      <c r="V7" s="83" t="str">
        <f>HYPERLINK("https://pbs.twimg.com/ext_tw_video_thumb/1438555724775231489/pu/img/3eMPChFtKy7dWr8h.jpg")</f>
        <v>https://pbs.twimg.com/ext_tw_video_thumb/1438555724775231489/pu/img/3eMPChFtKy7dWr8h.jpg</v>
      </c>
      <c r="W7" s="82">
        <v>44455.740752314814</v>
      </c>
      <c r="X7" s="88">
        <v>44455</v>
      </c>
      <c r="Y7" s="85" t="s">
        <v>521</v>
      </c>
      <c r="Z7" s="83" t="str">
        <f>HYPERLINK("https://twitter.com/gcorreacabrera/status/1438559983176671240")</f>
        <v>https://twitter.com/gcorreacabrera/status/1438559983176671240</v>
      </c>
      <c r="AA7" s="80"/>
      <c r="AB7" s="80"/>
      <c r="AC7" s="85" t="s">
        <v>694</v>
      </c>
      <c r="AD7" s="80"/>
      <c r="AE7" s="80" t="b">
        <v>0</v>
      </c>
      <c r="AF7" s="80">
        <v>0</v>
      </c>
      <c r="AG7" s="85" t="s">
        <v>871</v>
      </c>
      <c r="AH7" s="80" t="b">
        <v>1</v>
      </c>
      <c r="AI7" s="80" t="s">
        <v>880</v>
      </c>
      <c r="AJ7" s="80"/>
      <c r="AK7" s="85" t="s">
        <v>885</v>
      </c>
      <c r="AL7" s="80" t="b">
        <v>0</v>
      </c>
      <c r="AM7" s="80">
        <v>6</v>
      </c>
      <c r="AN7" s="85" t="s">
        <v>696</v>
      </c>
      <c r="AO7" s="85" t="s">
        <v>889</v>
      </c>
      <c r="AP7" s="80" t="b">
        <v>0</v>
      </c>
      <c r="AQ7" s="85" t="s">
        <v>696</v>
      </c>
      <c r="AR7" s="80" t="s">
        <v>178</v>
      </c>
      <c r="AS7" s="80">
        <v>0</v>
      </c>
      <c r="AT7" s="80">
        <v>0</v>
      </c>
      <c r="AU7" s="80"/>
      <c r="AV7" s="80"/>
      <c r="AW7" s="80"/>
      <c r="AX7" s="80"/>
      <c r="AY7" s="80"/>
      <c r="AZ7" s="80"/>
      <c r="BA7" s="80"/>
      <c r="BB7" s="80"/>
      <c r="BC7">
        <v>1</v>
      </c>
      <c r="BD7" s="79" t="str">
        <f>REPLACE(INDEX(GroupVertices[Group],MATCH(Edges35[[#This Row],[Vertex 1]],GroupVertices[Vertex],0)),1,1,"")</f>
        <v>6</v>
      </c>
      <c r="BE7" s="79" t="str">
        <f>REPLACE(INDEX(GroupVertices[Group],MATCH(Edges35[[#This Row],[Vertex 2]],GroupVertices[Vertex],0)),1,1,"")</f>
        <v>6</v>
      </c>
      <c r="BF7" s="49"/>
      <c r="BG7" s="50"/>
      <c r="BH7" s="49"/>
      <c r="BI7" s="50"/>
      <c r="BJ7" s="49"/>
      <c r="BK7" s="50"/>
      <c r="BL7" s="49"/>
      <c r="BM7" s="50"/>
      <c r="BN7" s="49"/>
    </row>
    <row r="8" spans="1:66" ht="15">
      <c r="A8" s="65" t="s">
        <v>221</v>
      </c>
      <c r="B8" s="65" t="s">
        <v>358</v>
      </c>
      <c r="C8" s="66" t="s">
        <v>2647</v>
      </c>
      <c r="D8" s="67">
        <v>5</v>
      </c>
      <c r="E8" s="68"/>
      <c r="F8" s="69">
        <v>40</v>
      </c>
      <c r="G8" s="66"/>
      <c r="H8" s="70"/>
      <c r="I8" s="71"/>
      <c r="J8" s="71"/>
      <c r="K8" s="35" t="s">
        <v>65</v>
      </c>
      <c r="L8" s="78">
        <v>13</v>
      </c>
      <c r="M8" s="78"/>
      <c r="N8" s="73"/>
      <c r="O8" s="80" t="s">
        <v>382</v>
      </c>
      <c r="P8" s="82">
        <v>44455.745729166665</v>
      </c>
      <c r="Q8" s="80" t="s">
        <v>386</v>
      </c>
      <c r="R8" s="80" t="s">
        <v>448</v>
      </c>
      <c r="S8" s="80" t="s">
        <v>449</v>
      </c>
      <c r="T8" s="85" t="s">
        <v>467</v>
      </c>
      <c r="U8" s="83" t="str">
        <f>HYPERLINK("https://pbs.twimg.com/ext_tw_video_thumb/1438555724775231489/pu/img/3eMPChFtKy7dWr8h.jpg")</f>
        <v>https://pbs.twimg.com/ext_tw_video_thumb/1438555724775231489/pu/img/3eMPChFtKy7dWr8h.jpg</v>
      </c>
      <c r="V8" s="83" t="str">
        <f>HYPERLINK("https://pbs.twimg.com/ext_tw_video_thumb/1438555724775231489/pu/img/3eMPChFtKy7dWr8h.jpg")</f>
        <v>https://pbs.twimg.com/ext_tw_video_thumb/1438555724775231489/pu/img/3eMPChFtKy7dWr8h.jpg</v>
      </c>
      <c r="W8" s="82">
        <v>44455.745729166665</v>
      </c>
      <c r="X8" s="88">
        <v>44455</v>
      </c>
      <c r="Y8" s="85" t="s">
        <v>522</v>
      </c>
      <c r="Z8" s="83" t="str">
        <f>HYPERLINK("https://twitter.com/rravelo27/status/1438561786739953665")</f>
        <v>https://twitter.com/rravelo27/status/1438561786739953665</v>
      </c>
      <c r="AA8" s="80"/>
      <c r="AB8" s="80"/>
      <c r="AC8" s="85" t="s">
        <v>695</v>
      </c>
      <c r="AD8" s="80"/>
      <c r="AE8" s="80" t="b">
        <v>0</v>
      </c>
      <c r="AF8" s="80">
        <v>0</v>
      </c>
      <c r="AG8" s="85" t="s">
        <v>871</v>
      </c>
      <c r="AH8" s="80" t="b">
        <v>1</v>
      </c>
      <c r="AI8" s="80" t="s">
        <v>880</v>
      </c>
      <c r="AJ8" s="80"/>
      <c r="AK8" s="85" t="s">
        <v>885</v>
      </c>
      <c r="AL8" s="80" t="b">
        <v>0</v>
      </c>
      <c r="AM8" s="80">
        <v>6</v>
      </c>
      <c r="AN8" s="85" t="s">
        <v>696</v>
      </c>
      <c r="AO8" s="85" t="s">
        <v>889</v>
      </c>
      <c r="AP8" s="80" t="b">
        <v>0</v>
      </c>
      <c r="AQ8" s="85" t="s">
        <v>696</v>
      </c>
      <c r="AR8" s="80" t="s">
        <v>178</v>
      </c>
      <c r="AS8" s="80">
        <v>0</v>
      </c>
      <c r="AT8" s="80">
        <v>0</v>
      </c>
      <c r="AU8" s="80"/>
      <c r="AV8" s="80"/>
      <c r="AW8" s="80"/>
      <c r="AX8" s="80"/>
      <c r="AY8" s="80"/>
      <c r="AZ8" s="80"/>
      <c r="BA8" s="80"/>
      <c r="BB8" s="80"/>
      <c r="BC8">
        <v>1</v>
      </c>
      <c r="BD8" s="79" t="str">
        <f>REPLACE(INDEX(GroupVertices[Group],MATCH(Edges35[[#This Row],[Vertex 1]],GroupVertices[Vertex],0)),1,1,"")</f>
        <v>6</v>
      </c>
      <c r="BE8" s="79" t="str">
        <f>REPLACE(INDEX(GroupVertices[Group],MATCH(Edges35[[#This Row],[Vertex 2]],GroupVertices[Vertex],0)),1,1,"")</f>
        <v>6</v>
      </c>
      <c r="BF8" s="49"/>
      <c r="BG8" s="50"/>
      <c r="BH8" s="49"/>
      <c r="BI8" s="50"/>
      <c r="BJ8" s="49"/>
      <c r="BK8" s="50"/>
      <c r="BL8" s="49"/>
      <c r="BM8" s="50"/>
      <c r="BN8" s="49"/>
    </row>
    <row r="9" spans="1:66" ht="15">
      <c r="A9" s="65" t="s">
        <v>222</v>
      </c>
      <c r="B9" s="65" t="s">
        <v>221</v>
      </c>
      <c r="C9" s="66" t="s">
        <v>2648</v>
      </c>
      <c r="D9" s="67">
        <v>10</v>
      </c>
      <c r="E9" s="68"/>
      <c r="F9" s="69">
        <v>20</v>
      </c>
      <c r="G9" s="66"/>
      <c r="H9" s="70"/>
      <c r="I9" s="71"/>
      <c r="J9" s="71"/>
      <c r="K9" s="35" t="s">
        <v>66</v>
      </c>
      <c r="L9" s="78">
        <v>17</v>
      </c>
      <c r="M9" s="78"/>
      <c r="N9" s="73"/>
      <c r="O9" s="80" t="s">
        <v>384</v>
      </c>
      <c r="P9" s="82">
        <v>44455.73023148148</v>
      </c>
      <c r="Q9" s="80" t="s">
        <v>386</v>
      </c>
      <c r="R9" s="80" t="s">
        <v>448</v>
      </c>
      <c r="S9" s="80" t="s">
        <v>449</v>
      </c>
      <c r="T9" s="85" t="s">
        <v>467</v>
      </c>
      <c r="U9" s="83" t="str">
        <f>HYPERLINK("https://pbs.twimg.com/ext_tw_video_thumb/1438555724775231489/pu/img/3eMPChFtKy7dWr8h.jpg")</f>
        <v>https://pbs.twimg.com/ext_tw_video_thumb/1438555724775231489/pu/img/3eMPChFtKy7dWr8h.jpg</v>
      </c>
      <c r="V9" s="83" t="str">
        <f>HYPERLINK("https://pbs.twimg.com/ext_tw_video_thumb/1438555724775231489/pu/img/3eMPChFtKy7dWr8h.jpg")</f>
        <v>https://pbs.twimg.com/ext_tw_video_thumb/1438555724775231489/pu/img/3eMPChFtKy7dWr8h.jpg</v>
      </c>
      <c r="W9" s="82">
        <v>44455.73023148148</v>
      </c>
      <c r="X9" s="88">
        <v>44455</v>
      </c>
      <c r="Y9" s="85" t="s">
        <v>523</v>
      </c>
      <c r="Z9" s="83" t="str">
        <f>HYPERLINK("https://twitter.com/comoleerenbici/status/1438556169916796930")</f>
        <v>https://twitter.com/comoleerenbici/status/1438556169916796930</v>
      </c>
      <c r="AA9" s="80"/>
      <c r="AB9" s="80"/>
      <c r="AC9" s="85" t="s">
        <v>696</v>
      </c>
      <c r="AD9" s="80"/>
      <c r="AE9" s="80" t="b">
        <v>0</v>
      </c>
      <c r="AF9" s="80">
        <v>8</v>
      </c>
      <c r="AG9" s="85" t="s">
        <v>871</v>
      </c>
      <c r="AH9" s="80" t="b">
        <v>1</v>
      </c>
      <c r="AI9" s="80" t="s">
        <v>880</v>
      </c>
      <c r="AJ9" s="80"/>
      <c r="AK9" s="85" t="s">
        <v>885</v>
      </c>
      <c r="AL9" s="80" t="b">
        <v>0</v>
      </c>
      <c r="AM9" s="80">
        <v>6</v>
      </c>
      <c r="AN9" s="85" t="s">
        <v>871</v>
      </c>
      <c r="AO9" s="85" t="s">
        <v>890</v>
      </c>
      <c r="AP9" s="80" t="b">
        <v>0</v>
      </c>
      <c r="AQ9" s="85" t="s">
        <v>696</v>
      </c>
      <c r="AR9" s="80" t="s">
        <v>178</v>
      </c>
      <c r="AS9" s="80">
        <v>0</v>
      </c>
      <c r="AT9" s="80">
        <v>0</v>
      </c>
      <c r="AU9" s="80"/>
      <c r="AV9" s="80"/>
      <c r="AW9" s="80"/>
      <c r="AX9" s="80"/>
      <c r="AY9" s="80"/>
      <c r="AZ9" s="80"/>
      <c r="BA9" s="80"/>
      <c r="BB9" s="80"/>
      <c r="BC9">
        <v>4</v>
      </c>
      <c r="BD9" s="79" t="str">
        <f>REPLACE(INDEX(GroupVertices[Group],MATCH(Edges35[[#This Row],[Vertex 1]],GroupVertices[Vertex],0)),1,1,"")</f>
        <v>6</v>
      </c>
      <c r="BE9" s="79" t="str">
        <f>REPLACE(INDEX(GroupVertices[Group],MATCH(Edges35[[#This Row],[Vertex 2]],GroupVertices[Vertex],0)),1,1,"")</f>
        <v>6</v>
      </c>
      <c r="BF9" s="49"/>
      <c r="BG9" s="50"/>
      <c r="BH9" s="49"/>
      <c r="BI9" s="50"/>
      <c r="BJ9" s="49"/>
      <c r="BK9" s="50"/>
      <c r="BL9" s="49"/>
      <c r="BM9" s="50"/>
      <c r="BN9" s="49"/>
    </row>
    <row r="10" spans="1:66" ht="15">
      <c r="A10" s="65" t="s">
        <v>222</v>
      </c>
      <c r="B10" s="65" t="s">
        <v>221</v>
      </c>
      <c r="C10" s="66" t="s">
        <v>2648</v>
      </c>
      <c r="D10" s="67">
        <v>10</v>
      </c>
      <c r="E10" s="68"/>
      <c r="F10" s="69">
        <v>20</v>
      </c>
      <c r="G10" s="66"/>
      <c r="H10" s="70"/>
      <c r="I10" s="71"/>
      <c r="J10" s="71"/>
      <c r="K10" s="35" t="s">
        <v>66</v>
      </c>
      <c r="L10" s="78">
        <v>18</v>
      </c>
      <c r="M10" s="78"/>
      <c r="N10" s="73"/>
      <c r="O10" s="80" t="s">
        <v>382</v>
      </c>
      <c r="P10" s="82">
        <v>44455.75827546296</v>
      </c>
      <c r="Q10" s="80" t="s">
        <v>386</v>
      </c>
      <c r="R10" s="80" t="s">
        <v>448</v>
      </c>
      <c r="S10" s="80" t="s">
        <v>449</v>
      </c>
      <c r="T10" s="85" t="s">
        <v>467</v>
      </c>
      <c r="U10" s="83" t="str">
        <f>HYPERLINK("https://pbs.twimg.com/ext_tw_video_thumb/1438555724775231489/pu/img/3eMPChFtKy7dWr8h.jpg")</f>
        <v>https://pbs.twimg.com/ext_tw_video_thumb/1438555724775231489/pu/img/3eMPChFtKy7dWr8h.jpg</v>
      </c>
      <c r="V10" s="83" t="str">
        <f>HYPERLINK("https://pbs.twimg.com/ext_tw_video_thumb/1438555724775231489/pu/img/3eMPChFtKy7dWr8h.jpg")</f>
        <v>https://pbs.twimg.com/ext_tw_video_thumb/1438555724775231489/pu/img/3eMPChFtKy7dWr8h.jpg</v>
      </c>
      <c r="W10" s="82">
        <v>44455.75827546296</v>
      </c>
      <c r="X10" s="88">
        <v>44455</v>
      </c>
      <c r="Y10" s="85" t="s">
        <v>524</v>
      </c>
      <c r="Z10" s="83" t="str">
        <f>HYPERLINK("https://twitter.com/comoleerenbici/status/1438566333629751299")</f>
        <v>https://twitter.com/comoleerenbici/status/1438566333629751299</v>
      </c>
      <c r="AA10" s="80"/>
      <c r="AB10" s="80"/>
      <c r="AC10" s="85" t="s">
        <v>697</v>
      </c>
      <c r="AD10" s="80"/>
      <c r="AE10" s="80" t="b">
        <v>0</v>
      </c>
      <c r="AF10" s="80">
        <v>0</v>
      </c>
      <c r="AG10" s="85" t="s">
        <v>871</v>
      </c>
      <c r="AH10" s="80" t="b">
        <v>1</v>
      </c>
      <c r="AI10" s="80" t="s">
        <v>880</v>
      </c>
      <c r="AJ10" s="80"/>
      <c r="AK10" s="85" t="s">
        <v>885</v>
      </c>
      <c r="AL10" s="80" t="b">
        <v>0</v>
      </c>
      <c r="AM10" s="80">
        <v>6</v>
      </c>
      <c r="AN10" s="85" t="s">
        <v>696</v>
      </c>
      <c r="AO10" s="85" t="s">
        <v>890</v>
      </c>
      <c r="AP10" s="80" t="b">
        <v>0</v>
      </c>
      <c r="AQ10" s="85" t="s">
        <v>696</v>
      </c>
      <c r="AR10" s="80" t="s">
        <v>178</v>
      </c>
      <c r="AS10" s="80">
        <v>0</v>
      </c>
      <c r="AT10" s="80">
        <v>0</v>
      </c>
      <c r="AU10" s="80"/>
      <c r="AV10" s="80"/>
      <c r="AW10" s="80"/>
      <c r="AX10" s="80"/>
      <c r="AY10" s="80"/>
      <c r="AZ10" s="80"/>
      <c r="BA10" s="80"/>
      <c r="BB10" s="80"/>
      <c r="BC10">
        <v>4</v>
      </c>
      <c r="BD10" s="79" t="str">
        <f>REPLACE(INDEX(GroupVertices[Group],MATCH(Edges35[[#This Row],[Vertex 1]],GroupVertices[Vertex],0)),1,1,"")</f>
        <v>6</v>
      </c>
      <c r="BE10" s="79" t="str">
        <f>REPLACE(INDEX(GroupVertices[Group],MATCH(Edges35[[#This Row],[Vertex 2]],GroupVertices[Vertex],0)),1,1,"")</f>
        <v>6</v>
      </c>
      <c r="BF10" s="49"/>
      <c r="BG10" s="50"/>
      <c r="BH10" s="49"/>
      <c r="BI10" s="50"/>
      <c r="BJ10" s="49"/>
      <c r="BK10" s="50"/>
      <c r="BL10" s="49"/>
      <c r="BM10" s="50"/>
      <c r="BN10" s="49"/>
    </row>
    <row r="11" spans="1:66" ht="15">
      <c r="A11" s="65" t="s">
        <v>223</v>
      </c>
      <c r="B11" s="65" t="s">
        <v>221</v>
      </c>
      <c r="C11" s="66" t="s">
        <v>2647</v>
      </c>
      <c r="D11" s="67">
        <v>5</v>
      </c>
      <c r="E11" s="68"/>
      <c r="F11" s="69">
        <v>40</v>
      </c>
      <c r="G11" s="66"/>
      <c r="H11" s="70"/>
      <c r="I11" s="71"/>
      <c r="J11" s="71"/>
      <c r="K11" s="35" t="s">
        <v>65</v>
      </c>
      <c r="L11" s="78">
        <v>19</v>
      </c>
      <c r="M11" s="78"/>
      <c r="N11" s="73"/>
      <c r="O11" s="80" t="s">
        <v>382</v>
      </c>
      <c r="P11" s="82">
        <v>44455.87799768519</v>
      </c>
      <c r="Q11" s="80" t="s">
        <v>386</v>
      </c>
      <c r="R11" s="80" t="s">
        <v>448</v>
      </c>
      <c r="S11" s="80" t="s">
        <v>449</v>
      </c>
      <c r="T11" s="85" t="s">
        <v>467</v>
      </c>
      <c r="U11" s="83" t="str">
        <f>HYPERLINK("https://pbs.twimg.com/ext_tw_video_thumb/1438555724775231489/pu/img/3eMPChFtKy7dWr8h.jpg")</f>
        <v>https://pbs.twimg.com/ext_tw_video_thumb/1438555724775231489/pu/img/3eMPChFtKy7dWr8h.jpg</v>
      </c>
      <c r="V11" s="83" t="str">
        <f>HYPERLINK("https://pbs.twimg.com/ext_tw_video_thumb/1438555724775231489/pu/img/3eMPChFtKy7dWr8h.jpg")</f>
        <v>https://pbs.twimg.com/ext_tw_video_thumb/1438555724775231489/pu/img/3eMPChFtKy7dWr8h.jpg</v>
      </c>
      <c r="W11" s="82">
        <v>44455.87799768519</v>
      </c>
      <c r="X11" s="88">
        <v>44455</v>
      </c>
      <c r="Y11" s="85" t="s">
        <v>525</v>
      </c>
      <c r="Z11" s="83" t="str">
        <f>HYPERLINK("https://twitter.com/carminamontesi2/status/1438609715932631051")</f>
        <v>https://twitter.com/carminamontesi2/status/1438609715932631051</v>
      </c>
      <c r="AA11" s="80"/>
      <c r="AB11" s="80"/>
      <c r="AC11" s="85" t="s">
        <v>698</v>
      </c>
      <c r="AD11" s="80"/>
      <c r="AE11" s="80" t="b">
        <v>0</v>
      </c>
      <c r="AF11" s="80">
        <v>0</v>
      </c>
      <c r="AG11" s="85" t="s">
        <v>871</v>
      </c>
      <c r="AH11" s="80" t="b">
        <v>1</v>
      </c>
      <c r="AI11" s="80" t="s">
        <v>880</v>
      </c>
      <c r="AJ11" s="80"/>
      <c r="AK11" s="85" t="s">
        <v>885</v>
      </c>
      <c r="AL11" s="80" t="b">
        <v>0</v>
      </c>
      <c r="AM11" s="80">
        <v>6</v>
      </c>
      <c r="AN11" s="85" t="s">
        <v>696</v>
      </c>
      <c r="AO11" s="85" t="s">
        <v>891</v>
      </c>
      <c r="AP11" s="80" t="b">
        <v>0</v>
      </c>
      <c r="AQ11" s="85" t="s">
        <v>696</v>
      </c>
      <c r="AR11" s="80" t="s">
        <v>178</v>
      </c>
      <c r="AS11" s="80">
        <v>0</v>
      </c>
      <c r="AT11" s="80">
        <v>0</v>
      </c>
      <c r="AU11" s="80"/>
      <c r="AV11" s="80"/>
      <c r="AW11" s="80"/>
      <c r="AX11" s="80"/>
      <c r="AY11" s="80"/>
      <c r="AZ11" s="80"/>
      <c r="BA11" s="80"/>
      <c r="BB11" s="80"/>
      <c r="BC11">
        <v>1</v>
      </c>
      <c r="BD11" s="79" t="str">
        <f>REPLACE(INDEX(GroupVertices[Group],MATCH(Edges35[[#This Row],[Vertex 1]],GroupVertices[Vertex],0)),1,1,"")</f>
        <v>6</v>
      </c>
      <c r="BE11" s="79" t="str">
        <f>REPLACE(INDEX(GroupVertices[Group],MATCH(Edges35[[#This Row],[Vertex 2]],GroupVertices[Vertex],0)),1,1,"")</f>
        <v>6</v>
      </c>
      <c r="BF11" s="49"/>
      <c r="BG11" s="50"/>
      <c r="BH11" s="49"/>
      <c r="BI11" s="50"/>
      <c r="BJ11" s="49"/>
      <c r="BK11" s="50"/>
      <c r="BL11" s="49"/>
      <c r="BM11" s="50"/>
      <c r="BN11" s="49"/>
    </row>
    <row r="12" spans="1:66" ht="15">
      <c r="A12" s="65" t="s">
        <v>224</v>
      </c>
      <c r="B12" s="65" t="s">
        <v>224</v>
      </c>
      <c r="C12" s="66" t="s">
        <v>2647</v>
      </c>
      <c r="D12" s="67">
        <v>5</v>
      </c>
      <c r="E12" s="68"/>
      <c r="F12" s="69">
        <v>40</v>
      </c>
      <c r="G12" s="66"/>
      <c r="H12" s="70"/>
      <c r="I12" s="71"/>
      <c r="J12" s="71"/>
      <c r="K12" s="35" t="s">
        <v>65</v>
      </c>
      <c r="L12" s="78">
        <v>37</v>
      </c>
      <c r="M12" s="78"/>
      <c r="N12" s="73"/>
      <c r="O12" s="80" t="s">
        <v>178</v>
      </c>
      <c r="P12" s="82">
        <v>44456.542650462965</v>
      </c>
      <c r="Q12" s="80" t="s">
        <v>388</v>
      </c>
      <c r="R12" s="83" t="str">
        <f>HYPERLINK("https://talcualdigital.com/el-bloqueo-migratorio-en-mexico-fortalece-al-crimen-organizado-por-carlos-barrachina-l/")</f>
        <v>https://talcualdigital.com/el-bloqueo-migratorio-en-mexico-fortalece-al-crimen-organizado-por-carlos-barrachina-l/</v>
      </c>
      <c r="S12" s="80" t="s">
        <v>450</v>
      </c>
      <c r="T12" s="85" t="s">
        <v>469</v>
      </c>
      <c r="U12" s="80"/>
      <c r="V12" s="83" t="str">
        <f>HYPERLINK("https://pbs.twimg.com/profile_images/1280959478968602634/RoWxx_BL_normal.jpg")</f>
        <v>https://pbs.twimg.com/profile_images/1280959478968602634/RoWxx_BL_normal.jpg</v>
      </c>
      <c r="W12" s="82">
        <v>44456.542650462965</v>
      </c>
      <c r="X12" s="88">
        <v>44456</v>
      </c>
      <c r="Y12" s="85" t="s">
        <v>526</v>
      </c>
      <c r="Z12" s="83" t="str">
        <f>HYPERLINK("https://twitter.com/cbarrachina1/status/1438850579279843333")</f>
        <v>https://twitter.com/cbarrachina1/status/1438850579279843333</v>
      </c>
      <c r="AA12" s="80"/>
      <c r="AB12" s="80"/>
      <c r="AC12" s="85" t="s">
        <v>699</v>
      </c>
      <c r="AD12" s="80"/>
      <c r="AE12" s="80" t="b">
        <v>0</v>
      </c>
      <c r="AF12" s="80">
        <v>0</v>
      </c>
      <c r="AG12" s="85" t="s">
        <v>871</v>
      </c>
      <c r="AH12" s="80" t="b">
        <v>0</v>
      </c>
      <c r="AI12" s="80" t="s">
        <v>882</v>
      </c>
      <c r="AJ12" s="80"/>
      <c r="AK12" s="85" t="s">
        <v>871</v>
      </c>
      <c r="AL12" s="80" t="b">
        <v>0</v>
      </c>
      <c r="AM12" s="80">
        <v>0</v>
      </c>
      <c r="AN12" s="85" t="s">
        <v>871</v>
      </c>
      <c r="AO12" s="85" t="s">
        <v>889</v>
      </c>
      <c r="AP12" s="80" t="b">
        <v>0</v>
      </c>
      <c r="AQ12" s="85" t="s">
        <v>699</v>
      </c>
      <c r="AR12" s="80" t="s">
        <v>178</v>
      </c>
      <c r="AS12" s="80">
        <v>0</v>
      </c>
      <c r="AT12" s="80">
        <v>0</v>
      </c>
      <c r="AU12" s="80"/>
      <c r="AV12" s="80"/>
      <c r="AW12" s="80"/>
      <c r="AX12" s="80"/>
      <c r="AY12" s="80"/>
      <c r="AZ12" s="80"/>
      <c r="BA12" s="80"/>
      <c r="BB12" s="80"/>
      <c r="BC12">
        <v>1</v>
      </c>
      <c r="BD12" s="79" t="str">
        <f>REPLACE(INDEX(GroupVertices[Group],MATCH(Edges35[[#This Row],[Vertex 1]],GroupVertices[Vertex],0)),1,1,"")</f>
        <v>4</v>
      </c>
      <c r="BE12" s="79" t="str">
        <f>REPLACE(INDEX(GroupVertices[Group],MATCH(Edges35[[#This Row],[Vertex 2]],GroupVertices[Vertex],0)),1,1,"")</f>
        <v>4</v>
      </c>
      <c r="BF12" s="49">
        <v>0</v>
      </c>
      <c r="BG12" s="50">
        <v>0</v>
      </c>
      <c r="BH12" s="49">
        <v>0</v>
      </c>
      <c r="BI12" s="50">
        <v>0</v>
      </c>
      <c r="BJ12" s="49">
        <v>0</v>
      </c>
      <c r="BK12" s="50">
        <v>0</v>
      </c>
      <c r="BL12" s="49">
        <v>17</v>
      </c>
      <c r="BM12" s="50">
        <v>100</v>
      </c>
      <c r="BN12" s="49">
        <v>17</v>
      </c>
    </row>
    <row r="13" spans="1:66" ht="15">
      <c r="A13" s="65" t="s">
        <v>225</v>
      </c>
      <c r="B13" s="65" t="s">
        <v>269</v>
      </c>
      <c r="C13" s="66" t="s">
        <v>2647</v>
      </c>
      <c r="D13" s="67">
        <v>5</v>
      </c>
      <c r="E13" s="68"/>
      <c r="F13" s="69">
        <v>40</v>
      </c>
      <c r="G13" s="66"/>
      <c r="H13" s="70"/>
      <c r="I13" s="71"/>
      <c r="J13" s="71"/>
      <c r="K13" s="35" t="s">
        <v>65</v>
      </c>
      <c r="L13" s="78">
        <v>38</v>
      </c>
      <c r="M13" s="78"/>
      <c r="N13" s="73"/>
      <c r="O13" s="80" t="s">
        <v>383</v>
      </c>
      <c r="P13" s="82">
        <v>44456.56329861111</v>
      </c>
      <c r="Q13" s="80" t="s">
        <v>389</v>
      </c>
      <c r="R13" s="83" t="str">
        <f>HYPERLINK("https://www.diariodelsur.com.mx/local/activa-guardia-nacional-busqueda-de-migrantes-en-taxis-7222717.html")</f>
        <v>https://www.diariodelsur.com.mx/local/activa-guardia-nacional-busqueda-de-migrantes-en-taxis-7222717.html</v>
      </c>
      <c r="S13" s="80" t="s">
        <v>451</v>
      </c>
      <c r="T13" s="85" t="s">
        <v>470</v>
      </c>
      <c r="U13" s="80"/>
      <c r="V13" s="83" t="str">
        <f>HYPERLINK("https://pbs.twimg.com/profile_images/1403720673319604229/iqWgXDdc_normal.jpg")</f>
        <v>https://pbs.twimg.com/profile_images/1403720673319604229/iqWgXDdc_normal.jpg</v>
      </c>
      <c r="W13" s="82">
        <v>44456.56329861111</v>
      </c>
      <c r="X13" s="88">
        <v>44456</v>
      </c>
      <c r="Y13" s="85" t="s">
        <v>527</v>
      </c>
      <c r="Z13" s="83" t="str">
        <f>HYPERLINK("https://twitter.com/annamaribel4/status/1438858063910408194")</f>
        <v>https://twitter.com/annamaribel4/status/1438858063910408194</v>
      </c>
      <c r="AA13" s="80"/>
      <c r="AB13" s="80"/>
      <c r="AC13" s="85" t="s">
        <v>700</v>
      </c>
      <c r="AD13" s="80"/>
      <c r="AE13" s="80" t="b">
        <v>0</v>
      </c>
      <c r="AF13" s="80">
        <v>0</v>
      </c>
      <c r="AG13" s="85" t="s">
        <v>871</v>
      </c>
      <c r="AH13" s="80" t="b">
        <v>0</v>
      </c>
      <c r="AI13" s="80" t="s">
        <v>883</v>
      </c>
      <c r="AJ13" s="80"/>
      <c r="AK13" s="85" t="s">
        <v>871</v>
      </c>
      <c r="AL13" s="80" t="b">
        <v>0</v>
      </c>
      <c r="AM13" s="80">
        <v>4</v>
      </c>
      <c r="AN13" s="85" t="s">
        <v>793</v>
      </c>
      <c r="AO13" s="85" t="s">
        <v>889</v>
      </c>
      <c r="AP13" s="80" t="b">
        <v>0</v>
      </c>
      <c r="AQ13" s="85" t="s">
        <v>793</v>
      </c>
      <c r="AR13" s="80" t="s">
        <v>178</v>
      </c>
      <c r="AS13" s="80">
        <v>0</v>
      </c>
      <c r="AT13" s="80">
        <v>0</v>
      </c>
      <c r="AU13" s="80"/>
      <c r="AV13" s="80"/>
      <c r="AW13" s="80"/>
      <c r="AX13" s="80"/>
      <c r="AY13" s="80"/>
      <c r="AZ13" s="80"/>
      <c r="BA13" s="80"/>
      <c r="BB13" s="80"/>
      <c r="BC13">
        <v>1</v>
      </c>
      <c r="BD13" s="79" t="str">
        <f>REPLACE(INDEX(GroupVertices[Group],MATCH(Edges35[[#This Row],[Vertex 1]],GroupVertices[Vertex],0)),1,1,"")</f>
        <v>3</v>
      </c>
      <c r="BE13" s="79" t="str">
        <f>REPLACE(INDEX(GroupVertices[Group],MATCH(Edges35[[#This Row],[Vertex 2]],GroupVertices[Vertex],0)),1,1,"")</f>
        <v>3</v>
      </c>
      <c r="BF13" s="49">
        <v>1</v>
      </c>
      <c r="BG13" s="50">
        <v>2.5</v>
      </c>
      <c r="BH13" s="49">
        <v>0</v>
      </c>
      <c r="BI13" s="50">
        <v>0</v>
      </c>
      <c r="BJ13" s="49">
        <v>0</v>
      </c>
      <c r="BK13" s="50">
        <v>0</v>
      </c>
      <c r="BL13" s="49">
        <v>39</v>
      </c>
      <c r="BM13" s="50">
        <v>97.5</v>
      </c>
      <c r="BN13" s="49">
        <v>40</v>
      </c>
    </row>
    <row r="14" spans="1:66" ht="15">
      <c r="A14" s="65" t="s">
        <v>226</v>
      </c>
      <c r="B14" s="65" t="s">
        <v>269</v>
      </c>
      <c r="C14" s="66" t="s">
        <v>2647</v>
      </c>
      <c r="D14" s="67">
        <v>5</v>
      </c>
      <c r="E14" s="68"/>
      <c r="F14" s="69">
        <v>40</v>
      </c>
      <c r="G14" s="66"/>
      <c r="H14" s="70"/>
      <c r="I14" s="71"/>
      <c r="J14" s="71"/>
      <c r="K14" s="35" t="s">
        <v>65</v>
      </c>
      <c r="L14" s="78">
        <v>39</v>
      </c>
      <c r="M14" s="78"/>
      <c r="N14" s="73"/>
      <c r="O14" s="80" t="s">
        <v>383</v>
      </c>
      <c r="P14" s="82">
        <v>44456.569027777776</v>
      </c>
      <c r="Q14" s="80" t="s">
        <v>389</v>
      </c>
      <c r="R14" s="83" t="str">
        <f>HYPERLINK("https://www.diariodelsur.com.mx/local/activa-guardia-nacional-busqueda-de-migrantes-en-taxis-7222717.html")</f>
        <v>https://www.diariodelsur.com.mx/local/activa-guardia-nacional-busqueda-de-migrantes-en-taxis-7222717.html</v>
      </c>
      <c r="S14" s="80" t="s">
        <v>451</v>
      </c>
      <c r="T14" s="85" t="s">
        <v>470</v>
      </c>
      <c r="U14" s="80"/>
      <c r="V14" s="83" t="str">
        <f>HYPERLINK("https://pbs.twimg.com/profile_images/1249795862336802816/F6P8jK6s_normal.jpg")</f>
        <v>https://pbs.twimg.com/profile_images/1249795862336802816/F6P8jK6s_normal.jpg</v>
      </c>
      <c r="W14" s="82">
        <v>44456.569027777776</v>
      </c>
      <c r="X14" s="88">
        <v>44456</v>
      </c>
      <c r="Y14" s="85" t="s">
        <v>528</v>
      </c>
      <c r="Z14" s="83" t="str">
        <f>HYPERLINK("https://twitter.com/svirgola2/status/1438860137213616128")</f>
        <v>https://twitter.com/svirgola2/status/1438860137213616128</v>
      </c>
      <c r="AA14" s="80"/>
      <c r="AB14" s="80"/>
      <c r="AC14" s="85" t="s">
        <v>701</v>
      </c>
      <c r="AD14" s="80"/>
      <c r="AE14" s="80" t="b">
        <v>0</v>
      </c>
      <c r="AF14" s="80">
        <v>0</v>
      </c>
      <c r="AG14" s="85" t="s">
        <v>871</v>
      </c>
      <c r="AH14" s="80" t="b">
        <v>0</v>
      </c>
      <c r="AI14" s="80" t="s">
        <v>883</v>
      </c>
      <c r="AJ14" s="80"/>
      <c r="AK14" s="85" t="s">
        <v>871</v>
      </c>
      <c r="AL14" s="80" t="b">
        <v>0</v>
      </c>
      <c r="AM14" s="80">
        <v>4</v>
      </c>
      <c r="AN14" s="85" t="s">
        <v>793</v>
      </c>
      <c r="AO14" s="85" t="s">
        <v>891</v>
      </c>
      <c r="AP14" s="80" t="b">
        <v>0</v>
      </c>
      <c r="AQ14" s="85" t="s">
        <v>793</v>
      </c>
      <c r="AR14" s="80" t="s">
        <v>178</v>
      </c>
      <c r="AS14" s="80">
        <v>0</v>
      </c>
      <c r="AT14" s="80">
        <v>0</v>
      </c>
      <c r="AU14" s="80"/>
      <c r="AV14" s="80"/>
      <c r="AW14" s="80"/>
      <c r="AX14" s="80"/>
      <c r="AY14" s="80"/>
      <c r="AZ14" s="80"/>
      <c r="BA14" s="80"/>
      <c r="BB14" s="80"/>
      <c r="BC14">
        <v>1</v>
      </c>
      <c r="BD14" s="79" t="str">
        <f>REPLACE(INDEX(GroupVertices[Group],MATCH(Edges35[[#This Row],[Vertex 1]],GroupVertices[Vertex],0)),1,1,"")</f>
        <v>3</v>
      </c>
      <c r="BE14" s="79" t="str">
        <f>REPLACE(INDEX(GroupVertices[Group],MATCH(Edges35[[#This Row],[Vertex 2]],GroupVertices[Vertex],0)),1,1,"")</f>
        <v>3</v>
      </c>
      <c r="BF14" s="49">
        <v>1</v>
      </c>
      <c r="BG14" s="50">
        <v>2.5</v>
      </c>
      <c r="BH14" s="49">
        <v>0</v>
      </c>
      <c r="BI14" s="50">
        <v>0</v>
      </c>
      <c r="BJ14" s="49">
        <v>0</v>
      </c>
      <c r="BK14" s="50">
        <v>0</v>
      </c>
      <c r="BL14" s="49">
        <v>39</v>
      </c>
      <c r="BM14" s="50">
        <v>97.5</v>
      </c>
      <c r="BN14" s="49">
        <v>40</v>
      </c>
    </row>
    <row r="15" spans="1:66" ht="15">
      <c r="A15" s="65" t="s">
        <v>227</v>
      </c>
      <c r="B15" s="65" t="s">
        <v>227</v>
      </c>
      <c r="C15" s="66" t="s">
        <v>2647</v>
      </c>
      <c r="D15" s="67">
        <v>5</v>
      </c>
      <c r="E15" s="68"/>
      <c r="F15" s="69">
        <v>40</v>
      </c>
      <c r="G15" s="66"/>
      <c r="H15" s="70"/>
      <c r="I15" s="71"/>
      <c r="J15" s="71"/>
      <c r="K15" s="35" t="s">
        <v>65</v>
      </c>
      <c r="L15" s="78">
        <v>40</v>
      </c>
      <c r="M15" s="78"/>
      <c r="N15" s="73"/>
      <c r="O15" s="80" t="s">
        <v>178</v>
      </c>
      <c r="P15" s="82">
        <v>44456.58189814815</v>
      </c>
      <c r="Q15" s="80" t="s">
        <v>390</v>
      </c>
      <c r="R15" s="80"/>
      <c r="S15" s="80"/>
      <c r="T15" s="85" t="s">
        <v>471</v>
      </c>
      <c r="U15" s="83" t="str">
        <f>HYPERLINK("https://pbs.twimg.com/media/E_ff6a6XIAI9oBe.jpg")</f>
        <v>https://pbs.twimg.com/media/E_ff6a6XIAI9oBe.jpg</v>
      </c>
      <c r="V15" s="83" t="str">
        <f>HYPERLINK("https://pbs.twimg.com/media/E_ff6a6XIAI9oBe.jpg")</f>
        <v>https://pbs.twimg.com/media/E_ff6a6XIAI9oBe.jpg</v>
      </c>
      <c r="W15" s="82">
        <v>44456.58189814815</v>
      </c>
      <c r="X15" s="88">
        <v>44456</v>
      </c>
      <c r="Y15" s="85" t="s">
        <v>529</v>
      </c>
      <c r="Z15" s="83" t="str">
        <f>HYPERLINK("https://twitter.com/cokteleria/status/1438864803720830986")</f>
        <v>https://twitter.com/cokteleria/status/1438864803720830986</v>
      </c>
      <c r="AA15" s="80"/>
      <c r="AB15" s="80"/>
      <c r="AC15" s="85" t="s">
        <v>702</v>
      </c>
      <c r="AD15" s="80"/>
      <c r="AE15" s="80" t="b">
        <v>0</v>
      </c>
      <c r="AF15" s="80">
        <v>0</v>
      </c>
      <c r="AG15" s="85" t="s">
        <v>871</v>
      </c>
      <c r="AH15" s="80" t="b">
        <v>0</v>
      </c>
      <c r="AI15" s="80" t="s">
        <v>882</v>
      </c>
      <c r="AJ15" s="80"/>
      <c r="AK15" s="85" t="s">
        <v>871</v>
      </c>
      <c r="AL15" s="80" t="b">
        <v>0</v>
      </c>
      <c r="AM15" s="80">
        <v>1</v>
      </c>
      <c r="AN15" s="85" t="s">
        <v>871</v>
      </c>
      <c r="AO15" s="85" t="s">
        <v>889</v>
      </c>
      <c r="AP15" s="80" t="b">
        <v>0</v>
      </c>
      <c r="AQ15" s="85" t="s">
        <v>702</v>
      </c>
      <c r="AR15" s="80" t="s">
        <v>178</v>
      </c>
      <c r="AS15" s="80">
        <v>0</v>
      </c>
      <c r="AT15" s="80">
        <v>0</v>
      </c>
      <c r="AU15" s="80"/>
      <c r="AV15" s="80"/>
      <c r="AW15" s="80"/>
      <c r="AX15" s="80"/>
      <c r="AY15" s="80"/>
      <c r="AZ15" s="80"/>
      <c r="BA15" s="80"/>
      <c r="BB15" s="80"/>
      <c r="BC15">
        <v>1</v>
      </c>
      <c r="BD15" s="79" t="str">
        <f>REPLACE(INDEX(GroupVertices[Group],MATCH(Edges35[[#This Row],[Vertex 1]],GroupVertices[Vertex],0)),1,1,"")</f>
        <v>27</v>
      </c>
      <c r="BE15" s="79" t="str">
        <f>REPLACE(INDEX(GroupVertices[Group],MATCH(Edges35[[#This Row],[Vertex 2]],GroupVertices[Vertex],0)),1,1,"")</f>
        <v>27</v>
      </c>
      <c r="BF15" s="49">
        <v>0</v>
      </c>
      <c r="BG15" s="50">
        <v>0</v>
      </c>
      <c r="BH15" s="49">
        <v>0</v>
      </c>
      <c r="BI15" s="50">
        <v>0</v>
      </c>
      <c r="BJ15" s="49">
        <v>0</v>
      </c>
      <c r="BK15" s="50">
        <v>0</v>
      </c>
      <c r="BL15" s="49">
        <v>28</v>
      </c>
      <c r="BM15" s="50">
        <v>100</v>
      </c>
      <c r="BN15" s="49">
        <v>28</v>
      </c>
    </row>
    <row r="16" spans="1:66" ht="15">
      <c r="A16" s="65" t="s">
        <v>228</v>
      </c>
      <c r="B16" s="65" t="s">
        <v>227</v>
      </c>
      <c r="C16" s="66" t="s">
        <v>2647</v>
      </c>
      <c r="D16" s="67">
        <v>5</v>
      </c>
      <c r="E16" s="68"/>
      <c r="F16" s="69">
        <v>40</v>
      </c>
      <c r="G16" s="66"/>
      <c r="H16" s="70"/>
      <c r="I16" s="71"/>
      <c r="J16" s="71"/>
      <c r="K16" s="35" t="s">
        <v>65</v>
      </c>
      <c r="L16" s="78">
        <v>41</v>
      </c>
      <c r="M16" s="78"/>
      <c r="N16" s="73"/>
      <c r="O16" s="80" t="s">
        <v>383</v>
      </c>
      <c r="P16" s="82">
        <v>44456.59553240741</v>
      </c>
      <c r="Q16" s="80" t="s">
        <v>390</v>
      </c>
      <c r="R16" s="80"/>
      <c r="S16" s="80"/>
      <c r="T16" s="85" t="s">
        <v>471</v>
      </c>
      <c r="U16" s="83" t="str">
        <f>HYPERLINK("https://pbs.twimg.com/media/E_ff6a6XIAI9oBe.jpg")</f>
        <v>https://pbs.twimg.com/media/E_ff6a6XIAI9oBe.jpg</v>
      </c>
      <c r="V16" s="83" t="str">
        <f>HYPERLINK("https://pbs.twimg.com/media/E_ff6a6XIAI9oBe.jpg")</f>
        <v>https://pbs.twimg.com/media/E_ff6a6XIAI9oBe.jpg</v>
      </c>
      <c r="W16" s="82">
        <v>44456.59553240741</v>
      </c>
      <c r="X16" s="88">
        <v>44456</v>
      </c>
      <c r="Y16" s="85" t="s">
        <v>530</v>
      </c>
      <c r="Z16" s="83" t="str">
        <f>HYPERLINK("https://twitter.com/bauzaoficial/status/1438869745651048459")</f>
        <v>https://twitter.com/bauzaoficial/status/1438869745651048459</v>
      </c>
      <c r="AA16" s="80"/>
      <c r="AB16" s="80"/>
      <c r="AC16" s="85" t="s">
        <v>703</v>
      </c>
      <c r="AD16" s="80"/>
      <c r="AE16" s="80" t="b">
        <v>0</v>
      </c>
      <c r="AF16" s="80">
        <v>0</v>
      </c>
      <c r="AG16" s="85" t="s">
        <v>871</v>
      </c>
      <c r="AH16" s="80" t="b">
        <v>0</v>
      </c>
      <c r="AI16" s="80" t="s">
        <v>882</v>
      </c>
      <c r="AJ16" s="80"/>
      <c r="AK16" s="85" t="s">
        <v>871</v>
      </c>
      <c r="AL16" s="80" t="b">
        <v>0</v>
      </c>
      <c r="AM16" s="80">
        <v>1</v>
      </c>
      <c r="AN16" s="85" t="s">
        <v>702</v>
      </c>
      <c r="AO16" s="85" t="s">
        <v>889</v>
      </c>
      <c r="AP16" s="80" t="b">
        <v>0</v>
      </c>
      <c r="AQ16" s="85" t="s">
        <v>702</v>
      </c>
      <c r="AR16" s="80" t="s">
        <v>178</v>
      </c>
      <c r="AS16" s="80">
        <v>0</v>
      </c>
      <c r="AT16" s="80">
        <v>0</v>
      </c>
      <c r="AU16" s="80"/>
      <c r="AV16" s="80"/>
      <c r="AW16" s="80"/>
      <c r="AX16" s="80"/>
      <c r="AY16" s="80"/>
      <c r="AZ16" s="80"/>
      <c r="BA16" s="80"/>
      <c r="BB16" s="80"/>
      <c r="BC16">
        <v>1</v>
      </c>
      <c r="BD16" s="79" t="str">
        <f>REPLACE(INDEX(GroupVertices[Group],MATCH(Edges35[[#This Row],[Vertex 1]],GroupVertices[Vertex],0)),1,1,"")</f>
        <v>27</v>
      </c>
      <c r="BE16" s="79" t="str">
        <f>REPLACE(INDEX(GroupVertices[Group],MATCH(Edges35[[#This Row],[Vertex 2]],GroupVertices[Vertex],0)),1,1,"")</f>
        <v>27</v>
      </c>
      <c r="BF16" s="49">
        <v>0</v>
      </c>
      <c r="BG16" s="50">
        <v>0</v>
      </c>
      <c r="BH16" s="49">
        <v>0</v>
      </c>
      <c r="BI16" s="50">
        <v>0</v>
      </c>
      <c r="BJ16" s="49">
        <v>0</v>
      </c>
      <c r="BK16" s="50">
        <v>0</v>
      </c>
      <c r="BL16" s="49">
        <v>28</v>
      </c>
      <c r="BM16" s="50">
        <v>100</v>
      </c>
      <c r="BN16" s="49">
        <v>28</v>
      </c>
    </row>
    <row r="17" spans="1:66" ht="15">
      <c r="A17" s="65" t="s">
        <v>229</v>
      </c>
      <c r="B17" s="65" t="s">
        <v>229</v>
      </c>
      <c r="C17" s="66" t="s">
        <v>2647</v>
      </c>
      <c r="D17" s="67">
        <v>5</v>
      </c>
      <c r="E17" s="68"/>
      <c r="F17" s="69">
        <v>40</v>
      </c>
      <c r="G17" s="66"/>
      <c r="H17" s="70"/>
      <c r="I17" s="71"/>
      <c r="J17" s="71"/>
      <c r="K17" s="35" t="s">
        <v>65</v>
      </c>
      <c r="L17" s="78">
        <v>42</v>
      </c>
      <c r="M17" s="78"/>
      <c r="N17" s="73"/>
      <c r="O17" s="80" t="s">
        <v>178</v>
      </c>
      <c r="P17" s="82">
        <v>44456.63119212963</v>
      </c>
      <c r="Q17" s="80" t="s">
        <v>391</v>
      </c>
      <c r="R17" s="80"/>
      <c r="S17" s="80"/>
      <c r="T17" s="85" t="s">
        <v>472</v>
      </c>
      <c r="U17" s="83" t="str">
        <f>HYPERLINK("https://pbs.twimg.com/ext_tw_video_thumb/1438882543554777089/pu/img/ZHV8mtiM5xf5qrBa.jpg")</f>
        <v>https://pbs.twimg.com/ext_tw_video_thumb/1438882543554777089/pu/img/ZHV8mtiM5xf5qrBa.jpg</v>
      </c>
      <c r="V17" s="83" t="str">
        <f>HYPERLINK("https://pbs.twimg.com/ext_tw_video_thumb/1438882543554777089/pu/img/ZHV8mtiM5xf5qrBa.jpg")</f>
        <v>https://pbs.twimg.com/ext_tw_video_thumb/1438882543554777089/pu/img/ZHV8mtiM5xf5qrBa.jpg</v>
      </c>
      <c r="W17" s="82">
        <v>44456.63119212963</v>
      </c>
      <c r="X17" s="88">
        <v>44456</v>
      </c>
      <c r="Y17" s="85" t="s">
        <v>531</v>
      </c>
      <c r="Z17" s="83" t="str">
        <f>HYPERLINK("https://twitter.com/obritob/status/1438882664564633602")</f>
        <v>https://twitter.com/obritob/status/1438882664564633602</v>
      </c>
      <c r="AA17" s="80"/>
      <c r="AB17" s="80"/>
      <c r="AC17" s="85" t="s">
        <v>704</v>
      </c>
      <c r="AD17" s="80"/>
      <c r="AE17" s="80" t="b">
        <v>0</v>
      </c>
      <c r="AF17" s="80">
        <v>0</v>
      </c>
      <c r="AG17" s="85" t="s">
        <v>871</v>
      </c>
      <c r="AH17" s="80" t="b">
        <v>0</v>
      </c>
      <c r="AI17" s="80" t="s">
        <v>882</v>
      </c>
      <c r="AJ17" s="80"/>
      <c r="AK17" s="85" t="s">
        <v>871</v>
      </c>
      <c r="AL17" s="80" t="b">
        <v>0</v>
      </c>
      <c r="AM17" s="80">
        <v>0</v>
      </c>
      <c r="AN17" s="85" t="s">
        <v>871</v>
      </c>
      <c r="AO17" s="85" t="s">
        <v>889</v>
      </c>
      <c r="AP17" s="80" t="b">
        <v>0</v>
      </c>
      <c r="AQ17" s="85" t="s">
        <v>704</v>
      </c>
      <c r="AR17" s="80" t="s">
        <v>178</v>
      </c>
      <c r="AS17" s="80">
        <v>0</v>
      </c>
      <c r="AT17" s="80">
        <v>0</v>
      </c>
      <c r="AU17" s="80"/>
      <c r="AV17" s="80"/>
      <c r="AW17" s="80"/>
      <c r="AX17" s="80"/>
      <c r="AY17" s="80"/>
      <c r="AZ17" s="80"/>
      <c r="BA17" s="80"/>
      <c r="BB17" s="80"/>
      <c r="BC17">
        <v>1</v>
      </c>
      <c r="BD17" s="79" t="str">
        <f>REPLACE(INDEX(GroupVertices[Group],MATCH(Edges35[[#This Row],[Vertex 1]],GroupVertices[Vertex],0)),1,1,"")</f>
        <v>4</v>
      </c>
      <c r="BE17" s="79" t="str">
        <f>REPLACE(INDEX(GroupVertices[Group],MATCH(Edges35[[#This Row],[Vertex 2]],GroupVertices[Vertex],0)),1,1,"")</f>
        <v>4</v>
      </c>
      <c r="BF17" s="49">
        <v>0</v>
      </c>
      <c r="BG17" s="50">
        <v>0</v>
      </c>
      <c r="BH17" s="49">
        <v>0</v>
      </c>
      <c r="BI17" s="50">
        <v>0</v>
      </c>
      <c r="BJ17" s="49">
        <v>0</v>
      </c>
      <c r="BK17" s="50">
        <v>0</v>
      </c>
      <c r="BL17" s="49">
        <v>36</v>
      </c>
      <c r="BM17" s="50">
        <v>100</v>
      </c>
      <c r="BN17" s="49">
        <v>36</v>
      </c>
    </row>
    <row r="18" spans="1:66" ht="15">
      <c r="A18" s="65" t="s">
        <v>230</v>
      </c>
      <c r="B18" s="65" t="s">
        <v>254</v>
      </c>
      <c r="C18" s="66" t="s">
        <v>2647</v>
      </c>
      <c r="D18" s="67">
        <v>5</v>
      </c>
      <c r="E18" s="68"/>
      <c r="F18" s="69">
        <v>40</v>
      </c>
      <c r="G18" s="66"/>
      <c r="H18" s="70"/>
      <c r="I18" s="71"/>
      <c r="J18" s="71"/>
      <c r="K18" s="35" t="s">
        <v>65</v>
      </c>
      <c r="L18" s="78">
        <v>43</v>
      </c>
      <c r="M18" s="78"/>
      <c r="N18" s="73"/>
      <c r="O18" s="80" t="s">
        <v>383</v>
      </c>
      <c r="P18" s="82">
        <v>44456.64003472222</v>
      </c>
      <c r="Q18" s="80" t="s">
        <v>392</v>
      </c>
      <c r="R18" s="83" t="str">
        <f>HYPERLINK("https://www.mexnewz.mx/detectan-covid-en-20-de-pruebas-realizadas-a-migrantes/")</f>
        <v>https://www.mexnewz.mx/detectan-covid-en-20-de-pruebas-realizadas-a-migrantes/</v>
      </c>
      <c r="S18" s="80" t="s">
        <v>452</v>
      </c>
      <c r="T18" s="85" t="s">
        <v>473</v>
      </c>
      <c r="U18" s="83" t="str">
        <f>HYPERLINK("https://pbs.twimg.com/media/E_fumieXsAIlIMT.jpg")</f>
        <v>https://pbs.twimg.com/media/E_fumieXsAIlIMT.jpg</v>
      </c>
      <c r="V18" s="83" t="str">
        <f>HYPERLINK("https://pbs.twimg.com/media/E_fumieXsAIlIMT.jpg")</f>
        <v>https://pbs.twimg.com/media/E_fumieXsAIlIMT.jpg</v>
      </c>
      <c r="W18" s="82">
        <v>44456.64003472222</v>
      </c>
      <c r="X18" s="88">
        <v>44456</v>
      </c>
      <c r="Y18" s="85" t="s">
        <v>532</v>
      </c>
      <c r="Z18" s="83" t="str">
        <f>HYPERLINK("https://twitter.com/mexnewztam/status/1438885869801418753")</f>
        <v>https://twitter.com/mexnewztam/status/1438885869801418753</v>
      </c>
      <c r="AA18" s="80"/>
      <c r="AB18" s="80"/>
      <c r="AC18" s="85" t="s">
        <v>705</v>
      </c>
      <c r="AD18" s="80"/>
      <c r="AE18" s="80" t="b">
        <v>0</v>
      </c>
      <c r="AF18" s="80">
        <v>0</v>
      </c>
      <c r="AG18" s="85" t="s">
        <v>871</v>
      </c>
      <c r="AH18" s="80" t="b">
        <v>0</v>
      </c>
      <c r="AI18" s="80" t="s">
        <v>882</v>
      </c>
      <c r="AJ18" s="80"/>
      <c r="AK18" s="85" t="s">
        <v>871</v>
      </c>
      <c r="AL18" s="80" t="b">
        <v>0</v>
      </c>
      <c r="AM18" s="80">
        <v>1</v>
      </c>
      <c r="AN18" s="85" t="s">
        <v>736</v>
      </c>
      <c r="AO18" s="85" t="s">
        <v>889</v>
      </c>
      <c r="AP18" s="80" t="b">
        <v>0</v>
      </c>
      <c r="AQ18" s="85" t="s">
        <v>736</v>
      </c>
      <c r="AR18" s="80" t="s">
        <v>178</v>
      </c>
      <c r="AS18" s="80">
        <v>0</v>
      </c>
      <c r="AT18" s="80">
        <v>0</v>
      </c>
      <c r="AU18" s="80"/>
      <c r="AV18" s="80"/>
      <c r="AW18" s="80"/>
      <c r="AX18" s="80"/>
      <c r="AY18" s="80"/>
      <c r="AZ18" s="80"/>
      <c r="BA18" s="80"/>
      <c r="BB18" s="80"/>
      <c r="BC18">
        <v>1</v>
      </c>
      <c r="BD18" s="79" t="str">
        <f>REPLACE(INDEX(GroupVertices[Group],MATCH(Edges35[[#This Row],[Vertex 1]],GroupVertices[Vertex],0)),1,1,"")</f>
        <v>26</v>
      </c>
      <c r="BE18" s="79" t="str">
        <f>REPLACE(INDEX(GroupVertices[Group],MATCH(Edges35[[#This Row],[Vertex 2]],GroupVertices[Vertex],0)),1,1,"")</f>
        <v>26</v>
      </c>
      <c r="BF18" s="49">
        <v>0</v>
      </c>
      <c r="BG18" s="50">
        <v>0</v>
      </c>
      <c r="BH18" s="49">
        <v>0</v>
      </c>
      <c r="BI18" s="50">
        <v>0</v>
      </c>
      <c r="BJ18" s="49">
        <v>0</v>
      </c>
      <c r="BK18" s="50">
        <v>0</v>
      </c>
      <c r="BL18" s="49">
        <v>15</v>
      </c>
      <c r="BM18" s="50">
        <v>100</v>
      </c>
      <c r="BN18" s="49">
        <v>15</v>
      </c>
    </row>
    <row r="19" spans="1:66" ht="15">
      <c r="A19" s="65" t="s">
        <v>231</v>
      </c>
      <c r="B19" s="65" t="s">
        <v>269</v>
      </c>
      <c r="C19" s="66" t="s">
        <v>2647</v>
      </c>
      <c r="D19" s="67">
        <v>5</v>
      </c>
      <c r="E19" s="68"/>
      <c r="F19" s="69">
        <v>40</v>
      </c>
      <c r="G19" s="66"/>
      <c r="H19" s="70"/>
      <c r="I19" s="71"/>
      <c r="J19" s="71"/>
      <c r="K19" s="35" t="s">
        <v>65</v>
      </c>
      <c r="L19" s="78">
        <v>44</v>
      </c>
      <c r="M19" s="78"/>
      <c r="N19" s="73"/>
      <c r="O19" s="80" t="s">
        <v>383</v>
      </c>
      <c r="P19" s="82">
        <v>44456.90634259259</v>
      </c>
      <c r="Q19" s="80" t="s">
        <v>393</v>
      </c>
      <c r="R19" s="83" t="str">
        <f>HYPERLINK("https://movimientomigrantemesoamericano.org/2021/09/16/se-desborda-flujo-migratorio/")</f>
        <v>https://movimientomigrantemesoamericano.org/2021/09/16/se-desborda-flujo-migratorio/</v>
      </c>
      <c r="S19" s="80" t="s">
        <v>453</v>
      </c>
      <c r="T19" s="85" t="s">
        <v>474</v>
      </c>
      <c r="U19" s="80"/>
      <c r="V19" s="83" t="str">
        <f>HYPERLINK("https://pbs.twimg.com/profile_images/1136895681518546945/8aJcYgog_normal.jpg")</f>
        <v>https://pbs.twimg.com/profile_images/1136895681518546945/8aJcYgog_normal.jpg</v>
      </c>
      <c r="W19" s="82">
        <v>44456.90634259259</v>
      </c>
      <c r="X19" s="88">
        <v>44456</v>
      </c>
      <c r="Y19" s="85" t="s">
        <v>533</v>
      </c>
      <c r="Z19" s="83" t="str">
        <f>HYPERLINK("https://twitter.com/albypiero/status/1438982377213153283")</f>
        <v>https://twitter.com/albypiero/status/1438982377213153283</v>
      </c>
      <c r="AA19" s="80"/>
      <c r="AB19" s="80"/>
      <c r="AC19" s="85" t="s">
        <v>706</v>
      </c>
      <c r="AD19" s="80"/>
      <c r="AE19" s="80" t="b">
        <v>0</v>
      </c>
      <c r="AF19" s="80">
        <v>0</v>
      </c>
      <c r="AG19" s="85" t="s">
        <v>871</v>
      </c>
      <c r="AH19" s="80" t="b">
        <v>0</v>
      </c>
      <c r="AI19" s="80" t="s">
        <v>883</v>
      </c>
      <c r="AJ19" s="80"/>
      <c r="AK19" s="85" t="s">
        <v>871</v>
      </c>
      <c r="AL19" s="80" t="b">
        <v>0</v>
      </c>
      <c r="AM19" s="80">
        <v>2</v>
      </c>
      <c r="AN19" s="85" t="s">
        <v>794</v>
      </c>
      <c r="AO19" s="85" t="s">
        <v>889</v>
      </c>
      <c r="AP19" s="80" t="b">
        <v>0</v>
      </c>
      <c r="AQ19" s="85" t="s">
        <v>794</v>
      </c>
      <c r="AR19" s="80" t="s">
        <v>178</v>
      </c>
      <c r="AS19" s="80">
        <v>0</v>
      </c>
      <c r="AT19" s="80">
        <v>0</v>
      </c>
      <c r="AU19" s="80"/>
      <c r="AV19" s="80"/>
      <c r="AW19" s="80"/>
      <c r="AX19" s="80"/>
      <c r="AY19" s="80"/>
      <c r="AZ19" s="80"/>
      <c r="BA19" s="80"/>
      <c r="BB19" s="80"/>
      <c r="BC19">
        <v>1</v>
      </c>
      <c r="BD19" s="79" t="str">
        <f>REPLACE(INDEX(GroupVertices[Group],MATCH(Edges35[[#This Row],[Vertex 1]],GroupVertices[Vertex],0)),1,1,"")</f>
        <v>3</v>
      </c>
      <c r="BE19" s="79" t="str">
        <f>REPLACE(INDEX(GroupVertices[Group],MATCH(Edges35[[#This Row],[Vertex 2]],GroupVertices[Vertex],0)),1,1,"")</f>
        <v>3</v>
      </c>
      <c r="BF19" s="49">
        <v>0</v>
      </c>
      <c r="BG19" s="50">
        <v>0</v>
      </c>
      <c r="BH19" s="49">
        <v>0</v>
      </c>
      <c r="BI19" s="50">
        <v>0</v>
      </c>
      <c r="BJ19" s="49">
        <v>0</v>
      </c>
      <c r="BK19" s="50">
        <v>0</v>
      </c>
      <c r="BL19" s="49">
        <v>29</v>
      </c>
      <c r="BM19" s="50">
        <v>100</v>
      </c>
      <c r="BN19" s="49">
        <v>29</v>
      </c>
    </row>
    <row r="20" spans="1:66" ht="15">
      <c r="A20" s="65" t="s">
        <v>232</v>
      </c>
      <c r="B20" s="65" t="s">
        <v>232</v>
      </c>
      <c r="C20" s="66" t="s">
        <v>2647</v>
      </c>
      <c r="D20" s="67">
        <v>5</v>
      </c>
      <c r="E20" s="68"/>
      <c r="F20" s="69">
        <v>40</v>
      </c>
      <c r="G20" s="66"/>
      <c r="H20" s="70"/>
      <c r="I20" s="71"/>
      <c r="J20" s="71"/>
      <c r="K20" s="35" t="s">
        <v>65</v>
      </c>
      <c r="L20" s="78">
        <v>45</v>
      </c>
      <c r="M20" s="78"/>
      <c r="N20" s="73"/>
      <c r="O20" s="80" t="s">
        <v>178</v>
      </c>
      <c r="P20" s="82">
        <v>44456.91049768519</v>
      </c>
      <c r="Q20" s="80" t="s">
        <v>394</v>
      </c>
      <c r="R20" s="83" t="str">
        <f>HYPERLINK("https://www.mexnewz.mx/detectan-covid-en-20-de-pruebas-realizadas-a-migrantes/")</f>
        <v>https://www.mexnewz.mx/detectan-covid-en-20-de-pruebas-realizadas-a-migrantes/</v>
      </c>
      <c r="S20" s="80" t="s">
        <v>452</v>
      </c>
      <c r="T20" s="85" t="s">
        <v>473</v>
      </c>
      <c r="U20" s="83" t="str">
        <f>HYPERLINK("https://pbs.twimg.com/media/E_fumieXsAIlIMT.jpg")</f>
        <v>https://pbs.twimg.com/media/E_fumieXsAIlIMT.jpg</v>
      </c>
      <c r="V20" s="83" t="str">
        <f>HYPERLINK("https://pbs.twimg.com/media/E_fumieXsAIlIMT.jpg")</f>
        <v>https://pbs.twimg.com/media/E_fumieXsAIlIMT.jpg</v>
      </c>
      <c r="W20" s="82">
        <v>44456.91049768519</v>
      </c>
      <c r="X20" s="88">
        <v>44456</v>
      </c>
      <c r="Y20" s="85" t="s">
        <v>534</v>
      </c>
      <c r="Z20" s="83" t="str">
        <f>HYPERLINK("https://twitter.com/actingcbp/status/1438983884474142723")</f>
        <v>https://twitter.com/actingcbp/status/1438983884474142723</v>
      </c>
      <c r="AA20" s="80"/>
      <c r="AB20" s="80"/>
      <c r="AC20" s="85" t="s">
        <v>707</v>
      </c>
      <c r="AD20" s="80"/>
      <c r="AE20" s="80" t="b">
        <v>0</v>
      </c>
      <c r="AF20" s="80">
        <v>0</v>
      </c>
      <c r="AG20" s="85" t="s">
        <v>871</v>
      </c>
      <c r="AH20" s="80" t="b">
        <v>0</v>
      </c>
      <c r="AI20" s="80" t="s">
        <v>882</v>
      </c>
      <c r="AJ20" s="80"/>
      <c r="AK20" s="85" t="s">
        <v>871</v>
      </c>
      <c r="AL20" s="80" t="b">
        <v>0</v>
      </c>
      <c r="AM20" s="80">
        <v>0</v>
      </c>
      <c r="AN20" s="85" t="s">
        <v>871</v>
      </c>
      <c r="AO20" s="85" t="s">
        <v>889</v>
      </c>
      <c r="AP20" s="80" t="b">
        <v>0</v>
      </c>
      <c r="AQ20" s="85" t="s">
        <v>707</v>
      </c>
      <c r="AR20" s="80" t="s">
        <v>178</v>
      </c>
      <c r="AS20" s="80">
        <v>0</v>
      </c>
      <c r="AT20" s="80">
        <v>0</v>
      </c>
      <c r="AU20" s="80"/>
      <c r="AV20" s="80"/>
      <c r="AW20" s="80"/>
      <c r="AX20" s="80"/>
      <c r="AY20" s="80"/>
      <c r="AZ20" s="80"/>
      <c r="BA20" s="80"/>
      <c r="BB20" s="80"/>
      <c r="BC20">
        <v>1</v>
      </c>
      <c r="BD20" s="79" t="str">
        <f>REPLACE(INDEX(GroupVertices[Group],MATCH(Edges35[[#This Row],[Vertex 1]],GroupVertices[Vertex],0)),1,1,"")</f>
        <v>4</v>
      </c>
      <c r="BE20" s="79" t="str">
        <f>REPLACE(INDEX(GroupVertices[Group],MATCH(Edges35[[#This Row],[Vertex 2]],GroupVertices[Vertex],0)),1,1,"")</f>
        <v>4</v>
      </c>
      <c r="BF20" s="49">
        <v>0</v>
      </c>
      <c r="BG20" s="50">
        <v>0</v>
      </c>
      <c r="BH20" s="49">
        <v>0</v>
      </c>
      <c r="BI20" s="50">
        <v>0</v>
      </c>
      <c r="BJ20" s="49">
        <v>0</v>
      </c>
      <c r="BK20" s="50">
        <v>0</v>
      </c>
      <c r="BL20" s="49">
        <v>15</v>
      </c>
      <c r="BM20" s="50">
        <v>100</v>
      </c>
      <c r="BN20" s="49">
        <v>15</v>
      </c>
    </row>
    <row r="21" spans="1:66" ht="15">
      <c r="A21" s="65" t="s">
        <v>233</v>
      </c>
      <c r="B21" s="65" t="s">
        <v>233</v>
      </c>
      <c r="C21" s="66" t="s">
        <v>2647</v>
      </c>
      <c r="D21" s="67">
        <v>5</v>
      </c>
      <c r="E21" s="68"/>
      <c r="F21" s="69">
        <v>40</v>
      </c>
      <c r="G21" s="66"/>
      <c r="H21" s="70"/>
      <c r="I21" s="71"/>
      <c r="J21" s="71"/>
      <c r="K21" s="35" t="s">
        <v>65</v>
      </c>
      <c r="L21" s="78">
        <v>46</v>
      </c>
      <c r="M21" s="78"/>
      <c r="N21" s="73"/>
      <c r="O21" s="80" t="s">
        <v>178</v>
      </c>
      <c r="P21" s="82">
        <v>44456.91737268519</v>
      </c>
      <c r="Q21" s="80" t="s">
        <v>395</v>
      </c>
      <c r="R21" s="83" t="str">
        <f>HYPERLINK("http://www.infomediamx.com/65774/")</f>
        <v>http://www.infomediamx.com/65774/</v>
      </c>
      <c r="S21" s="80" t="s">
        <v>454</v>
      </c>
      <c r="T21" s="85" t="s">
        <v>475</v>
      </c>
      <c r="U21" s="83" t="str">
        <f>HYPERLINK("https://pbs.twimg.com/media/E_hOe6QXsAgEBPR.jpg")</f>
        <v>https://pbs.twimg.com/media/E_hOe6QXsAgEBPR.jpg</v>
      </c>
      <c r="V21" s="83" t="str">
        <f>HYPERLINK("https://pbs.twimg.com/media/E_hOe6QXsAgEBPR.jpg")</f>
        <v>https://pbs.twimg.com/media/E_hOe6QXsAgEBPR.jpg</v>
      </c>
      <c r="W21" s="82">
        <v>44456.91737268519</v>
      </c>
      <c r="X21" s="88">
        <v>44456</v>
      </c>
      <c r="Y21" s="85" t="s">
        <v>535</v>
      </c>
      <c r="Z21" s="83" t="str">
        <f>HYPERLINK("https://twitter.com/infomediamx4/status/1438986376070975489")</f>
        <v>https://twitter.com/infomediamx4/status/1438986376070975489</v>
      </c>
      <c r="AA21" s="80"/>
      <c r="AB21" s="80"/>
      <c r="AC21" s="85" t="s">
        <v>708</v>
      </c>
      <c r="AD21" s="80"/>
      <c r="AE21" s="80" t="b">
        <v>0</v>
      </c>
      <c r="AF21" s="80">
        <v>0</v>
      </c>
      <c r="AG21" s="85" t="s">
        <v>871</v>
      </c>
      <c r="AH21" s="80" t="b">
        <v>0</v>
      </c>
      <c r="AI21" s="80" t="s">
        <v>882</v>
      </c>
      <c r="AJ21" s="80"/>
      <c r="AK21" s="85" t="s">
        <v>871</v>
      </c>
      <c r="AL21" s="80" t="b">
        <v>0</v>
      </c>
      <c r="AM21" s="80">
        <v>0</v>
      </c>
      <c r="AN21" s="85" t="s">
        <v>871</v>
      </c>
      <c r="AO21" s="85" t="s">
        <v>892</v>
      </c>
      <c r="AP21" s="80" t="b">
        <v>0</v>
      </c>
      <c r="AQ21" s="85" t="s">
        <v>708</v>
      </c>
      <c r="AR21" s="80" t="s">
        <v>178</v>
      </c>
      <c r="AS21" s="80">
        <v>0</v>
      </c>
      <c r="AT21" s="80">
        <v>0</v>
      </c>
      <c r="AU21" s="80"/>
      <c r="AV21" s="80"/>
      <c r="AW21" s="80"/>
      <c r="AX21" s="80"/>
      <c r="AY21" s="80"/>
      <c r="AZ21" s="80"/>
      <c r="BA21" s="80"/>
      <c r="BB21" s="80"/>
      <c r="BC21">
        <v>1</v>
      </c>
      <c r="BD21" s="79" t="str">
        <f>REPLACE(INDEX(GroupVertices[Group],MATCH(Edges35[[#This Row],[Vertex 1]],GroupVertices[Vertex],0)),1,1,"")</f>
        <v>4</v>
      </c>
      <c r="BE21" s="79" t="str">
        <f>REPLACE(INDEX(GroupVertices[Group],MATCH(Edges35[[#This Row],[Vertex 2]],GroupVertices[Vertex],0)),1,1,"")</f>
        <v>4</v>
      </c>
      <c r="BF21" s="49">
        <v>0</v>
      </c>
      <c r="BG21" s="50">
        <v>0</v>
      </c>
      <c r="BH21" s="49">
        <v>0</v>
      </c>
      <c r="BI21" s="50">
        <v>0</v>
      </c>
      <c r="BJ21" s="49">
        <v>0</v>
      </c>
      <c r="BK21" s="50">
        <v>0</v>
      </c>
      <c r="BL21" s="49">
        <v>13</v>
      </c>
      <c r="BM21" s="50">
        <v>100</v>
      </c>
      <c r="BN21" s="49">
        <v>13</v>
      </c>
    </row>
    <row r="22" spans="1:66" ht="15">
      <c r="A22" s="65" t="s">
        <v>234</v>
      </c>
      <c r="B22" s="65" t="s">
        <v>238</v>
      </c>
      <c r="C22" s="66" t="s">
        <v>2647</v>
      </c>
      <c r="D22" s="67">
        <v>5</v>
      </c>
      <c r="E22" s="68"/>
      <c r="F22" s="69">
        <v>40</v>
      </c>
      <c r="G22" s="66"/>
      <c r="H22" s="70"/>
      <c r="I22" s="71"/>
      <c r="J22" s="71"/>
      <c r="K22" s="35" t="s">
        <v>65</v>
      </c>
      <c r="L22" s="78">
        <v>47</v>
      </c>
      <c r="M22" s="78"/>
      <c r="N22" s="73"/>
      <c r="O22" s="80" t="s">
        <v>383</v>
      </c>
      <c r="P22" s="82">
        <v>44456.98096064815</v>
      </c>
      <c r="Q22" s="80" t="s">
        <v>396</v>
      </c>
      <c r="R22" s="80"/>
      <c r="S22" s="80"/>
      <c r="T22" s="85" t="s">
        <v>476</v>
      </c>
      <c r="U22" s="83" t="str">
        <f>HYPERLINK("https://pbs.twimg.com/media/E_hf8JkUcAEu7lU.jpg")</f>
        <v>https://pbs.twimg.com/media/E_hf8JkUcAEu7lU.jpg</v>
      </c>
      <c r="V22" s="83" t="str">
        <f>HYPERLINK("https://pbs.twimg.com/media/E_hf8JkUcAEu7lU.jpg")</f>
        <v>https://pbs.twimg.com/media/E_hf8JkUcAEu7lU.jpg</v>
      </c>
      <c r="W22" s="82">
        <v>44456.98096064815</v>
      </c>
      <c r="X22" s="88">
        <v>44456</v>
      </c>
      <c r="Y22" s="85" t="s">
        <v>536</v>
      </c>
      <c r="Z22" s="83" t="str">
        <f>HYPERLINK("https://twitter.com/cesar_alonso__/status/1439009417240920066")</f>
        <v>https://twitter.com/cesar_alonso__/status/1439009417240920066</v>
      </c>
      <c r="AA22" s="80"/>
      <c r="AB22" s="80"/>
      <c r="AC22" s="85" t="s">
        <v>709</v>
      </c>
      <c r="AD22" s="80"/>
      <c r="AE22" s="80" t="b">
        <v>0</v>
      </c>
      <c r="AF22" s="80">
        <v>0</v>
      </c>
      <c r="AG22" s="85" t="s">
        <v>871</v>
      </c>
      <c r="AH22" s="80" t="b">
        <v>0</v>
      </c>
      <c r="AI22" s="80" t="s">
        <v>882</v>
      </c>
      <c r="AJ22" s="80"/>
      <c r="AK22" s="85" t="s">
        <v>871</v>
      </c>
      <c r="AL22" s="80" t="b">
        <v>0</v>
      </c>
      <c r="AM22" s="80">
        <v>5</v>
      </c>
      <c r="AN22" s="85" t="s">
        <v>713</v>
      </c>
      <c r="AO22" s="85" t="s">
        <v>889</v>
      </c>
      <c r="AP22" s="80" t="b">
        <v>0</v>
      </c>
      <c r="AQ22" s="85" t="s">
        <v>713</v>
      </c>
      <c r="AR22" s="80" t="s">
        <v>178</v>
      </c>
      <c r="AS22" s="80">
        <v>0</v>
      </c>
      <c r="AT22" s="80">
        <v>0</v>
      </c>
      <c r="AU22" s="80"/>
      <c r="AV22" s="80"/>
      <c r="AW22" s="80"/>
      <c r="AX22" s="80"/>
      <c r="AY22" s="80"/>
      <c r="AZ22" s="80"/>
      <c r="BA22" s="80"/>
      <c r="BB22" s="80"/>
      <c r="BC22">
        <v>1</v>
      </c>
      <c r="BD22" s="79" t="str">
        <f>REPLACE(INDEX(GroupVertices[Group],MATCH(Edges35[[#This Row],[Vertex 1]],GroupVertices[Vertex],0)),1,1,"")</f>
        <v>10</v>
      </c>
      <c r="BE22" s="79" t="str">
        <f>REPLACE(INDEX(GroupVertices[Group],MATCH(Edges35[[#This Row],[Vertex 2]],GroupVertices[Vertex],0)),1,1,"")</f>
        <v>10</v>
      </c>
      <c r="BF22" s="49">
        <v>0</v>
      </c>
      <c r="BG22" s="50">
        <v>0</v>
      </c>
      <c r="BH22" s="49">
        <v>0</v>
      </c>
      <c r="BI22" s="50">
        <v>0</v>
      </c>
      <c r="BJ22" s="49">
        <v>0</v>
      </c>
      <c r="BK22" s="50">
        <v>0</v>
      </c>
      <c r="BL22" s="49">
        <v>44</v>
      </c>
      <c r="BM22" s="50">
        <v>100</v>
      </c>
      <c r="BN22" s="49">
        <v>44</v>
      </c>
    </row>
    <row r="23" spans="1:66" ht="15">
      <c r="A23" s="65" t="s">
        <v>235</v>
      </c>
      <c r="B23" s="65" t="s">
        <v>238</v>
      </c>
      <c r="C23" s="66" t="s">
        <v>2647</v>
      </c>
      <c r="D23" s="67">
        <v>5</v>
      </c>
      <c r="E23" s="68"/>
      <c r="F23" s="69">
        <v>40</v>
      </c>
      <c r="G23" s="66"/>
      <c r="H23" s="70"/>
      <c r="I23" s="71"/>
      <c r="J23" s="71"/>
      <c r="K23" s="35" t="s">
        <v>65</v>
      </c>
      <c r="L23" s="78">
        <v>48</v>
      </c>
      <c r="M23" s="78"/>
      <c r="N23" s="73"/>
      <c r="O23" s="80" t="s">
        <v>383</v>
      </c>
      <c r="P23" s="82">
        <v>44456.98265046296</v>
      </c>
      <c r="Q23" s="80" t="s">
        <v>396</v>
      </c>
      <c r="R23" s="80"/>
      <c r="S23" s="80"/>
      <c r="T23" s="85" t="s">
        <v>476</v>
      </c>
      <c r="U23" s="83" t="str">
        <f>HYPERLINK("https://pbs.twimg.com/media/E_hf8JkUcAEu7lU.jpg")</f>
        <v>https://pbs.twimg.com/media/E_hf8JkUcAEu7lU.jpg</v>
      </c>
      <c r="V23" s="83" t="str">
        <f>HYPERLINK("https://pbs.twimg.com/media/E_hf8JkUcAEu7lU.jpg")</f>
        <v>https://pbs.twimg.com/media/E_hf8JkUcAEu7lU.jpg</v>
      </c>
      <c r="W23" s="82">
        <v>44456.98265046296</v>
      </c>
      <c r="X23" s="88">
        <v>44456</v>
      </c>
      <c r="Y23" s="85" t="s">
        <v>537</v>
      </c>
      <c r="Z23" s="83" t="str">
        <f>HYPERLINK("https://twitter.com/agendamigrante/status/1439010030880059392")</f>
        <v>https://twitter.com/agendamigrante/status/1439010030880059392</v>
      </c>
      <c r="AA23" s="80"/>
      <c r="AB23" s="80"/>
      <c r="AC23" s="85" t="s">
        <v>710</v>
      </c>
      <c r="AD23" s="80"/>
      <c r="AE23" s="80" t="b">
        <v>0</v>
      </c>
      <c r="AF23" s="80">
        <v>0</v>
      </c>
      <c r="AG23" s="85" t="s">
        <v>871</v>
      </c>
      <c r="AH23" s="80" t="b">
        <v>0</v>
      </c>
      <c r="AI23" s="80" t="s">
        <v>882</v>
      </c>
      <c r="AJ23" s="80"/>
      <c r="AK23" s="85" t="s">
        <v>871</v>
      </c>
      <c r="AL23" s="80" t="b">
        <v>0</v>
      </c>
      <c r="AM23" s="80">
        <v>5</v>
      </c>
      <c r="AN23" s="85" t="s">
        <v>713</v>
      </c>
      <c r="AO23" s="85" t="s">
        <v>889</v>
      </c>
      <c r="AP23" s="80" t="b">
        <v>0</v>
      </c>
      <c r="AQ23" s="85" t="s">
        <v>713</v>
      </c>
      <c r="AR23" s="80" t="s">
        <v>178</v>
      </c>
      <c r="AS23" s="80">
        <v>0</v>
      </c>
      <c r="AT23" s="80">
        <v>0</v>
      </c>
      <c r="AU23" s="80"/>
      <c r="AV23" s="80"/>
      <c r="AW23" s="80"/>
      <c r="AX23" s="80"/>
      <c r="AY23" s="80"/>
      <c r="AZ23" s="80"/>
      <c r="BA23" s="80"/>
      <c r="BB23" s="80"/>
      <c r="BC23">
        <v>1</v>
      </c>
      <c r="BD23" s="79" t="str">
        <f>REPLACE(INDEX(GroupVertices[Group],MATCH(Edges35[[#This Row],[Vertex 1]],GroupVertices[Vertex],0)),1,1,"")</f>
        <v>10</v>
      </c>
      <c r="BE23" s="79" t="str">
        <f>REPLACE(INDEX(GroupVertices[Group],MATCH(Edges35[[#This Row],[Vertex 2]],GroupVertices[Vertex],0)),1,1,"")</f>
        <v>10</v>
      </c>
      <c r="BF23" s="49">
        <v>0</v>
      </c>
      <c r="BG23" s="50">
        <v>0</v>
      </c>
      <c r="BH23" s="49">
        <v>0</v>
      </c>
      <c r="BI23" s="50">
        <v>0</v>
      </c>
      <c r="BJ23" s="49">
        <v>0</v>
      </c>
      <c r="BK23" s="50">
        <v>0</v>
      </c>
      <c r="BL23" s="49">
        <v>44</v>
      </c>
      <c r="BM23" s="50">
        <v>100</v>
      </c>
      <c r="BN23" s="49">
        <v>44</v>
      </c>
    </row>
    <row r="24" spans="1:66" ht="15">
      <c r="A24" s="65" t="s">
        <v>236</v>
      </c>
      <c r="B24" s="65" t="s">
        <v>238</v>
      </c>
      <c r="C24" s="66" t="s">
        <v>2647</v>
      </c>
      <c r="D24" s="67">
        <v>5</v>
      </c>
      <c r="E24" s="68"/>
      <c r="F24" s="69">
        <v>40</v>
      </c>
      <c r="G24" s="66"/>
      <c r="H24" s="70"/>
      <c r="I24" s="71"/>
      <c r="J24" s="71"/>
      <c r="K24" s="35" t="s">
        <v>65</v>
      </c>
      <c r="L24" s="78">
        <v>49</v>
      </c>
      <c r="M24" s="78"/>
      <c r="N24" s="73"/>
      <c r="O24" s="80" t="s">
        <v>383</v>
      </c>
      <c r="P24" s="82">
        <v>44457.0156712963</v>
      </c>
      <c r="Q24" s="80" t="s">
        <v>396</v>
      </c>
      <c r="R24" s="80"/>
      <c r="S24" s="80"/>
      <c r="T24" s="85" t="s">
        <v>476</v>
      </c>
      <c r="U24" s="83" t="str">
        <f>HYPERLINK("https://pbs.twimg.com/media/E_hf8JkUcAEu7lU.jpg")</f>
        <v>https://pbs.twimg.com/media/E_hf8JkUcAEu7lU.jpg</v>
      </c>
      <c r="V24" s="83" t="str">
        <f>HYPERLINK("https://pbs.twimg.com/media/E_hf8JkUcAEu7lU.jpg")</f>
        <v>https://pbs.twimg.com/media/E_hf8JkUcAEu7lU.jpg</v>
      </c>
      <c r="W24" s="82">
        <v>44457.0156712963</v>
      </c>
      <c r="X24" s="88">
        <v>44457</v>
      </c>
      <c r="Y24" s="85" t="s">
        <v>538</v>
      </c>
      <c r="Z24" s="83" t="str">
        <f>HYPERLINK("https://twitter.com/viral_mx/status/1439021998135398401")</f>
        <v>https://twitter.com/viral_mx/status/1439021998135398401</v>
      </c>
      <c r="AA24" s="80"/>
      <c r="AB24" s="80"/>
      <c r="AC24" s="85" t="s">
        <v>711</v>
      </c>
      <c r="AD24" s="80"/>
      <c r="AE24" s="80" t="b">
        <v>0</v>
      </c>
      <c r="AF24" s="80">
        <v>0</v>
      </c>
      <c r="AG24" s="85" t="s">
        <v>871</v>
      </c>
      <c r="AH24" s="80" t="b">
        <v>0</v>
      </c>
      <c r="AI24" s="80" t="s">
        <v>882</v>
      </c>
      <c r="AJ24" s="80"/>
      <c r="AK24" s="85" t="s">
        <v>871</v>
      </c>
      <c r="AL24" s="80" t="b">
        <v>0</v>
      </c>
      <c r="AM24" s="80">
        <v>5</v>
      </c>
      <c r="AN24" s="85" t="s">
        <v>713</v>
      </c>
      <c r="AO24" s="85" t="s">
        <v>889</v>
      </c>
      <c r="AP24" s="80" t="b">
        <v>0</v>
      </c>
      <c r="AQ24" s="85" t="s">
        <v>713</v>
      </c>
      <c r="AR24" s="80" t="s">
        <v>178</v>
      </c>
      <c r="AS24" s="80">
        <v>0</v>
      </c>
      <c r="AT24" s="80">
        <v>0</v>
      </c>
      <c r="AU24" s="80"/>
      <c r="AV24" s="80"/>
      <c r="AW24" s="80"/>
      <c r="AX24" s="80"/>
      <c r="AY24" s="80"/>
      <c r="AZ24" s="80"/>
      <c r="BA24" s="80"/>
      <c r="BB24" s="80"/>
      <c r="BC24">
        <v>1</v>
      </c>
      <c r="BD24" s="79" t="str">
        <f>REPLACE(INDEX(GroupVertices[Group],MATCH(Edges35[[#This Row],[Vertex 1]],GroupVertices[Vertex],0)),1,1,"")</f>
        <v>10</v>
      </c>
      <c r="BE24" s="79" t="str">
        <f>REPLACE(INDEX(GroupVertices[Group],MATCH(Edges35[[#This Row],[Vertex 2]],GroupVertices[Vertex],0)),1,1,"")</f>
        <v>10</v>
      </c>
      <c r="BF24" s="49">
        <v>0</v>
      </c>
      <c r="BG24" s="50">
        <v>0</v>
      </c>
      <c r="BH24" s="49">
        <v>0</v>
      </c>
      <c r="BI24" s="50">
        <v>0</v>
      </c>
      <c r="BJ24" s="49">
        <v>0</v>
      </c>
      <c r="BK24" s="50">
        <v>0</v>
      </c>
      <c r="BL24" s="49">
        <v>44</v>
      </c>
      <c r="BM24" s="50">
        <v>100</v>
      </c>
      <c r="BN24" s="49">
        <v>44</v>
      </c>
    </row>
    <row r="25" spans="1:66" ht="15">
      <c r="A25" s="65" t="s">
        <v>237</v>
      </c>
      <c r="B25" s="65" t="s">
        <v>360</v>
      </c>
      <c r="C25" s="66" t="s">
        <v>2647</v>
      </c>
      <c r="D25" s="67">
        <v>5</v>
      </c>
      <c r="E25" s="68"/>
      <c r="F25" s="69">
        <v>40</v>
      </c>
      <c r="G25" s="66"/>
      <c r="H25" s="70"/>
      <c r="I25" s="71"/>
      <c r="J25" s="71"/>
      <c r="K25" s="35" t="s">
        <v>65</v>
      </c>
      <c r="L25" s="78">
        <v>50</v>
      </c>
      <c r="M25" s="78"/>
      <c r="N25" s="73"/>
      <c r="O25" s="80" t="s">
        <v>384</v>
      </c>
      <c r="P25" s="82">
        <v>44457.43425925926</v>
      </c>
      <c r="Q25" s="80" t="s">
        <v>397</v>
      </c>
      <c r="R25" s="80"/>
      <c r="S25" s="80"/>
      <c r="T25" s="85" t="s">
        <v>477</v>
      </c>
      <c r="U25" s="83" t="str">
        <f>HYPERLINK("https://pbs.twimg.com/media/E_j4M2KXEAAItzb.jpg")</f>
        <v>https://pbs.twimg.com/media/E_j4M2KXEAAItzb.jpg</v>
      </c>
      <c r="V25" s="83" t="str">
        <f>HYPERLINK("https://pbs.twimg.com/media/E_j4M2KXEAAItzb.jpg")</f>
        <v>https://pbs.twimg.com/media/E_j4M2KXEAAItzb.jpg</v>
      </c>
      <c r="W25" s="82">
        <v>44457.43425925926</v>
      </c>
      <c r="X25" s="88">
        <v>44457</v>
      </c>
      <c r="Y25" s="85" t="s">
        <v>539</v>
      </c>
      <c r="Z25" s="83" t="str">
        <f>HYPERLINK("https://twitter.com/real_marquis/status/1439173686284668929")</f>
        <v>https://twitter.com/real_marquis/status/1439173686284668929</v>
      </c>
      <c r="AA25" s="80"/>
      <c r="AB25" s="80"/>
      <c r="AC25" s="85" t="s">
        <v>712</v>
      </c>
      <c r="AD25" s="80"/>
      <c r="AE25" s="80" t="b">
        <v>0</v>
      </c>
      <c r="AF25" s="80">
        <v>0</v>
      </c>
      <c r="AG25" s="85" t="s">
        <v>871</v>
      </c>
      <c r="AH25" s="80" t="b">
        <v>0</v>
      </c>
      <c r="AI25" s="80" t="s">
        <v>884</v>
      </c>
      <c r="AJ25" s="80"/>
      <c r="AK25" s="85" t="s">
        <v>871</v>
      </c>
      <c r="AL25" s="80" t="b">
        <v>0</v>
      </c>
      <c r="AM25" s="80">
        <v>0</v>
      </c>
      <c r="AN25" s="85" t="s">
        <v>871</v>
      </c>
      <c r="AO25" s="85" t="s">
        <v>891</v>
      </c>
      <c r="AP25" s="80" t="b">
        <v>0</v>
      </c>
      <c r="AQ25" s="85" t="s">
        <v>712</v>
      </c>
      <c r="AR25" s="80" t="s">
        <v>178</v>
      </c>
      <c r="AS25" s="80">
        <v>0</v>
      </c>
      <c r="AT25" s="80">
        <v>0</v>
      </c>
      <c r="AU25" s="80"/>
      <c r="AV25" s="80"/>
      <c r="AW25" s="80"/>
      <c r="AX25" s="80"/>
      <c r="AY25" s="80"/>
      <c r="AZ25" s="80"/>
      <c r="BA25" s="80"/>
      <c r="BB25" s="80"/>
      <c r="BC25">
        <v>1</v>
      </c>
      <c r="BD25" s="79" t="str">
        <f>REPLACE(INDEX(GroupVertices[Group],MATCH(Edges35[[#This Row],[Vertex 1]],GroupVertices[Vertex],0)),1,1,"")</f>
        <v>13</v>
      </c>
      <c r="BE25" s="79" t="str">
        <f>REPLACE(INDEX(GroupVertices[Group],MATCH(Edges35[[#This Row],[Vertex 2]],GroupVertices[Vertex],0)),1,1,"")</f>
        <v>13</v>
      </c>
      <c r="BF25" s="49">
        <v>0</v>
      </c>
      <c r="BG25" s="50">
        <v>0</v>
      </c>
      <c r="BH25" s="49">
        <v>0</v>
      </c>
      <c r="BI25" s="50">
        <v>0</v>
      </c>
      <c r="BJ25" s="49">
        <v>0</v>
      </c>
      <c r="BK25" s="50">
        <v>0</v>
      </c>
      <c r="BL25" s="49">
        <v>10</v>
      </c>
      <c r="BM25" s="50">
        <v>100</v>
      </c>
      <c r="BN25" s="49">
        <v>10</v>
      </c>
    </row>
    <row r="26" spans="1:66" ht="15">
      <c r="A26" s="65" t="s">
        <v>238</v>
      </c>
      <c r="B26" s="65" t="s">
        <v>238</v>
      </c>
      <c r="C26" s="66" t="s">
        <v>2648</v>
      </c>
      <c r="D26" s="67">
        <v>10</v>
      </c>
      <c r="E26" s="68"/>
      <c r="F26" s="69">
        <v>20</v>
      </c>
      <c r="G26" s="66"/>
      <c r="H26" s="70"/>
      <c r="I26" s="71"/>
      <c r="J26" s="71"/>
      <c r="K26" s="35" t="s">
        <v>65</v>
      </c>
      <c r="L26" s="78">
        <v>51</v>
      </c>
      <c r="M26" s="78"/>
      <c r="N26" s="73"/>
      <c r="O26" s="80" t="s">
        <v>178</v>
      </c>
      <c r="P26" s="82">
        <v>44456.97033564815</v>
      </c>
      <c r="Q26" s="80" t="s">
        <v>396</v>
      </c>
      <c r="R26" s="80"/>
      <c r="S26" s="80"/>
      <c r="T26" s="85" t="s">
        <v>476</v>
      </c>
      <c r="U26" s="83" t="str">
        <f>HYPERLINK("https://pbs.twimg.com/media/E_hf8JkUcAEu7lU.jpg")</f>
        <v>https://pbs.twimg.com/media/E_hf8JkUcAEu7lU.jpg</v>
      </c>
      <c r="V26" s="83" t="str">
        <f>HYPERLINK("https://pbs.twimg.com/media/E_hf8JkUcAEu7lU.jpg")</f>
        <v>https://pbs.twimg.com/media/E_hf8JkUcAEu7lU.jpg</v>
      </c>
      <c r="W26" s="82">
        <v>44456.97033564815</v>
      </c>
      <c r="X26" s="88">
        <v>44456</v>
      </c>
      <c r="Y26" s="85" t="s">
        <v>540</v>
      </c>
      <c r="Z26" s="83" t="str">
        <f>HYPERLINK("https://twitter.com/eunicerendon/status/1439005569382162434")</f>
        <v>https://twitter.com/eunicerendon/status/1439005569382162434</v>
      </c>
      <c r="AA26" s="80"/>
      <c r="AB26" s="80"/>
      <c r="AC26" s="85" t="s">
        <v>713</v>
      </c>
      <c r="AD26" s="80"/>
      <c r="AE26" s="80" t="b">
        <v>0</v>
      </c>
      <c r="AF26" s="80">
        <v>14</v>
      </c>
      <c r="AG26" s="85" t="s">
        <v>871</v>
      </c>
      <c r="AH26" s="80" t="b">
        <v>0</v>
      </c>
      <c r="AI26" s="80" t="s">
        <v>882</v>
      </c>
      <c r="AJ26" s="80"/>
      <c r="AK26" s="85" t="s">
        <v>871</v>
      </c>
      <c r="AL26" s="80" t="b">
        <v>0</v>
      </c>
      <c r="AM26" s="80">
        <v>5</v>
      </c>
      <c r="AN26" s="85" t="s">
        <v>871</v>
      </c>
      <c r="AO26" s="85" t="s">
        <v>889</v>
      </c>
      <c r="AP26" s="80" t="b">
        <v>0</v>
      </c>
      <c r="AQ26" s="85" t="s">
        <v>713</v>
      </c>
      <c r="AR26" s="80" t="s">
        <v>178</v>
      </c>
      <c r="AS26" s="80">
        <v>0</v>
      </c>
      <c r="AT26" s="80">
        <v>0</v>
      </c>
      <c r="AU26" s="80"/>
      <c r="AV26" s="80"/>
      <c r="AW26" s="80"/>
      <c r="AX26" s="80"/>
      <c r="AY26" s="80"/>
      <c r="AZ26" s="80"/>
      <c r="BA26" s="80"/>
      <c r="BB26" s="80"/>
      <c r="BC26">
        <v>4</v>
      </c>
      <c r="BD26" s="79" t="str">
        <f>REPLACE(INDEX(GroupVertices[Group],MATCH(Edges35[[#This Row],[Vertex 1]],GroupVertices[Vertex],0)),1,1,"")</f>
        <v>10</v>
      </c>
      <c r="BE26" s="79" t="str">
        <f>REPLACE(INDEX(GroupVertices[Group],MATCH(Edges35[[#This Row],[Vertex 2]],GroupVertices[Vertex],0)),1,1,"")</f>
        <v>10</v>
      </c>
      <c r="BF26" s="49">
        <v>0</v>
      </c>
      <c r="BG26" s="50">
        <v>0</v>
      </c>
      <c r="BH26" s="49">
        <v>0</v>
      </c>
      <c r="BI26" s="50">
        <v>0</v>
      </c>
      <c r="BJ26" s="49">
        <v>0</v>
      </c>
      <c r="BK26" s="50">
        <v>0</v>
      </c>
      <c r="BL26" s="49">
        <v>44</v>
      </c>
      <c r="BM26" s="50">
        <v>100</v>
      </c>
      <c r="BN26" s="49">
        <v>44</v>
      </c>
    </row>
    <row r="27" spans="1:66" ht="15">
      <c r="A27" s="65" t="s">
        <v>238</v>
      </c>
      <c r="B27" s="65" t="s">
        <v>238</v>
      </c>
      <c r="C27" s="66" t="s">
        <v>2648</v>
      </c>
      <c r="D27" s="67">
        <v>10</v>
      </c>
      <c r="E27" s="68"/>
      <c r="F27" s="69">
        <v>20</v>
      </c>
      <c r="G27" s="66"/>
      <c r="H27" s="70"/>
      <c r="I27" s="71"/>
      <c r="J27" s="71"/>
      <c r="K27" s="35" t="s">
        <v>65</v>
      </c>
      <c r="L27" s="78">
        <v>52</v>
      </c>
      <c r="M27" s="78"/>
      <c r="N27" s="73"/>
      <c r="O27" s="80" t="s">
        <v>178</v>
      </c>
      <c r="P27" s="82">
        <v>44456.97164351852</v>
      </c>
      <c r="Q27" s="80" t="s">
        <v>398</v>
      </c>
      <c r="R27" s="80"/>
      <c r="S27" s="80"/>
      <c r="T27" s="85" t="s">
        <v>478</v>
      </c>
      <c r="U27" s="80"/>
      <c r="V27" s="83" t="str">
        <f>HYPERLINK("https://pbs.twimg.com/profile_images/1428883324966109189/hCXYHKH6_normal.jpg")</f>
        <v>https://pbs.twimg.com/profile_images/1428883324966109189/hCXYHKH6_normal.jpg</v>
      </c>
      <c r="W27" s="82">
        <v>44456.97164351852</v>
      </c>
      <c r="X27" s="88">
        <v>44456</v>
      </c>
      <c r="Y27" s="85" t="s">
        <v>541</v>
      </c>
      <c r="Z27" s="83" t="str">
        <f>HYPERLINK("https://twitter.com/eunicerendon/status/1439006042470289408")</f>
        <v>https://twitter.com/eunicerendon/status/1439006042470289408</v>
      </c>
      <c r="AA27" s="80"/>
      <c r="AB27" s="80"/>
      <c r="AC27" s="85" t="s">
        <v>714</v>
      </c>
      <c r="AD27" s="85" t="s">
        <v>864</v>
      </c>
      <c r="AE27" s="80" t="b">
        <v>0</v>
      </c>
      <c r="AF27" s="80">
        <v>3</v>
      </c>
      <c r="AG27" s="85" t="s">
        <v>872</v>
      </c>
      <c r="AH27" s="80" t="b">
        <v>0</v>
      </c>
      <c r="AI27" s="80" t="s">
        <v>882</v>
      </c>
      <c r="AJ27" s="80"/>
      <c r="AK27" s="85" t="s">
        <v>871</v>
      </c>
      <c r="AL27" s="80" t="b">
        <v>0</v>
      </c>
      <c r="AM27" s="80">
        <v>0</v>
      </c>
      <c r="AN27" s="85" t="s">
        <v>871</v>
      </c>
      <c r="AO27" s="85" t="s">
        <v>889</v>
      </c>
      <c r="AP27" s="80" t="b">
        <v>0</v>
      </c>
      <c r="AQ27" s="85" t="s">
        <v>864</v>
      </c>
      <c r="AR27" s="80" t="s">
        <v>178</v>
      </c>
      <c r="AS27" s="80">
        <v>0</v>
      </c>
      <c r="AT27" s="80">
        <v>0</v>
      </c>
      <c r="AU27" s="80"/>
      <c r="AV27" s="80"/>
      <c r="AW27" s="80"/>
      <c r="AX27" s="80"/>
      <c r="AY27" s="80"/>
      <c r="AZ27" s="80"/>
      <c r="BA27" s="80"/>
      <c r="BB27" s="80"/>
      <c r="BC27">
        <v>4</v>
      </c>
      <c r="BD27" s="79" t="str">
        <f>REPLACE(INDEX(GroupVertices[Group],MATCH(Edges35[[#This Row],[Vertex 1]],GroupVertices[Vertex],0)),1,1,"")</f>
        <v>10</v>
      </c>
      <c r="BE27" s="79" t="str">
        <f>REPLACE(INDEX(GroupVertices[Group],MATCH(Edges35[[#This Row],[Vertex 2]],GroupVertices[Vertex],0)),1,1,"")</f>
        <v>10</v>
      </c>
      <c r="BF27" s="49">
        <v>0</v>
      </c>
      <c r="BG27" s="50">
        <v>0</v>
      </c>
      <c r="BH27" s="49">
        <v>0</v>
      </c>
      <c r="BI27" s="50">
        <v>0</v>
      </c>
      <c r="BJ27" s="49">
        <v>0</v>
      </c>
      <c r="BK27" s="50">
        <v>0</v>
      </c>
      <c r="BL27" s="49">
        <v>26</v>
      </c>
      <c r="BM27" s="50">
        <v>100</v>
      </c>
      <c r="BN27" s="49">
        <v>26</v>
      </c>
    </row>
    <row r="28" spans="1:66" ht="15">
      <c r="A28" s="65" t="s">
        <v>239</v>
      </c>
      <c r="B28" s="65" t="s">
        <v>238</v>
      </c>
      <c r="C28" s="66" t="s">
        <v>2647</v>
      </c>
      <c r="D28" s="67">
        <v>5</v>
      </c>
      <c r="E28" s="68"/>
      <c r="F28" s="69">
        <v>40</v>
      </c>
      <c r="G28" s="66"/>
      <c r="H28" s="70"/>
      <c r="I28" s="71"/>
      <c r="J28" s="71"/>
      <c r="K28" s="35" t="s">
        <v>65</v>
      </c>
      <c r="L28" s="78">
        <v>53</v>
      </c>
      <c r="M28" s="78"/>
      <c r="N28" s="73"/>
      <c r="O28" s="80" t="s">
        <v>383</v>
      </c>
      <c r="P28" s="82">
        <v>44457.51385416667</v>
      </c>
      <c r="Q28" s="80" t="s">
        <v>396</v>
      </c>
      <c r="R28" s="80"/>
      <c r="S28" s="80"/>
      <c r="T28" s="85" t="s">
        <v>476</v>
      </c>
      <c r="U28" s="83" t="str">
        <f>HYPERLINK("https://pbs.twimg.com/media/E_hf8JkUcAEu7lU.jpg")</f>
        <v>https://pbs.twimg.com/media/E_hf8JkUcAEu7lU.jpg</v>
      </c>
      <c r="V28" s="83" t="str">
        <f>HYPERLINK("https://pbs.twimg.com/media/E_hf8JkUcAEu7lU.jpg")</f>
        <v>https://pbs.twimg.com/media/E_hf8JkUcAEu7lU.jpg</v>
      </c>
      <c r="W28" s="82">
        <v>44457.51385416667</v>
      </c>
      <c r="X28" s="88">
        <v>44457</v>
      </c>
      <c r="Y28" s="85" t="s">
        <v>542</v>
      </c>
      <c r="Z28" s="83" t="str">
        <f>HYPERLINK("https://twitter.com/luisglez33/status/1439202532954312705")</f>
        <v>https://twitter.com/luisglez33/status/1439202532954312705</v>
      </c>
      <c r="AA28" s="80"/>
      <c r="AB28" s="80"/>
      <c r="AC28" s="85" t="s">
        <v>715</v>
      </c>
      <c r="AD28" s="80"/>
      <c r="AE28" s="80" t="b">
        <v>0</v>
      </c>
      <c r="AF28" s="80">
        <v>0</v>
      </c>
      <c r="AG28" s="85" t="s">
        <v>871</v>
      </c>
      <c r="AH28" s="80" t="b">
        <v>0</v>
      </c>
      <c r="AI28" s="80" t="s">
        <v>882</v>
      </c>
      <c r="AJ28" s="80"/>
      <c r="AK28" s="85" t="s">
        <v>871</v>
      </c>
      <c r="AL28" s="80" t="b">
        <v>0</v>
      </c>
      <c r="AM28" s="80">
        <v>5</v>
      </c>
      <c r="AN28" s="85" t="s">
        <v>713</v>
      </c>
      <c r="AO28" s="85" t="s">
        <v>890</v>
      </c>
      <c r="AP28" s="80" t="b">
        <v>0</v>
      </c>
      <c r="AQ28" s="85" t="s">
        <v>713</v>
      </c>
      <c r="AR28" s="80" t="s">
        <v>178</v>
      </c>
      <c r="AS28" s="80">
        <v>0</v>
      </c>
      <c r="AT28" s="80">
        <v>0</v>
      </c>
      <c r="AU28" s="80"/>
      <c r="AV28" s="80"/>
      <c r="AW28" s="80"/>
      <c r="AX28" s="80"/>
      <c r="AY28" s="80"/>
      <c r="AZ28" s="80"/>
      <c r="BA28" s="80"/>
      <c r="BB28" s="80"/>
      <c r="BC28">
        <v>1</v>
      </c>
      <c r="BD28" s="79" t="str">
        <f>REPLACE(INDEX(GroupVertices[Group],MATCH(Edges35[[#This Row],[Vertex 1]],GroupVertices[Vertex],0)),1,1,"")</f>
        <v>10</v>
      </c>
      <c r="BE28" s="79" t="str">
        <f>REPLACE(INDEX(GroupVertices[Group],MATCH(Edges35[[#This Row],[Vertex 2]],GroupVertices[Vertex],0)),1,1,"")</f>
        <v>10</v>
      </c>
      <c r="BF28" s="49">
        <v>0</v>
      </c>
      <c r="BG28" s="50">
        <v>0</v>
      </c>
      <c r="BH28" s="49">
        <v>0</v>
      </c>
      <c r="BI28" s="50">
        <v>0</v>
      </c>
      <c r="BJ28" s="49">
        <v>0</v>
      </c>
      <c r="BK28" s="50">
        <v>0</v>
      </c>
      <c r="BL28" s="49">
        <v>44</v>
      </c>
      <c r="BM28" s="50">
        <v>100</v>
      </c>
      <c r="BN28" s="49">
        <v>44</v>
      </c>
    </row>
    <row r="29" spans="1:66" ht="15">
      <c r="A29" s="65" t="s">
        <v>240</v>
      </c>
      <c r="B29" s="65" t="s">
        <v>268</v>
      </c>
      <c r="C29" s="66" t="s">
        <v>2647</v>
      </c>
      <c r="D29" s="67">
        <v>5</v>
      </c>
      <c r="E29" s="68"/>
      <c r="F29" s="69">
        <v>40</v>
      </c>
      <c r="G29" s="66"/>
      <c r="H29" s="70"/>
      <c r="I29" s="71"/>
      <c r="J29" s="71"/>
      <c r="K29" s="35" t="s">
        <v>65</v>
      </c>
      <c r="L29" s="78">
        <v>54</v>
      </c>
      <c r="M29" s="78"/>
      <c r="N29" s="73"/>
      <c r="O29" s="80" t="s">
        <v>382</v>
      </c>
      <c r="P29" s="82">
        <v>44457.514085648145</v>
      </c>
      <c r="Q29" s="80" t="s">
        <v>399</v>
      </c>
      <c r="R29" s="83" t="str">
        <f>HYPERLINK("https://www.meltingpot.org/Tapachula-frontiera-sud-del-Messico-migliaia-di-persone.html")</f>
        <v>https://www.meltingpot.org/Tapachula-frontiera-sud-del-Messico-migliaia-di-persone.html</v>
      </c>
      <c r="S29" s="80" t="s">
        <v>455</v>
      </c>
      <c r="T29" s="85" t="s">
        <v>479</v>
      </c>
      <c r="U29" s="80"/>
      <c r="V29" s="83" t="str">
        <f>HYPERLINK("https://pbs.twimg.com/profile_images/1421725294520672257/yghrXN73_normal.jpg")</f>
        <v>https://pbs.twimg.com/profile_images/1421725294520672257/yghrXN73_normal.jpg</v>
      </c>
      <c r="W29" s="82">
        <v>44457.514085648145</v>
      </c>
      <c r="X29" s="88">
        <v>44457</v>
      </c>
      <c r="Y29" s="85" t="s">
        <v>543</v>
      </c>
      <c r="Z29" s="83" t="str">
        <f>HYPERLINK("https://twitter.com/rmilell66/status/1439202617477971978")</f>
        <v>https://twitter.com/rmilell66/status/1439202617477971978</v>
      </c>
      <c r="AA29" s="80"/>
      <c r="AB29" s="80"/>
      <c r="AC29" s="85" t="s">
        <v>716</v>
      </c>
      <c r="AD29" s="80"/>
      <c r="AE29" s="80" t="b">
        <v>0</v>
      </c>
      <c r="AF29" s="80">
        <v>0</v>
      </c>
      <c r="AG29" s="85" t="s">
        <v>871</v>
      </c>
      <c r="AH29" s="80" t="b">
        <v>0</v>
      </c>
      <c r="AI29" s="80" t="s">
        <v>883</v>
      </c>
      <c r="AJ29" s="80"/>
      <c r="AK29" s="85" t="s">
        <v>871</v>
      </c>
      <c r="AL29" s="80" t="b">
        <v>0</v>
      </c>
      <c r="AM29" s="80">
        <v>3</v>
      </c>
      <c r="AN29" s="85" t="s">
        <v>761</v>
      </c>
      <c r="AO29" s="85" t="s">
        <v>889</v>
      </c>
      <c r="AP29" s="80" t="b">
        <v>0</v>
      </c>
      <c r="AQ29" s="85" t="s">
        <v>761</v>
      </c>
      <c r="AR29" s="80" t="s">
        <v>178</v>
      </c>
      <c r="AS29" s="80">
        <v>0</v>
      </c>
      <c r="AT29" s="80">
        <v>0</v>
      </c>
      <c r="AU29" s="80"/>
      <c r="AV29" s="80"/>
      <c r="AW29" s="80"/>
      <c r="AX29" s="80"/>
      <c r="AY29" s="80"/>
      <c r="AZ29" s="80"/>
      <c r="BA29" s="80"/>
      <c r="BB29" s="80"/>
      <c r="BC29">
        <v>1</v>
      </c>
      <c r="BD29" s="79" t="str">
        <f>REPLACE(INDEX(GroupVertices[Group],MATCH(Edges35[[#This Row],[Vertex 1]],GroupVertices[Vertex],0)),1,1,"")</f>
        <v>3</v>
      </c>
      <c r="BE29" s="79" t="str">
        <f>REPLACE(INDEX(GroupVertices[Group],MATCH(Edges35[[#This Row],[Vertex 2]],GroupVertices[Vertex],0)),1,1,"")</f>
        <v>3</v>
      </c>
      <c r="BF29" s="49">
        <v>0</v>
      </c>
      <c r="BG29" s="50">
        <v>0</v>
      </c>
      <c r="BH29" s="49">
        <v>0</v>
      </c>
      <c r="BI29" s="50">
        <v>0</v>
      </c>
      <c r="BJ29" s="49">
        <v>0</v>
      </c>
      <c r="BK29" s="50">
        <v>0</v>
      </c>
      <c r="BL29" s="49">
        <v>31</v>
      </c>
      <c r="BM29" s="50">
        <v>100</v>
      </c>
      <c r="BN29" s="49">
        <v>31</v>
      </c>
    </row>
    <row r="30" spans="1:66" ht="15">
      <c r="A30" s="65" t="s">
        <v>241</v>
      </c>
      <c r="B30" s="65" t="s">
        <v>241</v>
      </c>
      <c r="C30" s="66" t="s">
        <v>2647</v>
      </c>
      <c r="D30" s="67">
        <v>5</v>
      </c>
      <c r="E30" s="68"/>
      <c r="F30" s="69">
        <v>40</v>
      </c>
      <c r="G30" s="66"/>
      <c r="H30" s="70"/>
      <c r="I30" s="71"/>
      <c r="J30" s="71"/>
      <c r="K30" s="35" t="s">
        <v>65</v>
      </c>
      <c r="L30" s="78">
        <v>56</v>
      </c>
      <c r="M30" s="78"/>
      <c r="N30" s="73"/>
      <c r="O30" s="80" t="s">
        <v>178</v>
      </c>
      <c r="P30" s="82">
        <v>44457.63170138889</v>
      </c>
      <c r="Q30" s="80" t="s">
        <v>400</v>
      </c>
      <c r="R30" s="83" t="str">
        <f>HYPERLINK("https://jucomex.com/2021/09/13/ser-migrante-no-es-ser-delincuente/")</f>
        <v>https://jucomex.com/2021/09/13/ser-migrante-no-es-ser-delincuente/</v>
      </c>
      <c r="S30" s="80" t="s">
        <v>456</v>
      </c>
      <c r="T30" s="85" t="s">
        <v>472</v>
      </c>
      <c r="U30" s="80"/>
      <c r="V30" s="83" t="str">
        <f>HYPERLINK("https://pbs.twimg.com/profile_images/1400631307386896387/6KkKcfhq_normal.jpg")</f>
        <v>https://pbs.twimg.com/profile_images/1400631307386896387/6KkKcfhq_normal.jpg</v>
      </c>
      <c r="W30" s="82">
        <v>44457.63170138889</v>
      </c>
      <c r="X30" s="88">
        <v>44457</v>
      </c>
      <c r="Y30" s="85" t="s">
        <v>544</v>
      </c>
      <c r="Z30" s="83" t="str">
        <f>HYPERLINK("https://twitter.com/jcmnuevoleon/status/1439245237071777799")</f>
        <v>https://twitter.com/jcmnuevoleon/status/1439245237071777799</v>
      </c>
      <c r="AA30" s="80"/>
      <c r="AB30" s="80"/>
      <c r="AC30" s="85" t="s">
        <v>717</v>
      </c>
      <c r="AD30" s="80"/>
      <c r="AE30" s="80" t="b">
        <v>0</v>
      </c>
      <c r="AF30" s="80">
        <v>5</v>
      </c>
      <c r="AG30" s="85" t="s">
        <v>871</v>
      </c>
      <c r="AH30" s="80" t="b">
        <v>0</v>
      </c>
      <c r="AI30" s="80" t="s">
        <v>882</v>
      </c>
      <c r="AJ30" s="80"/>
      <c r="AK30" s="85" t="s">
        <v>871</v>
      </c>
      <c r="AL30" s="80" t="b">
        <v>0</v>
      </c>
      <c r="AM30" s="80">
        <v>1</v>
      </c>
      <c r="AN30" s="85" t="s">
        <v>871</v>
      </c>
      <c r="AO30" s="85" t="s">
        <v>889</v>
      </c>
      <c r="AP30" s="80" t="b">
        <v>0</v>
      </c>
      <c r="AQ30" s="85" t="s">
        <v>717</v>
      </c>
      <c r="AR30" s="80" t="s">
        <v>178</v>
      </c>
      <c r="AS30" s="80">
        <v>0</v>
      </c>
      <c r="AT30" s="80">
        <v>0</v>
      </c>
      <c r="AU30" s="80" t="s">
        <v>897</v>
      </c>
      <c r="AV30" s="80" t="s">
        <v>899</v>
      </c>
      <c r="AW30" s="80" t="s">
        <v>900</v>
      </c>
      <c r="AX30" s="80" t="s">
        <v>901</v>
      </c>
      <c r="AY30" s="80" t="s">
        <v>903</v>
      </c>
      <c r="AZ30" s="80" t="s">
        <v>905</v>
      </c>
      <c r="BA30" s="80" t="s">
        <v>907</v>
      </c>
      <c r="BB30" s="83" t="str">
        <f>HYPERLINK("https://api.twitter.com/1.1/geo/id/b19e24ce42ccd6aa.json")</f>
        <v>https://api.twitter.com/1.1/geo/id/b19e24ce42ccd6aa.json</v>
      </c>
      <c r="BC30">
        <v>1</v>
      </c>
      <c r="BD30" s="79" t="str">
        <f>REPLACE(INDEX(GroupVertices[Group],MATCH(Edges35[[#This Row],[Vertex 1]],GroupVertices[Vertex],0)),1,1,"")</f>
        <v>25</v>
      </c>
      <c r="BE30" s="79" t="str">
        <f>REPLACE(INDEX(GroupVertices[Group],MATCH(Edges35[[#This Row],[Vertex 2]],GroupVertices[Vertex],0)),1,1,"")</f>
        <v>25</v>
      </c>
      <c r="BF30" s="49">
        <v>0</v>
      </c>
      <c r="BG30" s="50">
        <v>0</v>
      </c>
      <c r="BH30" s="49">
        <v>0</v>
      </c>
      <c r="BI30" s="50">
        <v>0</v>
      </c>
      <c r="BJ30" s="49">
        <v>0</v>
      </c>
      <c r="BK30" s="50">
        <v>0</v>
      </c>
      <c r="BL30" s="49">
        <v>22</v>
      </c>
      <c r="BM30" s="50">
        <v>100</v>
      </c>
      <c r="BN30" s="49">
        <v>22</v>
      </c>
    </row>
    <row r="31" spans="1:66" ht="15">
      <c r="A31" s="65" t="s">
        <v>242</v>
      </c>
      <c r="B31" s="65" t="s">
        <v>241</v>
      </c>
      <c r="C31" s="66" t="s">
        <v>2647</v>
      </c>
      <c r="D31" s="67">
        <v>5</v>
      </c>
      <c r="E31" s="68"/>
      <c r="F31" s="69">
        <v>40</v>
      </c>
      <c r="G31" s="66"/>
      <c r="H31" s="70"/>
      <c r="I31" s="71"/>
      <c r="J31" s="71"/>
      <c r="K31" s="35" t="s">
        <v>65</v>
      </c>
      <c r="L31" s="78">
        <v>57</v>
      </c>
      <c r="M31" s="78"/>
      <c r="N31" s="73"/>
      <c r="O31" s="80" t="s">
        <v>383</v>
      </c>
      <c r="P31" s="82">
        <v>44457.69763888889</v>
      </c>
      <c r="Q31" s="80" t="s">
        <v>400</v>
      </c>
      <c r="R31" s="83" t="str">
        <f>HYPERLINK("https://jucomex.com/2021/09/13/ser-migrante-no-es-ser-delincuente/")</f>
        <v>https://jucomex.com/2021/09/13/ser-migrante-no-es-ser-delincuente/</v>
      </c>
      <c r="S31" s="80" t="s">
        <v>456</v>
      </c>
      <c r="T31" s="85" t="s">
        <v>472</v>
      </c>
      <c r="U31" s="80"/>
      <c r="V31" s="83" t="str">
        <f>HYPERLINK("https://pbs.twimg.com/profile_images/1391953789796638720/RminQRQh_normal.jpg")</f>
        <v>https://pbs.twimg.com/profile_images/1391953789796638720/RminQRQh_normal.jpg</v>
      </c>
      <c r="W31" s="82">
        <v>44457.69763888889</v>
      </c>
      <c r="X31" s="88">
        <v>44457</v>
      </c>
      <c r="Y31" s="85" t="s">
        <v>545</v>
      </c>
      <c r="Z31" s="83" t="str">
        <f>HYPERLINK("https://twitter.com/eliphaleth/status/1439269135138050053")</f>
        <v>https://twitter.com/eliphaleth/status/1439269135138050053</v>
      </c>
      <c r="AA31" s="80"/>
      <c r="AB31" s="80"/>
      <c r="AC31" s="85" t="s">
        <v>718</v>
      </c>
      <c r="AD31" s="80"/>
      <c r="AE31" s="80" t="b">
        <v>0</v>
      </c>
      <c r="AF31" s="80">
        <v>0</v>
      </c>
      <c r="AG31" s="85" t="s">
        <v>871</v>
      </c>
      <c r="AH31" s="80" t="b">
        <v>0</v>
      </c>
      <c r="AI31" s="80" t="s">
        <v>882</v>
      </c>
      <c r="AJ31" s="80"/>
      <c r="AK31" s="85" t="s">
        <v>871</v>
      </c>
      <c r="AL31" s="80" t="b">
        <v>0</v>
      </c>
      <c r="AM31" s="80">
        <v>1</v>
      </c>
      <c r="AN31" s="85" t="s">
        <v>717</v>
      </c>
      <c r="AO31" s="85" t="s">
        <v>889</v>
      </c>
      <c r="AP31" s="80" t="b">
        <v>0</v>
      </c>
      <c r="AQ31" s="85" t="s">
        <v>717</v>
      </c>
      <c r="AR31" s="80" t="s">
        <v>178</v>
      </c>
      <c r="AS31" s="80">
        <v>0</v>
      </c>
      <c r="AT31" s="80">
        <v>0</v>
      </c>
      <c r="AU31" s="80"/>
      <c r="AV31" s="80"/>
      <c r="AW31" s="80"/>
      <c r="AX31" s="80"/>
      <c r="AY31" s="80"/>
      <c r="AZ31" s="80"/>
      <c r="BA31" s="80"/>
      <c r="BB31" s="80"/>
      <c r="BC31">
        <v>1</v>
      </c>
      <c r="BD31" s="79" t="str">
        <f>REPLACE(INDEX(GroupVertices[Group],MATCH(Edges35[[#This Row],[Vertex 1]],GroupVertices[Vertex],0)),1,1,"")</f>
        <v>25</v>
      </c>
      <c r="BE31" s="79" t="str">
        <f>REPLACE(INDEX(GroupVertices[Group],MATCH(Edges35[[#This Row],[Vertex 2]],GroupVertices[Vertex],0)),1,1,"")</f>
        <v>25</v>
      </c>
      <c r="BF31" s="49">
        <v>0</v>
      </c>
      <c r="BG31" s="50">
        <v>0</v>
      </c>
      <c r="BH31" s="49">
        <v>0</v>
      </c>
      <c r="BI31" s="50">
        <v>0</v>
      </c>
      <c r="BJ31" s="49">
        <v>0</v>
      </c>
      <c r="BK31" s="50">
        <v>0</v>
      </c>
      <c r="BL31" s="49">
        <v>22</v>
      </c>
      <c r="BM31" s="50">
        <v>100</v>
      </c>
      <c r="BN31" s="49">
        <v>22</v>
      </c>
    </row>
    <row r="32" spans="1:66" ht="15">
      <c r="A32" s="65" t="s">
        <v>237</v>
      </c>
      <c r="B32" s="65" t="s">
        <v>361</v>
      </c>
      <c r="C32" s="66" t="s">
        <v>2647</v>
      </c>
      <c r="D32" s="67">
        <v>5</v>
      </c>
      <c r="E32" s="68"/>
      <c r="F32" s="69">
        <v>40</v>
      </c>
      <c r="G32" s="66"/>
      <c r="H32" s="70"/>
      <c r="I32" s="71"/>
      <c r="J32" s="71"/>
      <c r="K32" s="35" t="s">
        <v>65</v>
      </c>
      <c r="L32" s="78">
        <v>58</v>
      </c>
      <c r="M32" s="78"/>
      <c r="N32" s="73"/>
      <c r="O32" s="80" t="s">
        <v>384</v>
      </c>
      <c r="P32" s="82">
        <v>44457.4471412037</v>
      </c>
      <c r="Q32" s="80" t="s">
        <v>401</v>
      </c>
      <c r="R32" s="80"/>
      <c r="S32" s="80"/>
      <c r="T32" s="85" t="s">
        <v>480</v>
      </c>
      <c r="U32" s="83" t="str">
        <f>HYPERLINK("https://pbs.twimg.com/media/E_j8gzSWQAA1Gcx.jpg")</f>
        <v>https://pbs.twimg.com/media/E_j8gzSWQAA1Gcx.jpg</v>
      </c>
      <c r="V32" s="83" t="str">
        <f>HYPERLINK("https://pbs.twimg.com/media/E_j8gzSWQAA1Gcx.jpg")</f>
        <v>https://pbs.twimg.com/media/E_j8gzSWQAA1Gcx.jpg</v>
      </c>
      <c r="W32" s="82">
        <v>44457.4471412037</v>
      </c>
      <c r="X32" s="88">
        <v>44457</v>
      </c>
      <c r="Y32" s="85" t="s">
        <v>546</v>
      </c>
      <c r="Z32" s="83" t="str">
        <f>HYPERLINK("https://twitter.com/real_marquis/status/1439178357644611584")</f>
        <v>https://twitter.com/real_marquis/status/1439178357644611584</v>
      </c>
      <c r="AA32" s="80"/>
      <c r="AB32" s="80"/>
      <c r="AC32" s="85" t="s">
        <v>719</v>
      </c>
      <c r="AD32" s="80"/>
      <c r="AE32" s="80" t="b">
        <v>0</v>
      </c>
      <c r="AF32" s="80">
        <v>1</v>
      </c>
      <c r="AG32" s="85" t="s">
        <v>871</v>
      </c>
      <c r="AH32" s="80" t="b">
        <v>0</v>
      </c>
      <c r="AI32" s="80" t="s">
        <v>881</v>
      </c>
      <c r="AJ32" s="80"/>
      <c r="AK32" s="85" t="s">
        <v>871</v>
      </c>
      <c r="AL32" s="80" t="b">
        <v>0</v>
      </c>
      <c r="AM32" s="80">
        <v>1</v>
      </c>
      <c r="AN32" s="85" t="s">
        <v>871</v>
      </c>
      <c r="AO32" s="85" t="s">
        <v>891</v>
      </c>
      <c r="AP32" s="80" t="b">
        <v>0</v>
      </c>
      <c r="AQ32" s="85" t="s">
        <v>719</v>
      </c>
      <c r="AR32" s="80" t="s">
        <v>178</v>
      </c>
      <c r="AS32" s="80">
        <v>0</v>
      </c>
      <c r="AT32" s="80">
        <v>0</v>
      </c>
      <c r="AU32" s="80"/>
      <c r="AV32" s="80"/>
      <c r="AW32" s="80"/>
      <c r="AX32" s="80"/>
      <c r="AY32" s="80"/>
      <c r="AZ32" s="80"/>
      <c r="BA32" s="80"/>
      <c r="BB32" s="80"/>
      <c r="BC32">
        <v>1</v>
      </c>
      <c r="BD32" s="79" t="str">
        <f>REPLACE(INDEX(GroupVertices[Group],MATCH(Edges35[[#This Row],[Vertex 1]],GroupVertices[Vertex],0)),1,1,"")</f>
        <v>13</v>
      </c>
      <c r="BE32" s="79" t="str">
        <f>REPLACE(INDEX(GroupVertices[Group],MATCH(Edges35[[#This Row],[Vertex 2]],GroupVertices[Vertex],0)),1,1,"")</f>
        <v>13</v>
      </c>
      <c r="BF32" s="49">
        <v>0</v>
      </c>
      <c r="BG32" s="50">
        <v>0</v>
      </c>
      <c r="BH32" s="49">
        <v>1</v>
      </c>
      <c r="BI32" s="50">
        <v>4.166666666666667</v>
      </c>
      <c r="BJ32" s="49">
        <v>0</v>
      </c>
      <c r="BK32" s="50">
        <v>0</v>
      </c>
      <c r="BL32" s="49">
        <v>23</v>
      </c>
      <c r="BM32" s="50">
        <v>95.83333333333333</v>
      </c>
      <c r="BN32" s="49">
        <v>24</v>
      </c>
    </row>
    <row r="33" spans="1:66" ht="15">
      <c r="A33" s="65" t="s">
        <v>243</v>
      </c>
      <c r="B33" s="65" t="s">
        <v>361</v>
      </c>
      <c r="C33" s="66" t="s">
        <v>2647</v>
      </c>
      <c r="D33" s="67">
        <v>5</v>
      </c>
      <c r="E33" s="68"/>
      <c r="F33" s="69">
        <v>40</v>
      </c>
      <c r="G33" s="66"/>
      <c r="H33" s="70"/>
      <c r="I33" s="71"/>
      <c r="J33" s="71"/>
      <c r="K33" s="35" t="s">
        <v>65</v>
      </c>
      <c r="L33" s="78">
        <v>59</v>
      </c>
      <c r="M33" s="78"/>
      <c r="N33" s="73"/>
      <c r="O33" s="80" t="s">
        <v>382</v>
      </c>
      <c r="P33" s="82">
        <v>44457.75372685185</v>
      </c>
      <c r="Q33" s="80" t="s">
        <v>401</v>
      </c>
      <c r="R33" s="80"/>
      <c r="S33" s="80"/>
      <c r="T33" s="85" t="s">
        <v>480</v>
      </c>
      <c r="U33" s="83" t="str">
        <f>HYPERLINK("https://pbs.twimg.com/media/E_j8gzSWQAA1Gcx.jpg")</f>
        <v>https://pbs.twimg.com/media/E_j8gzSWQAA1Gcx.jpg</v>
      </c>
      <c r="V33" s="83" t="str">
        <f>HYPERLINK("https://pbs.twimg.com/media/E_j8gzSWQAA1Gcx.jpg")</f>
        <v>https://pbs.twimg.com/media/E_j8gzSWQAA1Gcx.jpg</v>
      </c>
      <c r="W33" s="82">
        <v>44457.75372685185</v>
      </c>
      <c r="X33" s="88">
        <v>44457</v>
      </c>
      <c r="Y33" s="85" t="s">
        <v>547</v>
      </c>
      <c r="Z33" s="83" t="str">
        <f>HYPERLINK("https://twitter.com/gardenpeace9/status/1439289459481141250")</f>
        <v>https://twitter.com/gardenpeace9/status/1439289459481141250</v>
      </c>
      <c r="AA33" s="80"/>
      <c r="AB33" s="80"/>
      <c r="AC33" s="85" t="s">
        <v>720</v>
      </c>
      <c r="AD33" s="80"/>
      <c r="AE33" s="80" t="b">
        <v>0</v>
      </c>
      <c r="AF33" s="80">
        <v>0</v>
      </c>
      <c r="AG33" s="85" t="s">
        <v>871</v>
      </c>
      <c r="AH33" s="80" t="b">
        <v>0</v>
      </c>
      <c r="AI33" s="80" t="s">
        <v>881</v>
      </c>
      <c r="AJ33" s="80"/>
      <c r="AK33" s="85" t="s">
        <v>871</v>
      </c>
      <c r="AL33" s="80" t="b">
        <v>0</v>
      </c>
      <c r="AM33" s="80">
        <v>1</v>
      </c>
      <c r="AN33" s="85" t="s">
        <v>719</v>
      </c>
      <c r="AO33" s="85" t="s">
        <v>889</v>
      </c>
      <c r="AP33" s="80" t="b">
        <v>0</v>
      </c>
      <c r="AQ33" s="85" t="s">
        <v>719</v>
      </c>
      <c r="AR33" s="80" t="s">
        <v>178</v>
      </c>
      <c r="AS33" s="80">
        <v>0</v>
      </c>
      <c r="AT33" s="80">
        <v>0</v>
      </c>
      <c r="AU33" s="80"/>
      <c r="AV33" s="80"/>
      <c r="AW33" s="80"/>
      <c r="AX33" s="80"/>
      <c r="AY33" s="80"/>
      <c r="AZ33" s="80"/>
      <c r="BA33" s="80"/>
      <c r="BB33" s="80"/>
      <c r="BC33">
        <v>1</v>
      </c>
      <c r="BD33" s="79" t="str">
        <f>REPLACE(INDEX(GroupVertices[Group],MATCH(Edges35[[#This Row],[Vertex 1]],GroupVertices[Vertex],0)),1,1,"")</f>
        <v>13</v>
      </c>
      <c r="BE33" s="79" t="str">
        <f>REPLACE(INDEX(GroupVertices[Group],MATCH(Edges35[[#This Row],[Vertex 2]],GroupVertices[Vertex],0)),1,1,"")</f>
        <v>13</v>
      </c>
      <c r="BF33" s="49"/>
      <c r="BG33" s="50"/>
      <c r="BH33" s="49"/>
      <c r="BI33" s="50"/>
      <c r="BJ33" s="49"/>
      <c r="BK33" s="50"/>
      <c r="BL33" s="49"/>
      <c r="BM33" s="50"/>
      <c r="BN33" s="49"/>
    </row>
    <row r="34" spans="1:66" ht="15">
      <c r="A34" s="65" t="s">
        <v>244</v>
      </c>
      <c r="B34" s="65" t="s">
        <v>362</v>
      </c>
      <c r="C34" s="66" t="s">
        <v>2647</v>
      </c>
      <c r="D34" s="67">
        <v>5</v>
      </c>
      <c r="E34" s="68"/>
      <c r="F34" s="69">
        <v>40</v>
      </c>
      <c r="G34" s="66"/>
      <c r="H34" s="70"/>
      <c r="I34" s="71"/>
      <c r="J34" s="71"/>
      <c r="K34" s="35" t="s">
        <v>65</v>
      </c>
      <c r="L34" s="78">
        <v>61</v>
      </c>
      <c r="M34" s="78"/>
      <c r="N34" s="73"/>
      <c r="O34" s="80" t="s">
        <v>384</v>
      </c>
      <c r="P34" s="82">
        <v>44451.63564814815</v>
      </c>
      <c r="Q34" s="80" t="s">
        <v>402</v>
      </c>
      <c r="R34" s="83" t="str">
        <f>HYPERLINK("https://piedepagina.mx/tapachula-la-ciudad-prision/")</f>
        <v>https://piedepagina.mx/tapachula-la-ciudad-prision/</v>
      </c>
      <c r="S34" s="80" t="s">
        <v>457</v>
      </c>
      <c r="T34" s="85" t="s">
        <v>481</v>
      </c>
      <c r="U34" s="80"/>
      <c r="V34" s="83" t="str">
        <f>HYPERLINK("https://pbs.twimg.com/profile_images/1109290763538567169/aK6umQ7B_normal.png")</f>
        <v>https://pbs.twimg.com/profile_images/1109290763538567169/aK6umQ7B_normal.png</v>
      </c>
      <c r="W34" s="82">
        <v>44451.63564814815</v>
      </c>
      <c r="X34" s="88">
        <v>44451</v>
      </c>
      <c r="Y34" s="85" t="s">
        <v>548</v>
      </c>
      <c r="Z34" s="83" t="str">
        <f>HYPERLINK("https://twitter.com/pdpagina/status/1437072342056935430")</f>
        <v>https://twitter.com/pdpagina/status/1437072342056935430</v>
      </c>
      <c r="AA34" s="80"/>
      <c r="AB34" s="80"/>
      <c r="AC34" s="85" t="s">
        <v>721</v>
      </c>
      <c r="AD34" s="85" t="s">
        <v>865</v>
      </c>
      <c r="AE34" s="80" t="b">
        <v>0</v>
      </c>
      <c r="AF34" s="80">
        <v>9</v>
      </c>
      <c r="AG34" s="85" t="s">
        <v>873</v>
      </c>
      <c r="AH34" s="80" t="b">
        <v>0</v>
      </c>
      <c r="AI34" s="80" t="s">
        <v>882</v>
      </c>
      <c r="AJ34" s="80"/>
      <c r="AK34" s="85" t="s">
        <v>871</v>
      </c>
      <c r="AL34" s="80" t="b">
        <v>0</v>
      </c>
      <c r="AM34" s="80">
        <v>1</v>
      </c>
      <c r="AN34" s="85" t="s">
        <v>871</v>
      </c>
      <c r="AO34" s="85" t="s">
        <v>893</v>
      </c>
      <c r="AP34" s="80" t="b">
        <v>0</v>
      </c>
      <c r="AQ34" s="85" t="s">
        <v>865</v>
      </c>
      <c r="AR34" s="80" t="s">
        <v>383</v>
      </c>
      <c r="AS34" s="80">
        <v>0</v>
      </c>
      <c r="AT34" s="80">
        <v>0</v>
      </c>
      <c r="AU34" s="80"/>
      <c r="AV34" s="80"/>
      <c r="AW34" s="80"/>
      <c r="AX34" s="80"/>
      <c r="AY34" s="80"/>
      <c r="AZ34" s="80"/>
      <c r="BA34" s="80"/>
      <c r="BB34" s="80"/>
      <c r="BC34">
        <v>1</v>
      </c>
      <c r="BD34" s="79" t="str">
        <f>REPLACE(INDEX(GroupVertices[Group],MATCH(Edges35[[#This Row],[Vertex 1]],GroupVertices[Vertex],0)),1,1,"")</f>
        <v>5</v>
      </c>
      <c r="BE34" s="79" t="str">
        <f>REPLACE(INDEX(GroupVertices[Group],MATCH(Edges35[[#This Row],[Vertex 2]],GroupVertices[Vertex],0)),1,1,"")</f>
        <v>5</v>
      </c>
      <c r="BF34" s="49"/>
      <c r="BG34" s="50"/>
      <c r="BH34" s="49"/>
      <c r="BI34" s="50"/>
      <c r="BJ34" s="49"/>
      <c r="BK34" s="50"/>
      <c r="BL34" s="49"/>
      <c r="BM34" s="50"/>
      <c r="BN34" s="49"/>
    </row>
    <row r="35" spans="1:66" ht="15">
      <c r="A35" s="65" t="s">
        <v>245</v>
      </c>
      <c r="B35" s="65" t="s">
        <v>362</v>
      </c>
      <c r="C35" s="66" t="s">
        <v>2647</v>
      </c>
      <c r="D35" s="67">
        <v>5</v>
      </c>
      <c r="E35" s="68"/>
      <c r="F35" s="69">
        <v>40</v>
      </c>
      <c r="G35" s="66"/>
      <c r="H35" s="70"/>
      <c r="I35" s="71"/>
      <c r="J35" s="71"/>
      <c r="K35" s="35" t="s">
        <v>65</v>
      </c>
      <c r="L35" s="78">
        <v>62</v>
      </c>
      <c r="M35" s="78"/>
      <c r="N35" s="73"/>
      <c r="O35" s="80" t="s">
        <v>382</v>
      </c>
      <c r="P35" s="82">
        <v>44457.77077546297</v>
      </c>
      <c r="Q35" s="80" t="s">
        <v>402</v>
      </c>
      <c r="R35" s="83" t="str">
        <f>HYPERLINK("https://piedepagina.mx/tapachula-la-ciudad-prision/")</f>
        <v>https://piedepagina.mx/tapachula-la-ciudad-prision/</v>
      </c>
      <c r="S35" s="80" t="s">
        <v>457</v>
      </c>
      <c r="T35" s="85" t="s">
        <v>481</v>
      </c>
      <c r="U35" s="80"/>
      <c r="V35" s="83" t="str">
        <f>HYPERLINK("https://pbs.twimg.com/profile_images/1136554139/dissonanze_rimabud_normal.jpg")</f>
        <v>https://pbs.twimg.com/profile_images/1136554139/dissonanze_rimabud_normal.jpg</v>
      </c>
      <c r="W35" s="82">
        <v>44457.77077546297</v>
      </c>
      <c r="X35" s="88">
        <v>44457</v>
      </c>
      <c r="Y35" s="85" t="s">
        <v>549</v>
      </c>
      <c r="Z35" s="83" t="str">
        <f>HYPERLINK("https://twitter.com/pepepareja/status/1439295636759883777")</f>
        <v>https://twitter.com/pepepareja/status/1439295636759883777</v>
      </c>
      <c r="AA35" s="80"/>
      <c r="AB35" s="80"/>
      <c r="AC35" s="85" t="s">
        <v>722</v>
      </c>
      <c r="AD35" s="80"/>
      <c r="AE35" s="80" t="b">
        <v>0</v>
      </c>
      <c r="AF35" s="80">
        <v>0</v>
      </c>
      <c r="AG35" s="85" t="s">
        <v>871</v>
      </c>
      <c r="AH35" s="80" t="b">
        <v>0</v>
      </c>
      <c r="AI35" s="80" t="s">
        <v>882</v>
      </c>
      <c r="AJ35" s="80"/>
      <c r="AK35" s="85" t="s">
        <v>871</v>
      </c>
      <c r="AL35" s="80" t="b">
        <v>0</v>
      </c>
      <c r="AM35" s="80">
        <v>1</v>
      </c>
      <c r="AN35" s="85" t="s">
        <v>721</v>
      </c>
      <c r="AO35" s="85" t="s">
        <v>889</v>
      </c>
      <c r="AP35" s="80" t="b">
        <v>0</v>
      </c>
      <c r="AQ35" s="85" t="s">
        <v>721</v>
      </c>
      <c r="AR35" s="80" t="s">
        <v>178</v>
      </c>
      <c r="AS35" s="80">
        <v>0</v>
      </c>
      <c r="AT35" s="80">
        <v>0</v>
      </c>
      <c r="AU35" s="80"/>
      <c r="AV35" s="80"/>
      <c r="AW35" s="80"/>
      <c r="AX35" s="80"/>
      <c r="AY35" s="80"/>
      <c r="AZ35" s="80"/>
      <c r="BA35" s="80"/>
      <c r="BB35" s="80"/>
      <c r="BC35">
        <v>1</v>
      </c>
      <c r="BD35" s="79" t="str">
        <f>REPLACE(INDEX(GroupVertices[Group],MATCH(Edges35[[#This Row],[Vertex 1]],GroupVertices[Vertex],0)),1,1,"")</f>
        <v>5</v>
      </c>
      <c r="BE35" s="79" t="str">
        <f>REPLACE(INDEX(GroupVertices[Group],MATCH(Edges35[[#This Row],[Vertex 2]],GroupVertices[Vertex],0)),1,1,"")</f>
        <v>5</v>
      </c>
      <c r="BF35" s="49"/>
      <c r="BG35" s="50"/>
      <c r="BH35" s="49"/>
      <c r="BI35" s="50"/>
      <c r="BJ35" s="49"/>
      <c r="BK35" s="50"/>
      <c r="BL35" s="49"/>
      <c r="BM35" s="50"/>
      <c r="BN35" s="49"/>
    </row>
    <row r="36" spans="1:66" ht="15">
      <c r="A36" s="65" t="s">
        <v>246</v>
      </c>
      <c r="B36" s="65" t="s">
        <v>246</v>
      </c>
      <c r="C36" s="66" t="s">
        <v>2647</v>
      </c>
      <c r="D36" s="67">
        <v>5</v>
      </c>
      <c r="E36" s="68"/>
      <c r="F36" s="69">
        <v>40</v>
      </c>
      <c r="G36" s="66"/>
      <c r="H36" s="70"/>
      <c r="I36" s="71"/>
      <c r="J36" s="71"/>
      <c r="K36" s="35" t="s">
        <v>65</v>
      </c>
      <c r="L36" s="78">
        <v>65</v>
      </c>
      <c r="M36" s="78"/>
      <c r="N36" s="73"/>
      <c r="O36" s="80" t="s">
        <v>178</v>
      </c>
      <c r="P36" s="82">
        <v>44451.180972222224</v>
      </c>
      <c r="Q36" s="80" t="s">
        <v>403</v>
      </c>
      <c r="R36" s="80"/>
      <c r="S36" s="80"/>
      <c r="T36" s="85" t="s">
        <v>482</v>
      </c>
      <c r="U36" s="83" t="str">
        <f>HYPERLINK("https://pbs.twimg.com/ext_tw_video_thumb/1436907039775657985/pu/img/4JkMcfWlp9SQde_7.jpg")</f>
        <v>https://pbs.twimg.com/ext_tw_video_thumb/1436907039775657985/pu/img/4JkMcfWlp9SQde_7.jpg</v>
      </c>
      <c r="V36" s="83" t="str">
        <f>HYPERLINK("https://pbs.twimg.com/ext_tw_video_thumb/1436907039775657985/pu/img/4JkMcfWlp9SQde_7.jpg")</f>
        <v>https://pbs.twimg.com/ext_tw_video_thumb/1436907039775657985/pu/img/4JkMcfWlp9SQde_7.jpg</v>
      </c>
      <c r="W36" s="82">
        <v>44451.180972222224</v>
      </c>
      <c r="X36" s="88">
        <v>44451</v>
      </c>
      <c r="Y36" s="85" t="s">
        <v>550</v>
      </c>
      <c r="Z36" s="83" t="str">
        <f>HYPERLINK("https://twitter.com/isain/status/1436907573949706240")</f>
        <v>https://twitter.com/isain/status/1436907573949706240</v>
      </c>
      <c r="AA36" s="80"/>
      <c r="AB36" s="80"/>
      <c r="AC36" s="85" t="s">
        <v>723</v>
      </c>
      <c r="AD36" s="80"/>
      <c r="AE36" s="80" t="b">
        <v>0</v>
      </c>
      <c r="AF36" s="80">
        <v>5</v>
      </c>
      <c r="AG36" s="85" t="s">
        <v>871</v>
      </c>
      <c r="AH36" s="80" t="b">
        <v>0</v>
      </c>
      <c r="AI36" s="80" t="s">
        <v>884</v>
      </c>
      <c r="AJ36" s="80"/>
      <c r="AK36" s="85" t="s">
        <v>871</v>
      </c>
      <c r="AL36" s="80" t="b">
        <v>0</v>
      </c>
      <c r="AM36" s="80">
        <v>8</v>
      </c>
      <c r="AN36" s="85" t="s">
        <v>871</v>
      </c>
      <c r="AO36" s="85" t="s">
        <v>890</v>
      </c>
      <c r="AP36" s="80" t="b">
        <v>0</v>
      </c>
      <c r="AQ36" s="85" t="s">
        <v>723</v>
      </c>
      <c r="AR36" s="80" t="s">
        <v>383</v>
      </c>
      <c r="AS36" s="80">
        <v>0</v>
      </c>
      <c r="AT36" s="80">
        <v>0</v>
      </c>
      <c r="AU36" s="80" t="s">
        <v>898</v>
      </c>
      <c r="AV36" s="80" t="s">
        <v>899</v>
      </c>
      <c r="AW36" s="80" t="s">
        <v>900</v>
      </c>
      <c r="AX36" s="80" t="s">
        <v>902</v>
      </c>
      <c r="AY36" s="80" t="s">
        <v>904</v>
      </c>
      <c r="AZ36" s="80" t="s">
        <v>906</v>
      </c>
      <c r="BA36" s="80" t="s">
        <v>907</v>
      </c>
      <c r="BB36" s="83" t="str">
        <f>HYPERLINK("https://api.twitter.com/1.1/geo/id/b462c87ea2b4ff26.json")</f>
        <v>https://api.twitter.com/1.1/geo/id/b462c87ea2b4ff26.json</v>
      </c>
      <c r="BC36">
        <v>1</v>
      </c>
      <c r="BD36" s="79" t="str">
        <f>REPLACE(INDEX(GroupVertices[Group],MATCH(Edges35[[#This Row],[Vertex 1]],GroupVertices[Vertex],0)),1,1,"")</f>
        <v>5</v>
      </c>
      <c r="BE36" s="79" t="str">
        <f>REPLACE(INDEX(GroupVertices[Group],MATCH(Edges35[[#This Row],[Vertex 2]],GroupVertices[Vertex],0)),1,1,"")</f>
        <v>5</v>
      </c>
      <c r="BF36" s="49">
        <v>0</v>
      </c>
      <c r="BG36" s="50">
        <v>0</v>
      </c>
      <c r="BH36" s="49">
        <v>0</v>
      </c>
      <c r="BI36" s="50">
        <v>0</v>
      </c>
      <c r="BJ36" s="49">
        <v>0</v>
      </c>
      <c r="BK36" s="50">
        <v>0</v>
      </c>
      <c r="BL36" s="49">
        <v>7</v>
      </c>
      <c r="BM36" s="50">
        <v>100</v>
      </c>
      <c r="BN36" s="49">
        <v>7</v>
      </c>
    </row>
    <row r="37" spans="1:66" ht="15">
      <c r="A37" s="65" t="s">
        <v>245</v>
      </c>
      <c r="B37" s="65" t="s">
        <v>246</v>
      </c>
      <c r="C37" s="66" t="s">
        <v>2647</v>
      </c>
      <c r="D37" s="67">
        <v>5</v>
      </c>
      <c r="E37" s="68"/>
      <c r="F37" s="69">
        <v>40</v>
      </c>
      <c r="G37" s="66"/>
      <c r="H37" s="70"/>
      <c r="I37" s="71"/>
      <c r="J37" s="71"/>
      <c r="K37" s="35" t="s">
        <v>65</v>
      </c>
      <c r="L37" s="78">
        <v>66</v>
      </c>
      <c r="M37" s="78"/>
      <c r="N37" s="73"/>
      <c r="O37" s="80" t="s">
        <v>383</v>
      </c>
      <c r="P37" s="82">
        <v>44457.77085648148</v>
      </c>
      <c r="Q37" s="80" t="s">
        <v>403</v>
      </c>
      <c r="R37" s="80"/>
      <c r="S37" s="80"/>
      <c r="T37" s="85" t="s">
        <v>482</v>
      </c>
      <c r="U37" s="83" t="str">
        <f>HYPERLINK("https://pbs.twimg.com/ext_tw_video_thumb/1436907039775657985/pu/img/4JkMcfWlp9SQde_7.jpg")</f>
        <v>https://pbs.twimg.com/ext_tw_video_thumb/1436907039775657985/pu/img/4JkMcfWlp9SQde_7.jpg</v>
      </c>
      <c r="V37" s="83" t="str">
        <f>HYPERLINK("https://pbs.twimg.com/ext_tw_video_thumb/1436907039775657985/pu/img/4JkMcfWlp9SQde_7.jpg")</f>
        <v>https://pbs.twimg.com/ext_tw_video_thumb/1436907039775657985/pu/img/4JkMcfWlp9SQde_7.jpg</v>
      </c>
      <c r="W37" s="82">
        <v>44457.77085648148</v>
      </c>
      <c r="X37" s="88">
        <v>44457</v>
      </c>
      <c r="Y37" s="85" t="s">
        <v>551</v>
      </c>
      <c r="Z37" s="83" t="str">
        <f>HYPERLINK("https://twitter.com/pepepareja/status/1439295666082271238")</f>
        <v>https://twitter.com/pepepareja/status/1439295666082271238</v>
      </c>
      <c r="AA37" s="80"/>
      <c r="AB37" s="80"/>
      <c r="AC37" s="85" t="s">
        <v>724</v>
      </c>
      <c r="AD37" s="80"/>
      <c r="AE37" s="80" t="b">
        <v>0</v>
      </c>
      <c r="AF37" s="80">
        <v>0</v>
      </c>
      <c r="AG37" s="85" t="s">
        <v>871</v>
      </c>
      <c r="AH37" s="80" t="b">
        <v>0</v>
      </c>
      <c r="AI37" s="80" t="s">
        <v>884</v>
      </c>
      <c r="AJ37" s="80"/>
      <c r="AK37" s="85" t="s">
        <v>871</v>
      </c>
      <c r="AL37" s="80" t="b">
        <v>0</v>
      </c>
      <c r="AM37" s="80">
        <v>8</v>
      </c>
      <c r="AN37" s="85" t="s">
        <v>723</v>
      </c>
      <c r="AO37" s="85" t="s">
        <v>889</v>
      </c>
      <c r="AP37" s="80" t="b">
        <v>0</v>
      </c>
      <c r="AQ37" s="85" t="s">
        <v>723</v>
      </c>
      <c r="AR37" s="80" t="s">
        <v>178</v>
      </c>
      <c r="AS37" s="80">
        <v>0</v>
      </c>
      <c r="AT37" s="80">
        <v>0</v>
      </c>
      <c r="AU37" s="80"/>
      <c r="AV37" s="80"/>
      <c r="AW37" s="80"/>
      <c r="AX37" s="80"/>
      <c r="AY37" s="80"/>
      <c r="AZ37" s="80"/>
      <c r="BA37" s="80"/>
      <c r="BB37" s="80"/>
      <c r="BC37">
        <v>1</v>
      </c>
      <c r="BD37" s="79" t="str">
        <f>REPLACE(INDEX(GroupVertices[Group],MATCH(Edges35[[#This Row],[Vertex 1]],GroupVertices[Vertex],0)),1,1,"")</f>
        <v>5</v>
      </c>
      <c r="BE37" s="79" t="str">
        <f>REPLACE(INDEX(GroupVertices[Group],MATCH(Edges35[[#This Row],[Vertex 2]],GroupVertices[Vertex],0)),1,1,"")</f>
        <v>5</v>
      </c>
      <c r="BF37" s="49">
        <v>0</v>
      </c>
      <c r="BG37" s="50">
        <v>0</v>
      </c>
      <c r="BH37" s="49">
        <v>0</v>
      </c>
      <c r="BI37" s="50">
        <v>0</v>
      </c>
      <c r="BJ37" s="49">
        <v>0</v>
      </c>
      <c r="BK37" s="50">
        <v>0</v>
      </c>
      <c r="BL37" s="49">
        <v>7</v>
      </c>
      <c r="BM37" s="50">
        <v>100</v>
      </c>
      <c r="BN37" s="49">
        <v>7</v>
      </c>
    </row>
    <row r="38" spans="1:66" ht="15">
      <c r="A38" s="65" t="s">
        <v>247</v>
      </c>
      <c r="B38" s="65" t="s">
        <v>364</v>
      </c>
      <c r="C38" s="66" t="s">
        <v>2647</v>
      </c>
      <c r="D38" s="67">
        <v>5</v>
      </c>
      <c r="E38" s="68"/>
      <c r="F38" s="69">
        <v>40</v>
      </c>
      <c r="G38" s="66"/>
      <c r="H38" s="70"/>
      <c r="I38" s="71"/>
      <c r="J38" s="71"/>
      <c r="K38" s="35" t="s">
        <v>65</v>
      </c>
      <c r="L38" s="78">
        <v>68</v>
      </c>
      <c r="M38" s="78"/>
      <c r="N38" s="73"/>
      <c r="O38" s="80" t="s">
        <v>384</v>
      </c>
      <c r="P38" s="82">
        <v>44457.87642361111</v>
      </c>
      <c r="Q38" s="80" t="s">
        <v>404</v>
      </c>
      <c r="R38" s="83" t="str">
        <f>HYPERLINK("https://www.youtube.com/watch?v=abKSyMU9OvY&amp;feature=youtu.be")</f>
        <v>https://www.youtube.com/watch?v=abKSyMU9OvY&amp;feature=youtu.be</v>
      </c>
      <c r="S38" s="80" t="s">
        <v>458</v>
      </c>
      <c r="T38" s="85" t="s">
        <v>483</v>
      </c>
      <c r="U38" s="80"/>
      <c r="V38" s="83" t="str">
        <f>HYPERLINK("https://pbs.twimg.com/profile_images/827173674352418816/dx9M0uxU_normal.jpg")</f>
        <v>https://pbs.twimg.com/profile_images/827173674352418816/dx9M0uxU_normal.jpg</v>
      </c>
      <c r="W38" s="82">
        <v>44457.87642361111</v>
      </c>
      <c r="X38" s="88">
        <v>44457</v>
      </c>
      <c r="Y38" s="85" t="s">
        <v>552</v>
      </c>
      <c r="Z38" s="83" t="str">
        <f>HYPERLINK("https://twitter.com/dalealplaymx/status/1439333923004223491")</f>
        <v>https://twitter.com/dalealplaymx/status/1439333923004223491</v>
      </c>
      <c r="AA38" s="80"/>
      <c r="AB38" s="80"/>
      <c r="AC38" s="85" t="s">
        <v>725</v>
      </c>
      <c r="AD38" s="80"/>
      <c r="AE38" s="80" t="b">
        <v>0</v>
      </c>
      <c r="AF38" s="80">
        <v>0</v>
      </c>
      <c r="AG38" s="85" t="s">
        <v>871</v>
      </c>
      <c r="AH38" s="80" t="b">
        <v>0</v>
      </c>
      <c r="AI38" s="80" t="s">
        <v>882</v>
      </c>
      <c r="AJ38" s="80"/>
      <c r="AK38" s="85" t="s">
        <v>871</v>
      </c>
      <c r="AL38" s="80" t="b">
        <v>0</v>
      </c>
      <c r="AM38" s="80">
        <v>0</v>
      </c>
      <c r="AN38" s="85" t="s">
        <v>871</v>
      </c>
      <c r="AO38" s="85" t="s">
        <v>891</v>
      </c>
      <c r="AP38" s="80" t="b">
        <v>0</v>
      </c>
      <c r="AQ38" s="85" t="s">
        <v>725</v>
      </c>
      <c r="AR38" s="80" t="s">
        <v>178</v>
      </c>
      <c r="AS38" s="80">
        <v>0</v>
      </c>
      <c r="AT38" s="80">
        <v>0</v>
      </c>
      <c r="AU38" s="80"/>
      <c r="AV38" s="80"/>
      <c r="AW38" s="80"/>
      <c r="AX38" s="80"/>
      <c r="AY38" s="80"/>
      <c r="AZ38" s="80"/>
      <c r="BA38" s="80"/>
      <c r="BB38" s="80"/>
      <c r="BC38">
        <v>1</v>
      </c>
      <c r="BD38" s="79" t="str">
        <f>REPLACE(INDEX(GroupVertices[Group],MATCH(Edges35[[#This Row],[Vertex 1]],GroupVertices[Vertex],0)),1,1,"")</f>
        <v>24</v>
      </c>
      <c r="BE38" s="79" t="str">
        <f>REPLACE(INDEX(GroupVertices[Group],MATCH(Edges35[[#This Row],[Vertex 2]],GroupVertices[Vertex],0)),1,1,"")</f>
        <v>24</v>
      </c>
      <c r="BF38" s="49">
        <v>0</v>
      </c>
      <c r="BG38" s="50">
        <v>0</v>
      </c>
      <c r="BH38" s="49">
        <v>0</v>
      </c>
      <c r="BI38" s="50">
        <v>0</v>
      </c>
      <c r="BJ38" s="49">
        <v>0</v>
      </c>
      <c r="BK38" s="50">
        <v>0</v>
      </c>
      <c r="BL38" s="49">
        <v>20</v>
      </c>
      <c r="BM38" s="50">
        <v>100</v>
      </c>
      <c r="BN38" s="49">
        <v>20</v>
      </c>
    </row>
    <row r="39" spans="1:66" ht="15">
      <c r="A39" s="65" t="s">
        <v>248</v>
      </c>
      <c r="B39" s="65" t="s">
        <v>365</v>
      </c>
      <c r="C39" s="66" t="s">
        <v>2648</v>
      </c>
      <c r="D39" s="67">
        <v>10</v>
      </c>
      <c r="E39" s="68"/>
      <c r="F39" s="69">
        <v>20</v>
      </c>
      <c r="G39" s="66"/>
      <c r="H39" s="70"/>
      <c r="I39" s="71"/>
      <c r="J39" s="71"/>
      <c r="K39" s="35" t="s">
        <v>65</v>
      </c>
      <c r="L39" s="78">
        <v>69</v>
      </c>
      <c r="M39" s="78"/>
      <c r="N39" s="73"/>
      <c r="O39" s="80" t="s">
        <v>384</v>
      </c>
      <c r="P39" s="82">
        <v>44457.85769675926</v>
      </c>
      <c r="Q39" s="80" t="s">
        <v>405</v>
      </c>
      <c r="R39" s="83" t="str">
        <f>HYPERLINK("https://quintanaroo.quadratin.com.mx/agentes-del-inm-disparan-pistola-electrica-contra-haitiano-en-veracruz/")</f>
        <v>https://quintanaroo.quadratin.com.mx/agentes-del-inm-disparan-pistola-electrica-contra-haitiano-en-veracruz/</v>
      </c>
      <c r="S39" s="80" t="s">
        <v>451</v>
      </c>
      <c r="T39" s="85" t="s">
        <v>484</v>
      </c>
      <c r="U39" s="80"/>
      <c r="V39" s="83" t="str">
        <f>HYPERLINK("https://pbs.twimg.com/profile_images/825813643883401217/e4e_ZHoq_normal.jpg")</f>
        <v>https://pbs.twimg.com/profile_images/825813643883401217/e4e_ZHoq_normal.jpg</v>
      </c>
      <c r="W39" s="82">
        <v>44457.85769675926</v>
      </c>
      <c r="X39" s="88">
        <v>44457</v>
      </c>
      <c r="Y39" s="85" t="s">
        <v>553</v>
      </c>
      <c r="Z39" s="83" t="str">
        <f>HYPERLINK("https://twitter.com/foforo99/status/1439327136096169987")</f>
        <v>https://twitter.com/foforo99/status/1439327136096169987</v>
      </c>
      <c r="AA39" s="80"/>
      <c r="AB39" s="80"/>
      <c r="AC39" s="85" t="s">
        <v>726</v>
      </c>
      <c r="AD39" s="80"/>
      <c r="AE39" s="80" t="b">
        <v>0</v>
      </c>
      <c r="AF39" s="80">
        <v>0</v>
      </c>
      <c r="AG39" s="85" t="s">
        <v>871</v>
      </c>
      <c r="AH39" s="80" t="b">
        <v>0</v>
      </c>
      <c r="AI39" s="80" t="s">
        <v>882</v>
      </c>
      <c r="AJ39" s="80"/>
      <c r="AK39" s="85" t="s">
        <v>871</v>
      </c>
      <c r="AL39" s="80" t="b">
        <v>0</v>
      </c>
      <c r="AM39" s="80">
        <v>1</v>
      </c>
      <c r="AN39" s="85" t="s">
        <v>871</v>
      </c>
      <c r="AO39" s="85" t="s">
        <v>889</v>
      </c>
      <c r="AP39" s="80" t="b">
        <v>0</v>
      </c>
      <c r="AQ39" s="85" t="s">
        <v>726</v>
      </c>
      <c r="AR39" s="80" t="s">
        <v>178</v>
      </c>
      <c r="AS39" s="80">
        <v>0</v>
      </c>
      <c r="AT39" s="80">
        <v>0</v>
      </c>
      <c r="AU39" s="80"/>
      <c r="AV39" s="80"/>
      <c r="AW39" s="80"/>
      <c r="AX39" s="80"/>
      <c r="AY39" s="80"/>
      <c r="AZ39" s="80"/>
      <c r="BA39" s="80"/>
      <c r="BB39" s="80"/>
      <c r="BC39">
        <v>4</v>
      </c>
      <c r="BD39" s="79" t="str">
        <f>REPLACE(INDEX(GroupVertices[Group],MATCH(Edges35[[#This Row],[Vertex 1]],GroupVertices[Vertex],0)),1,1,"")</f>
        <v>12</v>
      </c>
      <c r="BE39" s="79" t="str">
        <f>REPLACE(INDEX(GroupVertices[Group],MATCH(Edges35[[#This Row],[Vertex 2]],GroupVertices[Vertex],0)),1,1,"")</f>
        <v>12</v>
      </c>
      <c r="BF39" s="49"/>
      <c r="BG39" s="50"/>
      <c r="BH39" s="49"/>
      <c r="BI39" s="50"/>
      <c r="BJ39" s="49"/>
      <c r="BK39" s="50"/>
      <c r="BL39" s="49"/>
      <c r="BM39" s="50"/>
      <c r="BN39" s="49"/>
    </row>
    <row r="40" spans="1:66" ht="15">
      <c r="A40" s="65" t="s">
        <v>248</v>
      </c>
      <c r="B40" s="65" t="s">
        <v>365</v>
      </c>
      <c r="C40" s="66" t="s">
        <v>2648</v>
      </c>
      <c r="D40" s="67">
        <v>10</v>
      </c>
      <c r="E40" s="68"/>
      <c r="F40" s="69">
        <v>20</v>
      </c>
      <c r="G40" s="66"/>
      <c r="H40" s="70"/>
      <c r="I40" s="71"/>
      <c r="J40" s="71"/>
      <c r="K40" s="35" t="s">
        <v>65</v>
      </c>
      <c r="L40" s="78">
        <v>70</v>
      </c>
      <c r="M40" s="78"/>
      <c r="N40" s="73"/>
      <c r="O40" s="80" t="s">
        <v>382</v>
      </c>
      <c r="P40" s="82">
        <v>44457.95695601852</v>
      </c>
      <c r="Q40" s="80" t="s">
        <v>405</v>
      </c>
      <c r="R40" s="83" t="str">
        <f>HYPERLINK("https://quintanaroo.quadratin.com.mx/agentes-del-inm-disparan-pistola-electrica-contra-haitiano-en-veracruz/")</f>
        <v>https://quintanaroo.quadratin.com.mx/agentes-del-inm-disparan-pistola-electrica-contra-haitiano-en-veracruz/</v>
      </c>
      <c r="S40" s="80" t="s">
        <v>451</v>
      </c>
      <c r="T40" s="85" t="s">
        <v>484</v>
      </c>
      <c r="U40" s="80"/>
      <c r="V40" s="83" t="str">
        <f>HYPERLINK("https://pbs.twimg.com/profile_images/825813643883401217/e4e_ZHoq_normal.jpg")</f>
        <v>https://pbs.twimg.com/profile_images/825813643883401217/e4e_ZHoq_normal.jpg</v>
      </c>
      <c r="W40" s="82">
        <v>44457.95695601852</v>
      </c>
      <c r="X40" s="88">
        <v>44457</v>
      </c>
      <c r="Y40" s="85" t="s">
        <v>554</v>
      </c>
      <c r="Z40" s="83" t="str">
        <f>HYPERLINK("https://twitter.com/foforo99/status/1439363109328769028")</f>
        <v>https://twitter.com/foforo99/status/1439363109328769028</v>
      </c>
      <c r="AA40" s="80"/>
      <c r="AB40" s="80"/>
      <c r="AC40" s="85" t="s">
        <v>727</v>
      </c>
      <c r="AD40" s="80"/>
      <c r="AE40" s="80" t="b">
        <v>0</v>
      </c>
      <c r="AF40" s="80">
        <v>0</v>
      </c>
      <c r="AG40" s="85" t="s">
        <v>871</v>
      </c>
      <c r="AH40" s="80" t="b">
        <v>0</v>
      </c>
      <c r="AI40" s="80" t="s">
        <v>882</v>
      </c>
      <c r="AJ40" s="80"/>
      <c r="AK40" s="85" t="s">
        <v>871</v>
      </c>
      <c r="AL40" s="80" t="b">
        <v>0</v>
      </c>
      <c r="AM40" s="80">
        <v>1</v>
      </c>
      <c r="AN40" s="85" t="s">
        <v>726</v>
      </c>
      <c r="AO40" s="85" t="s">
        <v>889</v>
      </c>
      <c r="AP40" s="80" t="b">
        <v>0</v>
      </c>
      <c r="AQ40" s="85" t="s">
        <v>726</v>
      </c>
      <c r="AR40" s="80" t="s">
        <v>178</v>
      </c>
      <c r="AS40" s="80">
        <v>0</v>
      </c>
      <c r="AT40" s="80">
        <v>0</v>
      </c>
      <c r="AU40" s="80"/>
      <c r="AV40" s="80"/>
      <c r="AW40" s="80"/>
      <c r="AX40" s="80"/>
      <c r="AY40" s="80"/>
      <c r="AZ40" s="80"/>
      <c r="BA40" s="80"/>
      <c r="BB40" s="80"/>
      <c r="BC40">
        <v>4</v>
      </c>
      <c r="BD40" s="79" t="str">
        <f>REPLACE(INDEX(GroupVertices[Group],MATCH(Edges35[[#This Row],[Vertex 1]],GroupVertices[Vertex],0)),1,1,"")</f>
        <v>12</v>
      </c>
      <c r="BE40" s="79" t="str">
        <f>REPLACE(INDEX(GroupVertices[Group],MATCH(Edges35[[#This Row],[Vertex 2]],GroupVertices[Vertex],0)),1,1,"")</f>
        <v>12</v>
      </c>
      <c r="BF40" s="49"/>
      <c r="BG40" s="50"/>
      <c r="BH40" s="49"/>
      <c r="BI40" s="50"/>
      <c r="BJ40" s="49"/>
      <c r="BK40" s="50"/>
      <c r="BL40" s="49"/>
      <c r="BM40" s="50"/>
      <c r="BN40" s="49"/>
    </row>
    <row r="41" spans="1:66" ht="15">
      <c r="A41" s="65" t="s">
        <v>249</v>
      </c>
      <c r="B41" s="65" t="s">
        <v>269</v>
      </c>
      <c r="C41" s="66" t="s">
        <v>2648</v>
      </c>
      <c r="D41" s="67">
        <v>10</v>
      </c>
      <c r="E41" s="68"/>
      <c r="F41" s="69">
        <v>20</v>
      </c>
      <c r="G41" s="66"/>
      <c r="H41" s="70"/>
      <c r="I41" s="71"/>
      <c r="J41" s="71"/>
      <c r="K41" s="35" t="s">
        <v>65</v>
      </c>
      <c r="L41" s="78">
        <v>78</v>
      </c>
      <c r="M41" s="78"/>
      <c r="N41" s="73"/>
      <c r="O41" s="80" t="s">
        <v>383</v>
      </c>
      <c r="P41" s="82">
        <v>44456.53628472222</v>
      </c>
      <c r="Q41" s="80" t="s">
        <v>389</v>
      </c>
      <c r="R41" s="83" t="str">
        <f>HYPERLINK("https://www.diariodelsur.com.mx/local/activa-guardia-nacional-busqueda-de-migrantes-en-taxis-7222717.html")</f>
        <v>https://www.diariodelsur.com.mx/local/activa-guardia-nacional-busqueda-de-migrantes-en-taxis-7222717.html</v>
      </c>
      <c r="S41" s="80" t="s">
        <v>451</v>
      </c>
      <c r="T41" s="85" t="s">
        <v>470</v>
      </c>
      <c r="U41" s="80"/>
      <c r="V41" s="83" t="str">
        <f>HYPERLINK("https://pbs.twimg.com/profile_images/3540584669/5476252f7dedd6043cf97669d8524be7_normal.jpeg")</f>
        <v>https://pbs.twimg.com/profile_images/3540584669/5476252f7dedd6043cf97669d8524be7_normal.jpeg</v>
      </c>
      <c r="W41" s="82">
        <v>44456.53628472222</v>
      </c>
      <c r="X41" s="88">
        <v>44456</v>
      </c>
      <c r="Y41" s="85" t="s">
        <v>555</v>
      </c>
      <c r="Z41" s="83" t="str">
        <f>HYPERLINK("https://twitter.com/palabritadepape/status/1438848273142493192")</f>
        <v>https://twitter.com/palabritadepape/status/1438848273142493192</v>
      </c>
      <c r="AA41" s="80"/>
      <c r="AB41" s="80"/>
      <c r="AC41" s="85" t="s">
        <v>728</v>
      </c>
      <c r="AD41" s="80"/>
      <c r="AE41" s="80" t="b">
        <v>0</v>
      </c>
      <c r="AF41" s="80">
        <v>0</v>
      </c>
      <c r="AG41" s="85" t="s">
        <v>871</v>
      </c>
      <c r="AH41" s="80" t="b">
        <v>0</v>
      </c>
      <c r="AI41" s="80" t="s">
        <v>883</v>
      </c>
      <c r="AJ41" s="80"/>
      <c r="AK41" s="85" t="s">
        <v>871</v>
      </c>
      <c r="AL41" s="80" t="b">
        <v>0</v>
      </c>
      <c r="AM41" s="80">
        <v>4</v>
      </c>
      <c r="AN41" s="85" t="s">
        <v>793</v>
      </c>
      <c r="AO41" s="85" t="s">
        <v>889</v>
      </c>
      <c r="AP41" s="80" t="b">
        <v>0</v>
      </c>
      <c r="AQ41" s="85" t="s">
        <v>793</v>
      </c>
      <c r="AR41" s="80" t="s">
        <v>178</v>
      </c>
      <c r="AS41" s="80">
        <v>0</v>
      </c>
      <c r="AT41" s="80">
        <v>0</v>
      </c>
      <c r="AU41" s="80"/>
      <c r="AV41" s="80"/>
      <c r="AW41" s="80"/>
      <c r="AX41" s="80"/>
      <c r="AY41" s="80"/>
      <c r="AZ41" s="80"/>
      <c r="BA41" s="80"/>
      <c r="BB41" s="80"/>
      <c r="BC41">
        <v>16</v>
      </c>
      <c r="BD41" s="79" t="str">
        <f>REPLACE(INDEX(GroupVertices[Group],MATCH(Edges35[[#This Row],[Vertex 1]],GroupVertices[Vertex],0)),1,1,"")</f>
        <v>3</v>
      </c>
      <c r="BE41" s="79" t="str">
        <f>REPLACE(INDEX(GroupVertices[Group],MATCH(Edges35[[#This Row],[Vertex 2]],GroupVertices[Vertex],0)),1,1,"")</f>
        <v>3</v>
      </c>
      <c r="BF41" s="49">
        <v>1</v>
      </c>
      <c r="BG41" s="50">
        <v>2.5</v>
      </c>
      <c r="BH41" s="49">
        <v>0</v>
      </c>
      <c r="BI41" s="50">
        <v>0</v>
      </c>
      <c r="BJ41" s="49">
        <v>0</v>
      </c>
      <c r="BK41" s="50">
        <v>0</v>
      </c>
      <c r="BL41" s="49">
        <v>39</v>
      </c>
      <c r="BM41" s="50">
        <v>97.5</v>
      </c>
      <c r="BN41" s="49">
        <v>40</v>
      </c>
    </row>
    <row r="42" spans="1:66" ht="15">
      <c r="A42" s="65" t="s">
        <v>249</v>
      </c>
      <c r="B42" s="65" t="s">
        <v>269</v>
      </c>
      <c r="C42" s="66" t="s">
        <v>2648</v>
      </c>
      <c r="D42" s="67">
        <v>10</v>
      </c>
      <c r="E42" s="68"/>
      <c r="F42" s="69">
        <v>20</v>
      </c>
      <c r="G42" s="66"/>
      <c r="H42" s="70"/>
      <c r="I42" s="71"/>
      <c r="J42" s="71"/>
      <c r="K42" s="35" t="s">
        <v>65</v>
      </c>
      <c r="L42" s="78">
        <v>79</v>
      </c>
      <c r="M42" s="78"/>
      <c r="N42" s="73"/>
      <c r="O42" s="80" t="s">
        <v>383</v>
      </c>
      <c r="P42" s="82">
        <v>44457.00173611111</v>
      </c>
      <c r="Q42" s="80" t="s">
        <v>393</v>
      </c>
      <c r="R42" s="83" t="str">
        <f>HYPERLINK("https://movimientomigrantemesoamericano.org/2021/09/16/se-desborda-flujo-migratorio/")</f>
        <v>https://movimientomigrantemesoamericano.org/2021/09/16/se-desborda-flujo-migratorio/</v>
      </c>
      <c r="S42" s="80" t="s">
        <v>453</v>
      </c>
      <c r="T42" s="85" t="s">
        <v>474</v>
      </c>
      <c r="U42" s="80"/>
      <c r="V42" s="83" t="str">
        <f>HYPERLINK("https://pbs.twimg.com/profile_images/3540584669/5476252f7dedd6043cf97669d8524be7_normal.jpeg")</f>
        <v>https://pbs.twimg.com/profile_images/3540584669/5476252f7dedd6043cf97669d8524be7_normal.jpeg</v>
      </c>
      <c r="W42" s="82">
        <v>44457.00173611111</v>
      </c>
      <c r="X42" s="88">
        <v>44457</v>
      </c>
      <c r="Y42" s="85" t="s">
        <v>556</v>
      </c>
      <c r="Z42" s="83" t="str">
        <f>HYPERLINK("https://twitter.com/palabritadepape/status/1439016947455307778")</f>
        <v>https://twitter.com/palabritadepape/status/1439016947455307778</v>
      </c>
      <c r="AA42" s="80"/>
      <c r="AB42" s="80"/>
      <c r="AC42" s="85" t="s">
        <v>729</v>
      </c>
      <c r="AD42" s="80"/>
      <c r="AE42" s="80" t="b">
        <v>0</v>
      </c>
      <c r="AF42" s="80">
        <v>0</v>
      </c>
      <c r="AG42" s="85" t="s">
        <v>871</v>
      </c>
      <c r="AH42" s="80" t="b">
        <v>0</v>
      </c>
      <c r="AI42" s="80" t="s">
        <v>883</v>
      </c>
      <c r="AJ42" s="80"/>
      <c r="AK42" s="85" t="s">
        <v>871</v>
      </c>
      <c r="AL42" s="80" t="b">
        <v>0</v>
      </c>
      <c r="AM42" s="80">
        <v>2</v>
      </c>
      <c r="AN42" s="85" t="s">
        <v>794</v>
      </c>
      <c r="AO42" s="85" t="s">
        <v>889</v>
      </c>
      <c r="AP42" s="80" t="b">
        <v>0</v>
      </c>
      <c r="AQ42" s="85" t="s">
        <v>794</v>
      </c>
      <c r="AR42" s="80" t="s">
        <v>178</v>
      </c>
      <c r="AS42" s="80">
        <v>0</v>
      </c>
      <c r="AT42" s="80">
        <v>0</v>
      </c>
      <c r="AU42" s="80"/>
      <c r="AV42" s="80"/>
      <c r="AW42" s="80"/>
      <c r="AX42" s="80"/>
      <c r="AY42" s="80"/>
      <c r="AZ42" s="80"/>
      <c r="BA42" s="80"/>
      <c r="BB42" s="80"/>
      <c r="BC42">
        <v>16</v>
      </c>
      <c r="BD42" s="79" t="str">
        <f>REPLACE(INDEX(GroupVertices[Group],MATCH(Edges35[[#This Row],[Vertex 1]],GroupVertices[Vertex],0)),1,1,"")</f>
        <v>3</v>
      </c>
      <c r="BE42" s="79" t="str">
        <f>REPLACE(INDEX(GroupVertices[Group],MATCH(Edges35[[#This Row],[Vertex 2]],GroupVertices[Vertex],0)),1,1,"")</f>
        <v>3</v>
      </c>
      <c r="BF42" s="49">
        <v>0</v>
      </c>
      <c r="BG42" s="50">
        <v>0</v>
      </c>
      <c r="BH42" s="49">
        <v>0</v>
      </c>
      <c r="BI42" s="50">
        <v>0</v>
      </c>
      <c r="BJ42" s="49">
        <v>0</v>
      </c>
      <c r="BK42" s="50">
        <v>0</v>
      </c>
      <c r="BL42" s="49">
        <v>29</v>
      </c>
      <c r="BM42" s="50">
        <v>100</v>
      </c>
      <c r="BN42" s="49">
        <v>29</v>
      </c>
    </row>
    <row r="43" spans="1:66" ht="15">
      <c r="A43" s="65" t="s">
        <v>249</v>
      </c>
      <c r="B43" s="65" t="s">
        <v>268</v>
      </c>
      <c r="C43" s="66" t="s">
        <v>2648</v>
      </c>
      <c r="D43" s="67">
        <v>10</v>
      </c>
      <c r="E43" s="68"/>
      <c r="F43" s="69">
        <v>20</v>
      </c>
      <c r="G43" s="66"/>
      <c r="H43" s="70"/>
      <c r="I43" s="71"/>
      <c r="J43" s="71"/>
      <c r="K43" s="35" t="s">
        <v>65</v>
      </c>
      <c r="L43" s="78">
        <v>80</v>
      </c>
      <c r="M43" s="78"/>
      <c r="N43" s="73"/>
      <c r="O43" s="80" t="s">
        <v>382</v>
      </c>
      <c r="P43" s="82">
        <v>44457.001863425925</v>
      </c>
      <c r="Q43" s="80" t="s">
        <v>399</v>
      </c>
      <c r="R43" s="83" t="str">
        <f>HYPERLINK("https://www.meltingpot.org/Tapachula-frontiera-sud-del-Messico-migliaia-di-persone.html")</f>
        <v>https://www.meltingpot.org/Tapachula-frontiera-sud-del-Messico-migliaia-di-persone.html</v>
      </c>
      <c r="S43" s="80" t="s">
        <v>455</v>
      </c>
      <c r="T43" s="85" t="s">
        <v>479</v>
      </c>
      <c r="U43" s="80"/>
      <c r="V43" s="83" t="str">
        <f>HYPERLINK("https://pbs.twimg.com/profile_images/3540584669/5476252f7dedd6043cf97669d8524be7_normal.jpeg")</f>
        <v>https://pbs.twimg.com/profile_images/3540584669/5476252f7dedd6043cf97669d8524be7_normal.jpeg</v>
      </c>
      <c r="W43" s="82">
        <v>44457.001863425925</v>
      </c>
      <c r="X43" s="88">
        <v>44457</v>
      </c>
      <c r="Y43" s="85" t="s">
        <v>557</v>
      </c>
      <c r="Z43" s="83" t="str">
        <f>HYPERLINK("https://twitter.com/palabritadepape/status/1439016992732860421")</f>
        <v>https://twitter.com/palabritadepape/status/1439016992732860421</v>
      </c>
      <c r="AA43" s="80"/>
      <c r="AB43" s="80"/>
      <c r="AC43" s="85" t="s">
        <v>730</v>
      </c>
      <c r="AD43" s="80"/>
      <c r="AE43" s="80" t="b">
        <v>0</v>
      </c>
      <c r="AF43" s="80">
        <v>0</v>
      </c>
      <c r="AG43" s="85" t="s">
        <v>871</v>
      </c>
      <c r="AH43" s="80" t="b">
        <v>0</v>
      </c>
      <c r="AI43" s="80" t="s">
        <v>883</v>
      </c>
      <c r="AJ43" s="80"/>
      <c r="AK43" s="85" t="s">
        <v>871</v>
      </c>
      <c r="AL43" s="80" t="b">
        <v>0</v>
      </c>
      <c r="AM43" s="80">
        <v>3</v>
      </c>
      <c r="AN43" s="85" t="s">
        <v>761</v>
      </c>
      <c r="AO43" s="85" t="s">
        <v>889</v>
      </c>
      <c r="AP43" s="80" t="b">
        <v>0</v>
      </c>
      <c r="AQ43" s="85" t="s">
        <v>761</v>
      </c>
      <c r="AR43" s="80" t="s">
        <v>178</v>
      </c>
      <c r="AS43" s="80">
        <v>0</v>
      </c>
      <c r="AT43" s="80">
        <v>0</v>
      </c>
      <c r="AU43" s="80"/>
      <c r="AV43" s="80"/>
      <c r="AW43" s="80"/>
      <c r="AX43" s="80"/>
      <c r="AY43" s="80"/>
      <c r="AZ43" s="80"/>
      <c r="BA43" s="80"/>
      <c r="BB43" s="80"/>
      <c r="BC43">
        <v>4</v>
      </c>
      <c r="BD43" s="79" t="str">
        <f>REPLACE(INDEX(GroupVertices[Group],MATCH(Edges35[[#This Row],[Vertex 1]],GroupVertices[Vertex],0)),1,1,"")</f>
        <v>3</v>
      </c>
      <c r="BE43" s="79" t="str">
        <f>REPLACE(INDEX(GroupVertices[Group],MATCH(Edges35[[#This Row],[Vertex 2]],GroupVertices[Vertex],0)),1,1,"")</f>
        <v>3</v>
      </c>
      <c r="BF43" s="49"/>
      <c r="BG43" s="50"/>
      <c r="BH43" s="49"/>
      <c r="BI43" s="50"/>
      <c r="BJ43" s="49"/>
      <c r="BK43" s="50"/>
      <c r="BL43" s="49"/>
      <c r="BM43" s="50"/>
      <c r="BN43" s="49"/>
    </row>
    <row r="44" spans="1:66" ht="15">
      <c r="A44" s="65" t="s">
        <v>249</v>
      </c>
      <c r="B44" s="65" t="s">
        <v>268</v>
      </c>
      <c r="C44" s="66" t="s">
        <v>2648</v>
      </c>
      <c r="D44" s="67">
        <v>10</v>
      </c>
      <c r="E44" s="68"/>
      <c r="F44" s="69">
        <v>20</v>
      </c>
      <c r="G44" s="66"/>
      <c r="H44" s="70"/>
      <c r="I44" s="71"/>
      <c r="J44" s="71"/>
      <c r="K44" s="35" t="s">
        <v>65</v>
      </c>
      <c r="L44" s="78">
        <v>82</v>
      </c>
      <c r="M44" s="78"/>
      <c r="N44" s="73"/>
      <c r="O44" s="80" t="s">
        <v>382</v>
      </c>
      <c r="P44" s="82">
        <v>44458.388773148145</v>
      </c>
      <c r="Q44" s="80" t="s">
        <v>406</v>
      </c>
      <c r="R44" s="83" t="str">
        <f>HYPERLINK("https://www.meltingpot.org/Tapachula-frontiera-sud-del-Messico-migliaia-di-persone.html")</f>
        <v>https://www.meltingpot.org/Tapachula-frontiera-sud-del-Messico-migliaia-di-persone.html</v>
      </c>
      <c r="S44" s="80" t="s">
        <v>455</v>
      </c>
      <c r="T44" s="85" t="s">
        <v>479</v>
      </c>
      <c r="U44" s="80"/>
      <c r="V44" s="83" t="str">
        <f>HYPERLINK("https://pbs.twimg.com/profile_images/3540584669/5476252f7dedd6043cf97669d8524be7_normal.jpeg")</f>
        <v>https://pbs.twimg.com/profile_images/3540584669/5476252f7dedd6043cf97669d8524be7_normal.jpeg</v>
      </c>
      <c r="W44" s="82">
        <v>44458.388773148145</v>
      </c>
      <c r="X44" s="88">
        <v>44458</v>
      </c>
      <c r="Y44" s="85" t="s">
        <v>558</v>
      </c>
      <c r="Z44" s="83" t="str">
        <f>HYPERLINK("https://twitter.com/palabritadepape/status/1439519591949025281")</f>
        <v>https://twitter.com/palabritadepape/status/1439519591949025281</v>
      </c>
      <c r="AA44" s="80"/>
      <c r="AB44" s="80"/>
      <c r="AC44" s="85" t="s">
        <v>731</v>
      </c>
      <c r="AD44" s="80"/>
      <c r="AE44" s="80" t="b">
        <v>0</v>
      </c>
      <c r="AF44" s="80">
        <v>0</v>
      </c>
      <c r="AG44" s="85" t="s">
        <v>871</v>
      </c>
      <c r="AH44" s="80" t="b">
        <v>0</v>
      </c>
      <c r="AI44" s="80" t="s">
        <v>883</v>
      </c>
      <c r="AJ44" s="80"/>
      <c r="AK44" s="85" t="s">
        <v>871</v>
      </c>
      <c r="AL44" s="80" t="b">
        <v>0</v>
      </c>
      <c r="AM44" s="80">
        <v>3</v>
      </c>
      <c r="AN44" s="85" t="s">
        <v>762</v>
      </c>
      <c r="AO44" s="85" t="s">
        <v>889</v>
      </c>
      <c r="AP44" s="80" t="b">
        <v>0</v>
      </c>
      <c r="AQ44" s="85" t="s">
        <v>762</v>
      </c>
      <c r="AR44" s="80" t="s">
        <v>178</v>
      </c>
      <c r="AS44" s="80">
        <v>0</v>
      </c>
      <c r="AT44" s="80">
        <v>0</v>
      </c>
      <c r="AU44" s="80"/>
      <c r="AV44" s="80"/>
      <c r="AW44" s="80"/>
      <c r="AX44" s="80"/>
      <c r="AY44" s="80"/>
      <c r="AZ44" s="80"/>
      <c r="BA44" s="80"/>
      <c r="BB44" s="80"/>
      <c r="BC44">
        <v>4</v>
      </c>
      <c r="BD44" s="79" t="str">
        <f>REPLACE(INDEX(GroupVertices[Group],MATCH(Edges35[[#This Row],[Vertex 1]],GroupVertices[Vertex],0)),1,1,"")</f>
        <v>3</v>
      </c>
      <c r="BE44" s="79" t="str">
        <f>REPLACE(INDEX(GroupVertices[Group],MATCH(Edges35[[#This Row],[Vertex 2]],GroupVertices[Vertex],0)),1,1,"")</f>
        <v>3</v>
      </c>
      <c r="BF44" s="49"/>
      <c r="BG44" s="50"/>
      <c r="BH44" s="49"/>
      <c r="BI44" s="50"/>
      <c r="BJ44" s="49"/>
      <c r="BK44" s="50"/>
      <c r="BL44" s="49"/>
      <c r="BM44" s="50"/>
      <c r="BN44" s="49"/>
    </row>
    <row r="45" spans="1:66" ht="15">
      <c r="A45" s="65" t="s">
        <v>250</v>
      </c>
      <c r="B45" s="65" t="s">
        <v>268</v>
      </c>
      <c r="C45" s="66" t="s">
        <v>2647</v>
      </c>
      <c r="D45" s="67">
        <v>5</v>
      </c>
      <c r="E45" s="68"/>
      <c r="F45" s="69">
        <v>40</v>
      </c>
      <c r="G45" s="66"/>
      <c r="H45" s="70"/>
      <c r="I45" s="71"/>
      <c r="J45" s="71"/>
      <c r="K45" s="35" t="s">
        <v>65</v>
      </c>
      <c r="L45" s="78">
        <v>84</v>
      </c>
      <c r="M45" s="78"/>
      <c r="N45" s="73"/>
      <c r="O45" s="80" t="s">
        <v>382</v>
      </c>
      <c r="P45" s="82">
        <v>44458.40539351852</v>
      </c>
      <c r="Q45" s="80" t="s">
        <v>406</v>
      </c>
      <c r="R45" s="83" t="str">
        <f>HYPERLINK("https://www.meltingpot.org/Tapachula-frontiera-sud-del-Messico-migliaia-di-persone.html")</f>
        <v>https://www.meltingpot.org/Tapachula-frontiera-sud-del-Messico-migliaia-di-persone.html</v>
      </c>
      <c r="S45" s="80" t="s">
        <v>455</v>
      </c>
      <c r="T45" s="85" t="s">
        <v>479</v>
      </c>
      <c r="U45" s="80"/>
      <c r="V45" s="83" t="str">
        <f>HYPERLINK("https://pbs.twimg.com/profile_images/1283387370910474242/Fiq0SJMk_normal.jpg")</f>
        <v>https://pbs.twimg.com/profile_images/1283387370910474242/Fiq0SJMk_normal.jpg</v>
      </c>
      <c r="W45" s="82">
        <v>44458.40539351852</v>
      </c>
      <c r="X45" s="88">
        <v>44458</v>
      </c>
      <c r="Y45" s="85" t="s">
        <v>559</v>
      </c>
      <c r="Z45" s="83" t="str">
        <f>HYPERLINK("https://twitter.com/cheguevararoma/status/1439525614130802689")</f>
        <v>https://twitter.com/cheguevararoma/status/1439525614130802689</v>
      </c>
      <c r="AA45" s="80"/>
      <c r="AB45" s="80"/>
      <c r="AC45" s="85" t="s">
        <v>732</v>
      </c>
      <c r="AD45" s="80"/>
      <c r="AE45" s="80" t="b">
        <v>0</v>
      </c>
      <c r="AF45" s="80">
        <v>0</v>
      </c>
      <c r="AG45" s="85" t="s">
        <v>871</v>
      </c>
      <c r="AH45" s="80" t="b">
        <v>0</v>
      </c>
      <c r="AI45" s="80" t="s">
        <v>883</v>
      </c>
      <c r="AJ45" s="80"/>
      <c r="AK45" s="85" t="s">
        <v>871</v>
      </c>
      <c r="AL45" s="80" t="b">
        <v>0</v>
      </c>
      <c r="AM45" s="80">
        <v>3</v>
      </c>
      <c r="AN45" s="85" t="s">
        <v>762</v>
      </c>
      <c r="AO45" s="85" t="s">
        <v>889</v>
      </c>
      <c r="AP45" s="80" t="b">
        <v>0</v>
      </c>
      <c r="AQ45" s="85" t="s">
        <v>762</v>
      </c>
      <c r="AR45" s="80" t="s">
        <v>178</v>
      </c>
      <c r="AS45" s="80">
        <v>0</v>
      </c>
      <c r="AT45" s="80">
        <v>0</v>
      </c>
      <c r="AU45" s="80"/>
      <c r="AV45" s="80"/>
      <c r="AW45" s="80"/>
      <c r="AX45" s="80"/>
      <c r="AY45" s="80"/>
      <c r="AZ45" s="80"/>
      <c r="BA45" s="80"/>
      <c r="BB45" s="80"/>
      <c r="BC45">
        <v>1</v>
      </c>
      <c r="BD45" s="79" t="str">
        <f>REPLACE(INDEX(GroupVertices[Group],MATCH(Edges35[[#This Row],[Vertex 1]],GroupVertices[Vertex],0)),1,1,"")</f>
        <v>3</v>
      </c>
      <c r="BE45" s="79" t="str">
        <f>REPLACE(INDEX(GroupVertices[Group],MATCH(Edges35[[#This Row],[Vertex 2]],GroupVertices[Vertex],0)),1,1,"")</f>
        <v>3</v>
      </c>
      <c r="BF45" s="49"/>
      <c r="BG45" s="50"/>
      <c r="BH45" s="49"/>
      <c r="BI45" s="50"/>
      <c r="BJ45" s="49"/>
      <c r="BK45" s="50"/>
      <c r="BL45" s="49"/>
      <c r="BM45" s="50"/>
      <c r="BN45" s="49"/>
    </row>
    <row r="46" spans="1:66" ht="15">
      <c r="A46" s="65" t="s">
        <v>251</v>
      </c>
      <c r="B46" s="65" t="s">
        <v>268</v>
      </c>
      <c r="C46" s="66" t="s">
        <v>2647</v>
      </c>
      <c r="D46" s="67">
        <v>5</v>
      </c>
      <c r="E46" s="68"/>
      <c r="F46" s="69">
        <v>40</v>
      </c>
      <c r="G46" s="66"/>
      <c r="H46" s="70"/>
      <c r="I46" s="71"/>
      <c r="J46" s="71"/>
      <c r="K46" s="35" t="s">
        <v>65</v>
      </c>
      <c r="L46" s="78">
        <v>86</v>
      </c>
      <c r="M46" s="78"/>
      <c r="N46" s="73"/>
      <c r="O46" s="80" t="s">
        <v>382</v>
      </c>
      <c r="P46" s="82">
        <v>44458.524201388886</v>
      </c>
      <c r="Q46" s="80" t="s">
        <v>406</v>
      </c>
      <c r="R46" s="83" t="str">
        <f>HYPERLINK("https://www.meltingpot.org/Tapachula-frontiera-sud-del-Messico-migliaia-di-persone.html")</f>
        <v>https://www.meltingpot.org/Tapachula-frontiera-sud-del-Messico-migliaia-di-persone.html</v>
      </c>
      <c r="S46" s="80" t="s">
        <v>455</v>
      </c>
      <c r="T46" s="85" t="s">
        <v>479</v>
      </c>
      <c r="U46" s="80"/>
      <c r="V46" s="83" t="str">
        <f>HYPERLINK("https://pbs.twimg.com/profile_images/601332363382157312/1G7_6JwW_normal.jpg")</f>
        <v>https://pbs.twimg.com/profile_images/601332363382157312/1G7_6JwW_normal.jpg</v>
      </c>
      <c r="W46" s="82">
        <v>44458.524201388886</v>
      </c>
      <c r="X46" s="88">
        <v>44458</v>
      </c>
      <c r="Y46" s="85" t="s">
        <v>560</v>
      </c>
      <c r="Z46" s="83" t="str">
        <f>HYPERLINK("https://twitter.com/fraespoesposito/status/1439568671635017730")</f>
        <v>https://twitter.com/fraespoesposito/status/1439568671635017730</v>
      </c>
      <c r="AA46" s="80"/>
      <c r="AB46" s="80"/>
      <c r="AC46" s="85" t="s">
        <v>733</v>
      </c>
      <c r="AD46" s="80"/>
      <c r="AE46" s="80" t="b">
        <v>0</v>
      </c>
      <c r="AF46" s="80">
        <v>0</v>
      </c>
      <c r="AG46" s="85" t="s">
        <v>871</v>
      </c>
      <c r="AH46" s="80" t="b">
        <v>0</v>
      </c>
      <c r="AI46" s="80" t="s">
        <v>883</v>
      </c>
      <c r="AJ46" s="80"/>
      <c r="AK46" s="85" t="s">
        <v>871</v>
      </c>
      <c r="AL46" s="80" t="b">
        <v>0</v>
      </c>
      <c r="AM46" s="80">
        <v>3</v>
      </c>
      <c r="AN46" s="85" t="s">
        <v>762</v>
      </c>
      <c r="AO46" s="85" t="s">
        <v>889</v>
      </c>
      <c r="AP46" s="80" t="b">
        <v>0</v>
      </c>
      <c r="AQ46" s="85" t="s">
        <v>762</v>
      </c>
      <c r="AR46" s="80" t="s">
        <v>178</v>
      </c>
      <c r="AS46" s="80">
        <v>0</v>
      </c>
      <c r="AT46" s="80">
        <v>0</v>
      </c>
      <c r="AU46" s="80"/>
      <c r="AV46" s="80"/>
      <c r="AW46" s="80"/>
      <c r="AX46" s="80"/>
      <c r="AY46" s="80"/>
      <c r="AZ46" s="80"/>
      <c r="BA46" s="80"/>
      <c r="BB46" s="80"/>
      <c r="BC46">
        <v>1</v>
      </c>
      <c r="BD46" s="79" t="str">
        <f>REPLACE(INDEX(GroupVertices[Group],MATCH(Edges35[[#This Row],[Vertex 1]],GroupVertices[Vertex],0)),1,1,"")</f>
        <v>3</v>
      </c>
      <c r="BE46" s="79" t="str">
        <f>REPLACE(INDEX(GroupVertices[Group],MATCH(Edges35[[#This Row],[Vertex 2]],GroupVertices[Vertex],0)),1,1,"")</f>
        <v>3</v>
      </c>
      <c r="BF46" s="49"/>
      <c r="BG46" s="50"/>
      <c r="BH46" s="49"/>
      <c r="BI46" s="50"/>
      <c r="BJ46" s="49"/>
      <c r="BK46" s="50"/>
      <c r="BL46" s="49"/>
      <c r="BM46" s="50"/>
      <c r="BN46" s="49"/>
    </row>
    <row r="47" spans="1:66" ht="15">
      <c r="A47" s="65" t="s">
        <v>252</v>
      </c>
      <c r="B47" s="65" t="s">
        <v>252</v>
      </c>
      <c r="C47" s="66" t="s">
        <v>2647</v>
      </c>
      <c r="D47" s="67">
        <v>5</v>
      </c>
      <c r="E47" s="68"/>
      <c r="F47" s="69">
        <v>40</v>
      </c>
      <c r="G47" s="66"/>
      <c r="H47" s="70"/>
      <c r="I47" s="71"/>
      <c r="J47" s="71"/>
      <c r="K47" s="35" t="s">
        <v>65</v>
      </c>
      <c r="L47" s="78">
        <v>88</v>
      </c>
      <c r="M47" s="78"/>
      <c r="N47" s="73"/>
      <c r="O47" s="80" t="s">
        <v>178</v>
      </c>
      <c r="P47" s="82">
        <v>43420.129965277774</v>
      </c>
      <c r="Q47" s="80" t="s">
        <v>407</v>
      </c>
      <c r="R47" s="80"/>
      <c r="S47" s="80"/>
      <c r="T47" s="85" t="s">
        <v>485</v>
      </c>
      <c r="U47" s="83" t="str">
        <f>HYPERLINK("https://pbs.twimg.com/ext_tw_video_thumb/1063266920055488512/pu/img/ojq0cfhTX2yLgGGr.jpg")</f>
        <v>https://pbs.twimg.com/ext_tw_video_thumb/1063266920055488512/pu/img/ojq0cfhTX2yLgGGr.jpg</v>
      </c>
      <c r="V47" s="83" t="str">
        <f>HYPERLINK("https://pbs.twimg.com/ext_tw_video_thumb/1063266920055488512/pu/img/ojq0cfhTX2yLgGGr.jpg")</f>
        <v>https://pbs.twimg.com/ext_tw_video_thumb/1063266920055488512/pu/img/ojq0cfhTX2yLgGGr.jpg</v>
      </c>
      <c r="W47" s="82">
        <v>43420.129965277774</v>
      </c>
      <c r="X47" s="88">
        <v>43420</v>
      </c>
      <c r="Y47" s="85" t="s">
        <v>561</v>
      </c>
      <c r="Z47" s="83" t="str">
        <f>HYPERLINK("https://twitter.com/pmcdonnelllat/status/1063267200788848641")</f>
        <v>https://twitter.com/pmcdonnelllat/status/1063267200788848641</v>
      </c>
      <c r="AA47" s="80"/>
      <c r="AB47" s="80"/>
      <c r="AC47" s="85" t="s">
        <v>734</v>
      </c>
      <c r="AD47" s="85" t="s">
        <v>866</v>
      </c>
      <c r="AE47" s="80" t="b">
        <v>0</v>
      </c>
      <c r="AF47" s="80">
        <v>12</v>
      </c>
      <c r="AG47" s="85" t="s">
        <v>874</v>
      </c>
      <c r="AH47" s="80" t="b">
        <v>0</v>
      </c>
      <c r="AI47" s="80" t="s">
        <v>881</v>
      </c>
      <c r="AJ47" s="80"/>
      <c r="AK47" s="85" t="s">
        <v>871</v>
      </c>
      <c r="AL47" s="80" t="b">
        <v>0</v>
      </c>
      <c r="AM47" s="80">
        <v>15</v>
      </c>
      <c r="AN47" s="85" t="s">
        <v>871</v>
      </c>
      <c r="AO47" s="85" t="s">
        <v>890</v>
      </c>
      <c r="AP47" s="80" t="b">
        <v>0</v>
      </c>
      <c r="AQ47" s="85" t="s">
        <v>866</v>
      </c>
      <c r="AR47" s="80" t="s">
        <v>383</v>
      </c>
      <c r="AS47" s="80">
        <v>0</v>
      </c>
      <c r="AT47" s="80">
        <v>0</v>
      </c>
      <c r="AU47" s="80"/>
      <c r="AV47" s="80"/>
      <c r="AW47" s="80"/>
      <c r="AX47" s="80"/>
      <c r="AY47" s="80"/>
      <c r="AZ47" s="80"/>
      <c r="BA47" s="80"/>
      <c r="BB47" s="80"/>
      <c r="BC47">
        <v>1</v>
      </c>
      <c r="BD47" s="79" t="str">
        <f>REPLACE(INDEX(GroupVertices[Group],MATCH(Edges35[[#This Row],[Vertex 1]],GroupVertices[Vertex],0)),1,1,"")</f>
        <v>23</v>
      </c>
      <c r="BE47" s="79" t="str">
        <f>REPLACE(INDEX(GroupVertices[Group],MATCH(Edges35[[#This Row],[Vertex 2]],GroupVertices[Vertex],0)),1,1,"")</f>
        <v>23</v>
      </c>
      <c r="BF47" s="49">
        <v>0</v>
      </c>
      <c r="BG47" s="50">
        <v>0</v>
      </c>
      <c r="BH47" s="49">
        <v>0</v>
      </c>
      <c r="BI47" s="50">
        <v>0</v>
      </c>
      <c r="BJ47" s="49">
        <v>0</v>
      </c>
      <c r="BK47" s="50">
        <v>0</v>
      </c>
      <c r="BL47" s="49">
        <v>17</v>
      </c>
      <c r="BM47" s="50">
        <v>100</v>
      </c>
      <c r="BN47" s="49">
        <v>17</v>
      </c>
    </row>
    <row r="48" spans="1:66" ht="15">
      <c r="A48" s="65" t="s">
        <v>253</v>
      </c>
      <c r="B48" s="65" t="s">
        <v>252</v>
      </c>
      <c r="C48" s="66" t="s">
        <v>2647</v>
      </c>
      <c r="D48" s="67">
        <v>5</v>
      </c>
      <c r="E48" s="68"/>
      <c r="F48" s="69">
        <v>40</v>
      </c>
      <c r="G48" s="66"/>
      <c r="H48" s="70"/>
      <c r="I48" s="71"/>
      <c r="J48" s="71"/>
      <c r="K48" s="35" t="s">
        <v>65</v>
      </c>
      <c r="L48" s="78">
        <v>89</v>
      </c>
      <c r="M48" s="78"/>
      <c r="N48" s="73"/>
      <c r="O48" s="80" t="s">
        <v>383</v>
      </c>
      <c r="P48" s="82">
        <v>44458.594305555554</v>
      </c>
      <c r="Q48" s="80" t="s">
        <v>407</v>
      </c>
      <c r="R48" s="80"/>
      <c r="S48" s="80"/>
      <c r="T48" s="85" t="s">
        <v>485</v>
      </c>
      <c r="U48" s="83" t="str">
        <f>HYPERLINK("https://pbs.twimg.com/ext_tw_video_thumb/1063266920055488512/pu/img/ojq0cfhTX2yLgGGr.jpg")</f>
        <v>https://pbs.twimg.com/ext_tw_video_thumb/1063266920055488512/pu/img/ojq0cfhTX2yLgGGr.jpg</v>
      </c>
      <c r="V48" s="83" t="str">
        <f>HYPERLINK("https://pbs.twimg.com/ext_tw_video_thumb/1063266920055488512/pu/img/ojq0cfhTX2yLgGGr.jpg")</f>
        <v>https://pbs.twimg.com/ext_tw_video_thumb/1063266920055488512/pu/img/ojq0cfhTX2yLgGGr.jpg</v>
      </c>
      <c r="W48" s="82">
        <v>44458.594305555554</v>
      </c>
      <c r="X48" s="88">
        <v>44458</v>
      </c>
      <c r="Y48" s="85" t="s">
        <v>562</v>
      </c>
      <c r="Z48" s="83" t="str">
        <f>HYPERLINK("https://twitter.com/gopnik_slavic/status/1439594075917783045")</f>
        <v>https://twitter.com/gopnik_slavic/status/1439594075917783045</v>
      </c>
      <c r="AA48" s="80"/>
      <c r="AB48" s="80"/>
      <c r="AC48" s="85" t="s">
        <v>735</v>
      </c>
      <c r="AD48" s="80"/>
      <c r="AE48" s="80" t="b">
        <v>0</v>
      </c>
      <c r="AF48" s="80">
        <v>0</v>
      </c>
      <c r="AG48" s="85" t="s">
        <v>871</v>
      </c>
      <c r="AH48" s="80" t="b">
        <v>0</v>
      </c>
      <c r="AI48" s="80" t="s">
        <v>881</v>
      </c>
      <c r="AJ48" s="80"/>
      <c r="AK48" s="85" t="s">
        <v>871</v>
      </c>
      <c r="AL48" s="80" t="b">
        <v>0</v>
      </c>
      <c r="AM48" s="80">
        <v>15</v>
      </c>
      <c r="AN48" s="85" t="s">
        <v>734</v>
      </c>
      <c r="AO48" s="85" t="s">
        <v>890</v>
      </c>
      <c r="AP48" s="80" t="b">
        <v>0</v>
      </c>
      <c r="AQ48" s="85" t="s">
        <v>734</v>
      </c>
      <c r="AR48" s="80" t="s">
        <v>178</v>
      </c>
      <c r="AS48" s="80">
        <v>0</v>
      </c>
      <c r="AT48" s="80">
        <v>0</v>
      </c>
      <c r="AU48" s="80"/>
      <c r="AV48" s="80"/>
      <c r="AW48" s="80"/>
      <c r="AX48" s="80"/>
      <c r="AY48" s="80"/>
      <c r="AZ48" s="80"/>
      <c r="BA48" s="80"/>
      <c r="BB48" s="80"/>
      <c r="BC48">
        <v>1</v>
      </c>
      <c r="BD48" s="79" t="str">
        <f>REPLACE(INDEX(GroupVertices[Group],MATCH(Edges35[[#This Row],[Vertex 1]],GroupVertices[Vertex],0)),1,1,"")</f>
        <v>23</v>
      </c>
      <c r="BE48" s="79" t="str">
        <f>REPLACE(INDEX(GroupVertices[Group],MATCH(Edges35[[#This Row],[Vertex 2]],GroupVertices[Vertex],0)),1,1,"")</f>
        <v>23</v>
      </c>
      <c r="BF48" s="49">
        <v>0</v>
      </c>
      <c r="BG48" s="50">
        <v>0</v>
      </c>
      <c r="BH48" s="49">
        <v>0</v>
      </c>
      <c r="BI48" s="50">
        <v>0</v>
      </c>
      <c r="BJ48" s="49">
        <v>0</v>
      </c>
      <c r="BK48" s="50">
        <v>0</v>
      </c>
      <c r="BL48" s="49">
        <v>17</v>
      </c>
      <c r="BM48" s="50">
        <v>100</v>
      </c>
      <c r="BN48" s="49">
        <v>17</v>
      </c>
    </row>
    <row r="49" spans="1:66" ht="15">
      <c r="A49" s="65" t="s">
        <v>254</v>
      </c>
      <c r="B49" s="65" t="s">
        <v>254</v>
      </c>
      <c r="C49" s="66" t="s">
        <v>2648</v>
      </c>
      <c r="D49" s="67">
        <v>10</v>
      </c>
      <c r="E49" s="68"/>
      <c r="F49" s="69">
        <v>20</v>
      </c>
      <c r="G49" s="66"/>
      <c r="H49" s="70"/>
      <c r="I49" s="71"/>
      <c r="J49" s="71"/>
      <c r="K49" s="35" t="s">
        <v>65</v>
      </c>
      <c r="L49" s="78">
        <v>90</v>
      </c>
      <c r="M49" s="78"/>
      <c r="N49" s="73"/>
      <c r="O49" s="80" t="s">
        <v>178</v>
      </c>
      <c r="P49" s="82">
        <v>44456.62645833333</v>
      </c>
      <c r="Q49" s="80" t="s">
        <v>392</v>
      </c>
      <c r="R49" s="83" t="str">
        <f>HYPERLINK("https://www.mexnewz.mx/detectan-covid-en-20-de-pruebas-realizadas-a-migrantes/")</f>
        <v>https://www.mexnewz.mx/detectan-covid-en-20-de-pruebas-realizadas-a-migrantes/</v>
      </c>
      <c r="S49" s="80" t="s">
        <v>452</v>
      </c>
      <c r="T49" s="85" t="s">
        <v>473</v>
      </c>
      <c r="U49" s="83" t="str">
        <f>HYPERLINK("https://pbs.twimg.com/media/E_fumieXsAIlIMT.jpg")</f>
        <v>https://pbs.twimg.com/media/E_fumieXsAIlIMT.jpg</v>
      </c>
      <c r="V49" s="83" t="str">
        <f>HYPERLINK("https://pbs.twimg.com/media/E_fumieXsAIlIMT.jpg")</f>
        <v>https://pbs.twimg.com/media/E_fumieXsAIlIMT.jpg</v>
      </c>
      <c r="W49" s="82">
        <v>44456.62645833333</v>
      </c>
      <c r="X49" s="88">
        <v>44456</v>
      </c>
      <c r="Y49" s="85" t="s">
        <v>563</v>
      </c>
      <c r="Z49" s="83" t="str">
        <f>HYPERLINK("https://twitter.com/mexnewz/status/1438880952873361413")</f>
        <v>https://twitter.com/mexnewz/status/1438880952873361413</v>
      </c>
      <c r="AA49" s="80"/>
      <c r="AB49" s="80"/>
      <c r="AC49" s="85" t="s">
        <v>736</v>
      </c>
      <c r="AD49" s="80"/>
      <c r="AE49" s="80" t="b">
        <v>0</v>
      </c>
      <c r="AF49" s="80">
        <v>0</v>
      </c>
      <c r="AG49" s="85" t="s">
        <v>871</v>
      </c>
      <c r="AH49" s="80" t="b">
        <v>0</v>
      </c>
      <c r="AI49" s="80" t="s">
        <v>882</v>
      </c>
      <c r="AJ49" s="80"/>
      <c r="AK49" s="85" t="s">
        <v>871</v>
      </c>
      <c r="AL49" s="80" t="b">
        <v>0</v>
      </c>
      <c r="AM49" s="80">
        <v>1</v>
      </c>
      <c r="AN49" s="85" t="s">
        <v>871</v>
      </c>
      <c r="AO49" s="85" t="s">
        <v>892</v>
      </c>
      <c r="AP49" s="80" t="b">
        <v>0</v>
      </c>
      <c r="AQ49" s="85" t="s">
        <v>736</v>
      </c>
      <c r="AR49" s="80" t="s">
        <v>178</v>
      </c>
      <c r="AS49" s="80">
        <v>0</v>
      </c>
      <c r="AT49" s="80">
        <v>0</v>
      </c>
      <c r="AU49" s="80"/>
      <c r="AV49" s="80"/>
      <c r="AW49" s="80"/>
      <c r="AX49" s="80"/>
      <c r="AY49" s="80"/>
      <c r="AZ49" s="80"/>
      <c r="BA49" s="80"/>
      <c r="BB49" s="80"/>
      <c r="BC49">
        <v>4</v>
      </c>
      <c r="BD49" s="79" t="str">
        <f>REPLACE(INDEX(GroupVertices[Group],MATCH(Edges35[[#This Row],[Vertex 1]],GroupVertices[Vertex],0)),1,1,"")</f>
        <v>26</v>
      </c>
      <c r="BE49" s="79" t="str">
        <f>REPLACE(INDEX(GroupVertices[Group],MATCH(Edges35[[#This Row],[Vertex 2]],GroupVertices[Vertex],0)),1,1,"")</f>
        <v>26</v>
      </c>
      <c r="BF49" s="49">
        <v>0</v>
      </c>
      <c r="BG49" s="50">
        <v>0</v>
      </c>
      <c r="BH49" s="49">
        <v>0</v>
      </c>
      <c r="BI49" s="50">
        <v>0</v>
      </c>
      <c r="BJ49" s="49">
        <v>0</v>
      </c>
      <c r="BK49" s="50">
        <v>0</v>
      </c>
      <c r="BL49" s="49">
        <v>15</v>
      </c>
      <c r="BM49" s="50">
        <v>100</v>
      </c>
      <c r="BN49" s="49">
        <v>15</v>
      </c>
    </row>
    <row r="50" spans="1:66" ht="15">
      <c r="A50" s="65" t="s">
        <v>254</v>
      </c>
      <c r="B50" s="65" t="s">
        <v>254</v>
      </c>
      <c r="C50" s="66" t="s">
        <v>2648</v>
      </c>
      <c r="D50" s="67">
        <v>10</v>
      </c>
      <c r="E50" s="68"/>
      <c r="F50" s="69">
        <v>20</v>
      </c>
      <c r="G50" s="66"/>
      <c r="H50" s="70"/>
      <c r="I50" s="71"/>
      <c r="J50" s="71"/>
      <c r="K50" s="35" t="s">
        <v>65</v>
      </c>
      <c r="L50" s="78">
        <v>91</v>
      </c>
      <c r="M50" s="78"/>
      <c r="N50" s="73"/>
      <c r="O50" s="80" t="s">
        <v>178</v>
      </c>
      <c r="P50" s="82">
        <v>44458.64597222222</v>
      </c>
      <c r="Q50" s="80" t="s">
        <v>408</v>
      </c>
      <c r="R50" s="83" t="str">
        <f>HYPERLINK("https://www.mexnewz.mx/mexico-y-haiti-establecen-mesa-de-dialogo-por-migrantes/")</f>
        <v>https://www.mexnewz.mx/mexico-y-haiti-establecen-mesa-de-dialogo-por-migrantes/</v>
      </c>
      <c r="S50" s="80" t="s">
        <v>452</v>
      </c>
      <c r="T50" s="85" t="s">
        <v>486</v>
      </c>
      <c r="U50" s="83" t="str">
        <f>HYPERLINK("https://pbs.twimg.com/media/E_qINigWEAkTKE1.jpg")</f>
        <v>https://pbs.twimg.com/media/E_qINigWEAkTKE1.jpg</v>
      </c>
      <c r="V50" s="83" t="str">
        <f>HYPERLINK("https://pbs.twimg.com/media/E_qINigWEAkTKE1.jpg")</f>
        <v>https://pbs.twimg.com/media/E_qINigWEAkTKE1.jpg</v>
      </c>
      <c r="W50" s="82">
        <v>44458.64597222222</v>
      </c>
      <c r="X50" s="88">
        <v>44458</v>
      </c>
      <c r="Y50" s="85" t="s">
        <v>564</v>
      </c>
      <c r="Z50" s="83" t="str">
        <f>HYPERLINK("https://twitter.com/mexnewz/status/1439612798552657920")</f>
        <v>https://twitter.com/mexnewz/status/1439612798552657920</v>
      </c>
      <c r="AA50" s="80"/>
      <c r="AB50" s="80"/>
      <c r="AC50" s="85" t="s">
        <v>737</v>
      </c>
      <c r="AD50" s="80"/>
      <c r="AE50" s="80" t="b">
        <v>0</v>
      </c>
      <c r="AF50" s="80">
        <v>1</v>
      </c>
      <c r="AG50" s="85" t="s">
        <v>871</v>
      </c>
      <c r="AH50" s="80" t="b">
        <v>0</v>
      </c>
      <c r="AI50" s="80" t="s">
        <v>882</v>
      </c>
      <c r="AJ50" s="80"/>
      <c r="AK50" s="85" t="s">
        <v>871</v>
      </c>
      <c r="AL50" s="80" t="b">
        <v>0</v>
      </c>
      <c r="AM50" s="80">
        <v>0</v>
      </c>
      <c r="AN50" s="85" t="s">
        <v>871</v>
      </c>
      <c r="AO50" s="85" t="s">
        <v>892</v>
      </c>
      <c r="AP50" s="80" t="b">
        <v>0</v>
      </c>
      <c r="AQ50" s="85" t="s">
        <v>737</v>
      </c>
      <c r="AR50" s="80" t="s">
        <v>178</v>
      </c>
      <c r="AS50" s="80">
        <v>0</v>
      </c>
      <c r="AT50" s="80">
        <v>0</v>
      </c>
      <c r="AU50" s="80"/>
      <c r="AV50" s="80"/>
      <c r="AW50" s="80"/>
      <c r="AX50" s="80"/>
      <c r="AY50" s="80"/>
      <c r="AZ50" s="80"/>
      <c r="BA50" s="80"/>
      <c r="BB50" s="80"/>
      <c r="BC50">
        <v>4</v>
      </c>
      <c r="BD50" s="79" t="str">
        <f>REPLACE(INDEX(GroupVertices[Group],MATCH(Edges35[[#This Row],[Vertex 1]],GroupVertices[Vertex],0)),1,1,"")</f>
        <v>26</v>
      </c>
      <c r="BE50" s="79" t="str">
        <f>REPLACE(INDEX(GroupVertices[Group],MATCH(Edges35[[#This Row],[Vertex 2]],GroupVertices[Vertex],0)),1,1,"")</f>
        <v>26</v>
      </c>
      <c r="BF50" s="49">
        <v>0</v>
      </c>
      <c r="BG50" s="50">
        <v>0</v>
      </c>
      <c r="BH50" s="49">
        <v>0</v>
      </c>
      <c r="BI50" s="50">
        <v>0</v>
      </c>
      <c r="BJ50" s="49">
        <v>0</v>
      </c>
      <c r="BK50" s="50">
        <v>0</v>
      </c>
      <c r="BL50" s="49">
        <v>13</v>
      </c>
      <c r="BM50" s="50">
        <v>100</v>
      </c>
      <c r="BN50" s="49">
        <v>13</v>
      </c>
    </row>
    <row r="51" spans="1:66" ht="15">
      <c r="A51" s="65" t="s">
        <v>255</v>
      </c>
      <c r="B51" s="65" t="s">
        <v>257</v>
      </c>
      <c r="C51" s="66" t="s">
        <v>2647</v>
      </c>
      <c r="D51" s="67">
        <v>5</v>
      </c>
      <c r="E51" s="68"/>
      <c r="F51" s="69">
        <v>40</v>
      </c>
      <c r="G51" s="66"/>
      <c r="H51" s="70"/>
      <c r="I51" s="71"/>
      <c r="J51" s="71"/>
      <c r="K51" s="35" t="s">
        <v>65</v>
      </c>
      <c r="L51" s="78">
        <v>92</v>
      </c>
      <c r="M51" s="78"/>
      <c r="N51" s="73"/>
      <c r="O51" s="80" t="s">
        <v>383</v>
      </c>
      <c r="P51" s="82">
        <v>44458.71134259259</v>
      </c>
      <c r="Q51" s="80" t="s">
        <v>409</v>
      </c>
      <c r="R51" s="83" t="str">
        <f>HYPERLINK("http://gabinete.mx/index.php/es/component/k2/item/658-amlo-seguimiento-septiembre-2021")</f>
        <v>http://gabinete.mx/index.php/es/component/k2/item/658-amlo-seguimiento-septiembre-2021</v>
      </c>
      <c r="S51" s="80" t="s">
        <v>459</v>
      </c>
      <c r="T51" s="80"/>
      <c r="U51" s="83" t="str">
        <f>HYPERLINK("https://pbs.twimg.com/media/E_qdJWxVcAAhOWx.jpg")</f>
        <v>https://pbs.twimg.com/media/E_qdJWxVcAAhOWx.jpg</v>
      </c>
      <c r="V51" s="83" t="str">
        <f>HYPERLINK("https://pbs.twimg.com/media/E_qdJWxVcAAhOWx.jpg")</f>
        <v>https://pbs.twimg.com/media/E_qdJWxVcAAhOWx.jpg</v>
      </c>
      <c r="W51" s="82">
        <v>44458.71134259259</v>
      </c>
      <c r="X51" s="88">
        <v>44458</v>
      </c>
      <c r="Y51" s="85" t="s">
        <v>565</v>
      </c>
      <c r="Z51" s="83" t="str">
        <f>HYPERLINK("https://twitter.com/anaschwarz/status/1439636489340473346")</f>
        <v>https://twitter.com/anaschwarz/status/1439636489340473346</v>
      </c>
      <c r="AA51" s="80"/>
      <c r="AB51" s="80"/>
      <c r="AC51" s="85" t="s">
        <v>738</v>
      </c>
      <c r="AD51" s="80"/>
      <c r="AE51" s="80" t="b">
        <v>0</v>
      </c>
      <c r="AF51" s="80">
        <v>0</v>
      </c>
      <c r="AG51" s="85" t="s">
        <v>871</v>
      </c>
      <c r="AH51" s="80" t="b">
        <v>0</v>
      </c>
      <c r="AI51" s="80" t="s">
        <v>882</v>
      </c>
      <c r="AJ51" s="80"/>
      <c r="AK51" s="85" t="s">
        <v>871</v>
      </c>
      <c r="AL51" s="80" t="b">
        <v>0</v>
      </c>
      <c r="AM51" s="80">
        <v>3</v>
      </c>
      <c r="AN51" s="85" t="s">
        <v>742</v>
      </c>
      <c r="AO51" s="85" t="s">
        <v>890</v>
      </c>
      <c r="AP51" s="80" t="b">
        <v>0</v>
      </c>
      <c r="AQ51" s="85" t="s">
        <v>742</v>
      </c>
      <c r="AR51" s="80" t="s">
        <v>178</v>
      </c>
      <c r="AS51" s="80">
        <v>0</v>
      </c>
      <c r="AT51" s="80">
        <v>0</v>
      </c>
      <c r="AU51" s="80"/>
      <c r="AV51" s="80"/>
      <c r="AW51" s="80"/>
      <c r="AX51" s="80"/>
      <c r="AY51" s="80"/>
      <c r="AZ51" s="80"/>
      <c r="BA51" s="80"/>
      <c r="BB51" s="80"/>
      <c r="BC51">
        <v>1</v>
      </c>
      <c r="BD51" s="79" t="str">
        <f>REPLACE(INDEX(GroupVertices[Group],MATCH(Edges35[[#This Row],[Vertex 1]],GroupVertices[Vertex],0)),1,1,"")</f>
        <v>11</v>
      </c>
      <c r="BE51" s="79" t="str">
        <f>REPLACE(INDEX(GroupVertices[Group],MATCH(Edges35[[#This Row],[Vertex 2]],GroupVertices[Vertex],0)),1,1,"")</f>
        <v>11</v>
      </c>
      <c r="BF51" s="49">
        <v>0</v>
      </c>
      <c r="BG51" s="50">
        <v>0</v>
      </c>
      <c r="BH51" s="49">
        <v>0</v>
      </c>
      <c r="BI51" s="50">
        <v>0</v>
      </c>
      <c r="BJ51" s="49">
        <v>0</v>
      </c>
      <c r="BK51" s="50">
        <v>0</v>
      </c>
      <c r="BL51" s="49">
        <v>16</v>
      </c>
      <c r="BM51" s="50">
        <v>100</v>
      </c>
      <c r="BN51" s="49">
        <v>16</v>
      </c>
    </row>
    <row r="52" spans="1:66" ht="15">
      <c r="A52" s="65" t="s">
        <v>256</v>
      </c>
      <c r="B52" s="65" t="s">
        <v>257</v>
      </c>
      <c r="C52" s="66" t="s">
        <v>2648</v>
      </c>
      <c r="D52" s="67">
        <v>10</v>
      </c>
      <c r="E52" s="68"/>
      <c r="F52" s="69">
        <v>20</v>
      </c>
      <c r="G52" s="66"/>
      <c r="H52" s="70"/>
      <c r="I52" s="71"/>
      <c r="J52" s="71"/>
      <c r="K52" s="35" t="s">
        <v>65</v>
      </c>
      <c r="L52" s="78">
        <v>93</v>
      </c>
      <c r="M52" s="78"/>
      <c r="N52" s="73"/>
      <c r="O52" s="80" t="s">
        <v>383</v>
      </c>
      <c r="P52" s="82">
        <v>44458.71324074074</v>
      </c>
      <c r="Q52" s="80" t="s">
        <v>409</v>
      </c>
      <c r="R52" s="83" t="str">
        <f>HYPERLINK("http://gabinete.mx/index.php/es/component/k2/item/658-amlo-seguimiento-septiembre-2021")</f>
        <v>http://gabinete.mx/index.php/es/component/k2/item/658-amlo-seguimiento-septiembre-2021</v>
      </c>
      <c r="S52" s="80" t="s">
        <v>459</v>
      </c>
      <c r="T52" s="80"/>
      <c r="U52" s="83" t="str">
        <f>HYPERLINK("https://pbs.twimg.com/media/E_qdJWxVcAAhOWx.jpg")</f>
        <v>https://pbs.twimg.com/media/E_qdJWxVcAAhOWx.jpg</v>
      </c>
      <c r="V52" s="83" t="str">
        <f>HYPERLINK("https://pbs.twimg.com/media/E_qdJWxVcAAhOWx.jpg")</f>
        <v>https://pbs.twimg.com/media/E_qdJWxVcAAhOWx.jpg</v>
      </c>
      <c r="W52" s="82">
        <v>44458.71324074074</v>
      </c>
      <c r="X52" s="88">
        <v>44458</v>
      </c>
      <c r="Y52" s="85" t="s">
        <v>566</v>
      </c>
      <c r="Z52" s="83" t="str">
        <f>HYPERLINK("https://twitter.com/dianadi58/status/1439637173905600512")</f>
        <v>https://twitter.com/dianadi58/status/1439637173905600512</v>
      </c>
      <c r="AA52" s="80"/>
      <c r="AB52" s="80"/>
      <c r="AC52" s="85" t="s">
        <v>739</v>
      </c>
      <c r="AD52" s="80"/>
      <c r="AE52" s="80" t="b">
        <v>0</v>
      </c>
      <c r="AF52" s="80">
        <v>0</v>
      </c>
      <c r="AG52" s="85" t="s">
        <v>871</v>
      </c>
      <c r="AH52" s="80" t="b">
        <v>0</v>
      </c>
      <c r="AI52" s="80" t="s">
        <v>882</v>
      </c>
      <c r="AJ52" s="80"/>
      <c r="AK52" s="85" t="s">
        <v>871</v>
      </c>
      <c r="AL52" s="80" t="b">
        <v>0</v>
      </c>
      <c r="AM52" s="80">
        <v>3</v>
      </c>
      <c r="AN52" s="85" t="s">
        <v>742</v>
      </c>
      <c r="AO52" s="85" t="s">
        <v>890</v>
      </c>
      <c r="AP52" s="80" t="b">
        <v>0</v>
      </c>
      <c r="AQ52" s="85" t="s">
        <v>742</v>
      </c>
      <c r="AR52" s="80" t="s">
        <v>178</v>
      </c>
      <c r="AS52" s="80">
        <v>0</v>
      </c>
      <c r="AT52" s="80">
        <v>0</v>
      </c>
      <c r="AU52" s="80"/>
      <c r="AV52" s="80"/>
      <c r="AW52" s="80"/>
      <c r="AX52" s="80"/>
      <c r="AY52" s="80"/>
      <c r="AZ52" s="80"/>
      <c r="BA52" s="80"/>
      <c r="BB52" s="80"/>
      <c r="BC52">
        <v>4</v>
      </c>
      <c r="BD52" s="79" t="str">
        <f>REPLACE(INDEX(GroupVertices[Group],MATCH(Edges35[[#This Row],[Vertex 1]],GroupVertices[Vertex],0)),1,1,"")</f>
        <v>11</v>
      </c>
      <c r="BE52" s="79" t="str">
        <f>REPLACE(INDEX(GroupVertices[Group],MATCH(Edges35[[#This Row],[Vertex 2]],GroupVertices[Vertex],0)),1,1,"")</f>
        <v>11</v>
      </c>
      <c r="BF52" s="49">
        <v>0</v>
      </c>
      <c r="BG52" s="50">
        <v>0</v>
      </c>
      <c r="BH52" s="49">
        <v>0</v>
      </c>
      <c r="BI52" s="50">
        <v>0</v>
      </c>
      <c r="BJ52" s="49">
        <v>0</v>
      </c>
      <c r="BK52" s="50">
        <v>0</v>
      </c>
      <c r="BL52" s="49">
        <v>16</v>
      </c>
      <c r="BM52" s="50">
        <v>100</v>
      </c>
      <c r="BN52" s="49">
        <v>16</v>
      </c>
    </row>
    <row r="53" spans="1:66" ht="15">
      <c r="A53" s="65" t="s">
        <v>256</v>
      </c>
      <c r="B53" s="65" t="s">
        <v>257</v>
      </c>
      <c r="C53" s="66" t="s">
        <v>2648</v>
      </c>
      <c r="D53" s="67">
        <v>10</v>
      </c>
      <c r="E53" s="68"/>
      <c r="F53" s="69">
        <v>20</v>
      </c>
      <c r="G53" s="66"/>
      <c r="H53" s="70"/>
      <c r="I53" s="71"/>
      <c r="J53" s="71"/>
      <c r="K53" s="35" t="s">
        <v>65</v>
      </c>
      <c r="L53" s="78">
        <v>94</v>
      </c>
      <c r="M53" s="78"/>
      <c r="N53" s="73"/>
      <c r="O53" s="80" t="s">
        <v>383</v>
      </c>
      <c r="P53" s="82">
        <v>44458.843622685185</v>
      </c>
      <c r="Q53" s="80" t="s">
        <v>410</v>
      </c>
      <c r="R53" s="83" t="str">
        <f>HYPERLINK("http://gabinete.mx/index.php/es/component/k2/item/658-amlo-seguimiento-septiembre-2021")</f>
        <v>http://gabinete.mx/index.php/es/component/k2/item/658-amlo-seguimiento-septiembre-2021</v>
      </c>
      <c r="S53" s="80" t="s">
        <v>459</v>
      </c>
      <c r="T53" s="85" t="s">
        <v>472</v>
      </c>
      <c r="U53" s="83" t="str">
        <f>HYPERLINK("https://pbs.twimg.com/media/E_rGE_jUUAEj4VP.jpg")</f>
        <v>https://pbs.twimg.com/media/E_rGE_jUUAEj4VP.jpg</v>
      </c>
      <c r="V53" s="83" t="str">
        <f>HYPERLINK("https://pbs.twimg.com/media/E_rGE_jUUAEj4VP.jpg")</f>
        <v>https://pbs.twimg.com/media/E_rGE_jUUAEj4VP.jpg</v>
      </c>
      <c r="W53" s="82">
        <v>44458.843622685185</v>
      </c>
      <c r="X53" s="88">
        <v>44458</v>
      </c>
      <c r="Y53" s="85" t="s">
        <v>567</v>
      </c>
      <c r="Z53" s="83" t="str">
        <f>HYPERLINK("https://twitter.com/dianadi58/status/1439684423197380615")</f>
        <v>https://twitter.com/dianadi58/status/1439684423197380615</v>
      </c>
      <c r="AA53" s="80"/>
      <c r="AB53" s="80"/>
      <c r="AC53" s="85" t="s">
        <v>740</v>
      </c>
      <c r="AD53" s="80"/>
      <c r="AE53" s="80" t="b">
        <v>0</v>
      </c>
      <c r="AF53" s="80">
        <v>0</v>
      </c>
      <c r="AG53" s="85" t="s">
        <v>871</v>
      </c>
      <c r="AH53" s="80" t="b">
        <v>0</v>
      </c>
      <c r="AI53" s="80" t="s">
        <v>882</v>
      </c>
      <c r="AJ53" s="80"/>
      <c r="AK53" s="85" t="s">
        <v>871</v>
      </c>
      <c r="AL53" s="80" t="b">
        <v>0</v>
      </c>
      <c r="AM53" s="80">
        <v>3</v>
      </c>
      <c r="AN53" s="85" t="s">
        <v>743</v>
      </c>
      <c r="AO53" s="85" t="s">
        <v>890</v>
      </c>
      <c r="AP53" s="80" t="b">
        <v>0</v>
      </c>
      <c r="AQ53" s="85" t="s">
        <v>743</v>
      </c>
      <c r="AR53" s="80" t="s">
        <v>178</v>
      </c>
      <c r="AS53" s="80">
        <v>0</v>
      </c>
      <c r="AT53" s="80">
        <v>0</v>
      </c>
      <c r="AU53" s="80"/>
      <c r="AV53" s="80"/>
      <c r="AW53" s="80"/>
      <c r="AX53" s="80"/>
      <c r="AY53" s="80"/>
      <c r="AZ53" s="80"/>
      <c r="BA53" s="80"/>
      <c r="BB53" s="80"/>
      <c r="BC53">
        <v>4</v>
      </c>
      <c r="BD53" s="79" t="str">
        <f>REPLACE(INDEX(GroupVertices[Group],MATCH(Edges35[[#This Row],[Vertex 1]],GroupVertices[Vertex],0)),1,1,"")</f>
        <v>11</v>
      </c>
      <c r="BE53" s="79" t="str">
        <f>REPLACE(INDEX(GroupVertices[Group],MATCH(Edges35[[#This Row],[Vertex 2]],GroupVertices[Vertex],0)),1,1,"")</f>
        <v>11</v>
      </c>
      <c r="BF53" s="49">
        <v>0</v>
      </c>
      <c r="BG53" s="50">
        <v>0</v>
      </c>
      <c r="BH53" s="49">
        <v>0</v>
      </c>
      <c r="BI53" s="50">
        <v>0</v>
      </c>
      <c r="BJ53" s="49">
        <v>0</v>
      </c>
      <c r="BK53" s="50">
        <v>0</v>
      </c>
      <c r="BL53" s="49">
        <v>24</v>
      </c>
      <c r="BM53" s="50">
        <v>100</v>
      </c>
      <c r="BN53" s="49">
        <v>24</v>
      </c>
    </row>
    <row r="54" spans="1:66" ht="15">
      <c r="A54" s="65" t="s">
        <v>257</v>
      </c>
      <c r="B54" s="65" t="s">
        <v>257</v>
      </c>
      <c r="C54" s="66" t="s">
        <v>2648</v>
      </c>
      <c r="D54" s="67">
        <v>10</v>
      </c>
      <c r="E54" s="68"/>
      <c r="F54" s="69">
        <v>20</v>
      </c>
      <c r="G54" s="66"/>
      <c r="H54" s="70"/>
      <c r="I54" s="71"/>
      <c r="J54" s="71"/>
      <c r="K54" s="35" t="s">
        <v>65</v>
      </c>
      <c r="L54" s="78">
        <v>95</v>
      </c>
      <c r="M54" s="78"/>
      <c r="N54" s="73"/>
      <c r="O54" s="80" t="s">
        <v>178</v>
      </c>
      <c r="P54" s="82">
        <v>44458.625451388885</v>
      </c>
      <c r="Q54" s="80" t="s">
        <v>411</v>
      </c>
      <c r="R54" s="83" t="str">
        <f>HYPERLINK("http://gabinete.mx/index.php/es/component/k2/item/658-amlo-seguimiento-septiembre-2021")</f>
        <v>http://gabinete.mx/index.php/es/component/k2/item/658-amlo-seguimiento-septiembre-2021</v>
      </c>
      <c r="S54" s="80" t="s">
        <v>459</v>
      </c>
      <c r="T54" s="85" t="s">
        <v>472</v>
      </c>
      <c r="U54" s="83" t="str">
        <f>HYPERLINK("https://pbs.twimg.com/media/E_qBceAVQAAGXdI.jpg")</f>
        <v>https://pbs.twimg.com/media/E_qBceAVQAAGXdI.jpg</v>
      </c>
      <c r="V54" s="83" t="str">
        <f>HYPERLINK("https://pbs.twimg.com/media/E_qBceAVQAAGXdI.jpg")</f>
        <v>https://pbs.twimg.com/media/E_qBceAVQAAGXdI.jpg</v>
      </c>
      <c r="W54" s="82">
        <v>44458.625451388885</v>
      </c>
      <c r="X54" s="88">
        <v>44458</v>
      </c>
      <c r="Y54" s="85" t="s">
        <v>568</v>
      </c>
      <c r="Z54" s="83" t="str">
        <f>HYPERLINK("https://twitter.com/gabinetemex/status/1439605362630422534")</f>
        <v>https://twitter.com/gabinetemex/status/1439605362630422534</v>
      </c>
      <c r="AA54" s="80"/>
      <c r="AB54" s="80"/>
      <c r="AC54" s="85" t="s">
        <v>741</v>
      </c>
      <c r="AD54" s="80"/>
      <c r="AE54" s="80" t="b">
        <v>0</v>
      </c>
      <c r="AF54" s="80">
        <v>1</v>
      </c>
      <c r="AG54" s="85" t="s">
        <v>871</v>
      </c>
      <c r="AH54" s="80" t="b">
        <v>0</v>
      </c>
      <c r="AI54" s="80" t="s">
        <v>882</v>
      </c>
      <c r="AJ54" s="80"/>
      <c r="AK54" s="85" t="s">
        <v>871</v>
      </c>
      <c r="AL54" s="80" t="b">
        <v>0</v>
      </c>
      <c r="AM54" s="80">
        <v>2</v>
      </c>
      <c r="AN54" s="85" t="s">
        <v>871</v>
      </c>
      <c r="AO54" s="85" t="s">
        <v>894</v>
      </c>
      <c r="AP54" s="80" t="b">
        <v>0</v>
      </c>
      <c r="AQ54" s="85" t="s">
        <v>741</v>
      </c>
      <c r="AR54" s="80" t="s">
        <v>178</v>
      </c>
      <c r="AS54" s="80">
        <v>0</v>
      </c>
      <c r="AT54" s="80">
        <v>0</v>
      </c>
      <c r="AU54" s="80"/>
      <c r="AV54" s="80"/>
      <c r="AW54" s="80"/>
      <c r="AX54" s="80"/>
      <c r="AY54" s="80"/>
      <c r="AZ54" s="80"/>
      <c r="BA54" s="80"/>
      <c r="BB54" s="80"/>
      <c r="BC54">
        <v>16</v>
      </c>
      <c r="BD54" s="79" t="str">
        <f>REPLACE(INDEX(GroupVertices[Group],MATCH(Edges35[[#This Row],[Vertex 1]],GroupVertices[Vertex],0)),1,1,"")</f>
        <v>11</v>
      </c>
      <c r="BE54" s="79" t="str">
        <f>REPLACE(INDEX(GroupVertices[Group],MATCH(Edges35[[#This Row],[Vertex 2]],GroupVertices[Vertex],0)),1,1,"")</f>
        <v>11</v>
      </c>
      <c r="BF54" s="49">
        <v>0</v>
      </c>
      <c r="BG54" s="50">
        <v>0</v>
      </c>
      <c r="BH54" s="49">
        <v>0</v>
      </c>
      <c r="BI54" s="50">
        <v>0</v>
      </c>
      <c r="BJ54" s="49">
        <v>0</v>
      </c>
      <c r="BK54" s="50">
        <v>0</v>
      </c>
      <c r="BL54" s="49">
        <v>17</v>
      </c>
      <c r="BM54" s="50">
        <v>100</v>
      </c>
      <c r="BN54" s="49">
        <v>17</v>
      </c>
    </row>
    <row r="55" spans="1:66" ht="15">
      <c r="A55" s="65" t="s">
        <v>257</v>
      </c>
      <c r="B55" s="65" t="s">
        <v>257</v>
      </c>
      <c r="C55" s="66" t="s">
        <v>2648</v>
      </c>
      <c r="D55" s="67">
        <v>10</v>
      </c>
      <c r="E55" s="68"/>
      <c r="F55" s="69">
        <v>20</v>
      </c>
      <c r="G55" s="66"/>
      <c r="H55" s="70"/>
      <c r="I55" s="71"/>
      <c r="J55" s="71"/>
      <c r="K55" s="35" t="s">
        <v>65</v>
      </c>
      <c r="L55" s="78">
        <v>96</v>
      </c>
      <c r="M55" s="78"/>
      <c r="N55" s="73"/>
      <c r="O55" s="80" t="s">
        <v>178</v>
      </c>
      <c r="P55" s="82">
        <v>44458.709502314814</v>
      </c>
      <c r="Q55" s="80" t="s">
        <v>409</v>
      </c>
      <c r="R55" s="83" t="str">
        <f>HYPERLINK("http://gabinete.mx/index.php/es/component/k2/item/658-amlo-seguimiento-septiembre-2021")</f>
        <v>http://gabinete.mx/index.php/es/component/k2/item/658-amlo-seguimiento-septiembre-2021</v>
      </c>
      <c r="S55" s="80" t="s">
        <v>459</v>
      </c>
      <c r="T55" s="85" t="s">
        <v>472</v>
      </c>
      <c r="U55" s="83" t="str">
        <f>HYPERLINK("https://pbs.twimg.com/media/E_qdJWxVcAAhOWx.jpg")</f>
        <v>https://pbs.twimg.com/media/E_qdJWxVcAAhOWx.jpg</v>
      </c>
      <c r="V55" s="83" t="str">
        <f>HYPERLINK("https://pbs.twimg.com/media/E_qdJWxVcAAhOWx.jpg")</f>
        <v>https://pbs.twimg.com/media/E_qdJWxVcAAhOWx.jpg</v>
      </c>
      <c r="W55" s="82">
        <v>44458.709502314814</v>
      </c>
      <c r="X55" s="88">
        <v>44458</v>
      </c>
      <c r="Y55" s="85" t="s">
        <v>569</v>
      </c>
      <c r="Z55" s="83" t="str">
        <f>HYPERLINK("https://twitter.com/gabinetemex/status/1439635821565341698")</f>
        <v>https://twitter.com/gabinetemex/status/1439635821565341698</v>
      </c>
      <c r="AA55" s="80"/>
      <c r="AB55" s="80"/>
      <c r="AC55" s="85" t="s">
        <v>742</v>
      </c>
      <c r="AD55" s="80"/>
      <c r="AE55" s="80" t="b">
        <v>0</v>
      </c>
      <c r="AF55" s="80">
        <v>1</v>
      </c>
      <c r="AG55" s="85" t="s">
        <v>871</v>
      </c>
      <c r="AH55" s="80" t="b">
        <v>0</v>
      </c>
      <c r="AI55" s="80" t="s">
        <v>882</v>
      </c>
      <c r="AJ55" s="80"/>
      <c r="AK55" s="85" t="s">
        <v>871</v>
      </c>
      <c r="AL55" s="80" t="b">
        <v>0</v>
      </c>
      <c r="AM55" s="80">
        <v>3</v>
      </c>
      <c r="AN55" s="85" t="s">
        <v>871</v>
      </c>
      <c r="AO55" s="85" t="s">
        <v>894</v>
      </c>
      <c r="AP55" s="80" t="b">
        <v>0</v>
      </c>
      <c r="AQ55" s="85" t="s">
        <v>742</v>
      </c>
      <c r="AR55" s="80" t="s">
        <v>178</v>
      </c>
      <c r="AS55" s="80">
        <v>0</v>
      </c>
      <c r="AT55" s="80">
        <v>0</v>
      </c>
      <c r="AU55" s="80"/>
      <c r="AV55" s="80"/>
      <c r="AW55" s="80"/>
      <c r="AX55" s="80"/>
      <c r="AY55" s="80"/>
      <c r="AZ55" s="80"/>
      <c r="BA55" s="80"/>
      <c r="BB55" s="80"/>
      <c r="BC55">
        <v>16</v>
      </c>
      <c r="BD55" s="79" t="str">
        <f>REPLACE(INDEX(GroupVertices[Group],MATCH(Edges35[[#This Row],[Vertex 1]],GroupVertices[Vertex],0)),1,1,"")</f>
        <v>11</v>
      </c>
      <c r="BE55" s="79" t="str">
        <f>REPLACE(INDEX(GroupVertices[Group],MATCH(Edges35[[#This Row],[Vertex 2]],GroupVertices[Vertex],0)),1,1,"")</f>
        <v>11</v>
      </c>
      <c r="BF55" s="49">
        <v>0</v>
      </c>
      <c r="BG55" s="50">
        <v>0</v>
      </c>
      <c r="BH55" s="49">
        <v>0</v>
      </c>
      <c r="BI55" s="50">
        <v>0</v>
      </c>
      <c r="BJ55" s="49">
        <v>0</v>
      </c>
      <c r="BK55" s="50">
        <v>0</v>
      </c>
      <c r="BL55" s="49">
        <v>16</v>
      </c>
      <c r="BM55" s="50">
        <v>100</v>
      </c>
      <c r="BN55" s="49">
        <v>16</v>
      </c>
    </row>
    <row r="56" spans="1:66" ht="15">
      <c r="A56" s="65" t="s">
        <v>257</v>
      </c>
      <c r="B56" s="65" t="s">
        <v>257</v>
      </c>
      <c r="C56" s="66" t="s">
        <v>2648</v>
      </c>
      <c r="D56" s="67">
        <v>10</v>
      </c>
      <c r="E56" s="68"/>
      <c r="F56" s="69">
        <v>20</v>
      </c>
      <c r="G56" s="66"/>
      <c r="H56" s="70"/>
      <c r="I56" s="71"/>
      <c r="J56" s="71"/>
      <c r="K56" s="35" t="s">
        <v>65</v>
      </c>
      <c r="L56" s="78">
        <v>97</v>
      </c>
      <c r="M56" s="78"/>
      <c r="N56" s="73"/>
      <c r="O56" s="80" t="s">
        <v>178</v>
      </c>
      <c r="P56" s="82">
        <v>44458.83369212963</v>
      </c>
      <c r="Q56" s="80" t="s">
        <v>410</v>
      </c>
      <c r="R56" s="83" t="str">
        <f>HYPERLINK("http://gabinete.mx/index.php/es/component/k2/item/658-amlo-seguimiento-septiembre-2021")</f>
        <v>http://gabinete.mx/index.php/es/component/k2/item/658-amlo-seguimiento-septiembre-2021</v>
      </c>
      <c r="S56" s="80" t="s">
        <v>459</v>
      </c>
      <c r="T56" s="85" t="s">
        <v>472</v>
      </c>
      <c r="U56" s="83" t="str">
        <f>HYPERLINK("https://pbs.twimg.com/media/E_rGE_jUUAEj4VP.jpg")</f>
        <v>https://pbs.twimg.com/media/E_rGE_jUUAEj4VP.jpg</v>
      </c>
      <c r="V56" s="83" t="str">
        <f>HYPERLINK("https://pbs.twimg.com/media/E_rGE_jUUAEj4VP.jpg")</f>
        <v>https://pbs.twimg.com/media/E_rGE_jUUAEj4VP.jpg</v>
      </c>
      <c r="W56" s="82">
        <v>44458.83369212963</v>
      </c>
      <c r="X56" s="88">
        <v>44458</v>
      </c>
      <c r="Y56" s="85" t="s">
        <v>570</v>
      </c>
      <c r="Z56" s="83" t="str">
        <f>HYPERLINK("https://twitter.com/gabinetemex/status/1439680825524580354")</f>
        <v>https://twitter.com/gabinetemex/status/1439680825524580354</v>
      </c>
      <c r="AA56" s="80"/>
      <c r="AB56" s="80"/>
      <c r="AC56" s="85" t="s">
        <v>743</v>
      </c>
      <c r="AD56" s="80"/>
      <c r="AE56" s="80" t="b">
        <v>0</v>
      </c>
      <c r="AF56" s="80">
        <v>1</v>
      </c>
      <c r="AG56" s="85" t="s">
        <v>871</v>
      </c>
      <c r="AH56" s="80" t="b">
        <v>0</v>
      </c>
      <c r="AI56" s="80" t="s">
        <v>882</v>
      </c>
      <c r="AJ56" s="80"/>
      <c r="AK56" s="85" t="s">
        <v>871</v>
      </c>
      <c r="AL56" s="80" t="b">
        <v>0</v>
      </c>
      <c r="AM56" s="80">
        <v>3</v>
      </c>
      <c r="AN56" s="85" t="s">
        <v>871</v>
      </c>
      <c r="AO56" s="85" t="s">
        <v>894</v>
      </c>
      <c r="AP56" s="80" t="b">
        <v>0</v>
      </c>
      <c r="AQ56" s="85" t="s">
        <v>743</v>
      </c>
      <c r="AR56" s="80" t="s">
        <v>178</v>
      </c>
      <c r="AS56" s="80">
        <v>0</v>
      </c>
      <c r="AT56" s="80">
        <v>0</v>
      </c>
      <c r="AU56" s="80"/>
      <c r="AV56" s="80"/>
      <c r="AW56" s="80"/>
      <c r="AX56" s="80"/>
      <c r="AY56" s="80"/>
      <c r="AZ56" s="80"/>
      <c r="BA56" s="80"/>
      <c r="BB56" s="80"/>
      <c r="BC56">
        <v>16</v>
      </c>
      <c r="BD56" s="79" t="str">
        <f>REPLACE(INDEX(GroupVertices[Group],MATCH(Edges35[[#This Row],[Vertex 1]],GroupVertices[Vertex],0)),1,1,"")</f>
        <v>11</v>
      </c>
      <c r="BE56" s="79" t="str">
        <f>REPLACE(INDEX(GroupVertices[Group],MATCH(Edges35[[#This Row],[Vertex 2]],GroupVertices[Vertex],0)),1,1,"")</f>
        <v>11</v>
      </c>
      <c r="BF56" s="49">
        <v>0</v>
      </c>
      <c r="BG56" s="50">
        <v>0</v>
      </c>
      <c r="BH56" s="49">
        <v>0</v>
      </c>
      <c r="BI56" s="50">
        <v>0</v>
      </c>
      <c r="BJ56" s="49">
        <v>0</v>
      </c>
      <c r="BK56" s="50">
        <v>0</v>
      </c>
      <c r="BL56" s="49">
        <v>24</v>
      </c>
      <c r="BM56" s="50">
        <v>100</v>
      </c>
      <c r="BN56" s="49">
        <v>24</v>
      </c>
    </row>
    <row r="57" spans="1:66" ht="15">
      <c r="A57" s="65" t="s">
        <v>257</v>
      </c>
      <c r="B57" s="65" t="s">
        <v>257</v>
      </c>
      <c r="C57" s="66" t="s">
        <v>2648</v>
      </c>
      <c r="D57" s="67">
        <v>10</v>
      </c>
      <c r="E57" s="68"/>
      <c r="F57" s="69">
        <v>20</v>
      </c>
      <c r="G57" s="66"/>
      <c r="H57" s="70"/>
      <c r="I57" s="71"/>
      <c r="J57" s="71"/>
      <c r="K57" s="35" t="s">
        <v>65</v>
      </c>
      <c r="L57" s="78">
        <v>98</v>
      </c>
      <c r="M57" s="78"/>
      <c r="N57" s="73"/>
      <c r="O57" s="80" t="s">
        <v>178</v>
      </c>
      <c r="P57" s="82">
        <v>44458.95884259259</v>
      </c>
      <c r="Q57" s="80" t="s">
        <v>412</v>
      </c>
      <c r="R57" s="83" t="str">
        <f>HYPERLINK("http://gabinete.mx/index.php/es/component/k2/item/658-amlo-seguimiento-septiembre-2021")</f>
        <v>http://gabinete.mx/index.php/es/component/k2/item/658-amlo-seguimiento-septiembre-2021</v>
      </c>
      <c r="S57" s="80" t="s">
        <v>459</v>
      </c>
      <c r="T57" s="85" t="s">
        <v>472</v>
      </c>
      <c r="U57" s="83" t="str">
        <f>HYPERLINK("https://pbs.twimg.com/media/E_rvU4tVIAMWBpk.jpg")</f>
        <v>https://pbs.twimg.com/media/E_rvU4tVIAMWBpk.jpg</v>
      </c>
      <c r="V57" s="83" t="str">
        <f>HYPERLINK("https://pbs.twimg.com/media/E_rvU4tVIAMWBpk.jpg")</f>
        <v>https://pbs.twimg.com/media/E_rvU4tVIAMWBpk.jpg</v>
      </c>
      <c r="W57" s="82">
        <v>44458.95884259259</v>
      </c>
      <c r="X57" s="88">
        <v>44458</v>
      </c>
      <c r="Y57" s="85" t="s">
        <v>571</v>
      </c>
      <c r="Z57" s="83" t="str">
        <f>HYPERLINK("https://twitter.com/gabinetemex/status/1439726178273677315")</f>
        <v>https://twitter.com/gabinetemex/status/1439726178273677315</v>
      </c>
      <c r="AA57" s="80"/>
      <c r="AB57" s="80"/>
      <c r="AC57" s="85" t="s">
        <v>744</v>
      </c>
      <c r="AD57" s="80"/>
      <c r="AE57" s="80" t="b">
        <v>0</v>
      </c>
      <c r="AF57" s="80">
        <v>1</v>
      </c>
      <c r="AG57" s="85" t="s">
        <v>871</v>
      </c>
      <c r="AH57" s="80" t="b">
        <v>0</v>
      </c>
      <c r="AI57" s="80" t="s">
        <v>882</v>
      </c>
      <c r="AJ57" s="80"/>
      <c r="AK57" s="85" t="s">
        <v>871</v>
      </c>
      <c r="AL57" s="80" t="b">
        <v>0</v>
      </c>
      <c r="AM57" s="80">
        <v>2</v>
      </c>
      <c r="AN57" s="85" t="s">
        <v>871</v>
      </c>
      <c r="AO57" s="85" t="s">
        <v>894</v>
      </c>
      <c r="AP57" s="80" t="b">
        <v>0</v>
      </c>
      <c r="AQ57" s="85" t="s">
        <v>744</v>
      </c>
      <c r="AR57" s="80" t="s">
        <v>178</v>
      </c>
      <c r="AS57" s="80">
        <v>0</v>
      </c>
      <c r="AT57" s="80">
        <v>0</v>
      </c>
      <c r="AU57" s="80"/>
      <c r="AV57" s="80"/>
      <c r="AW57" s="80"/>
      <c r="AX57" s="80"/>
      <c r="AY57" s="80"/>
      <c r="AZ57" s="80"/>
      <c r="BA57" s="80"/>
      <c r="BB57" s="80"/>
      <c r="BC57">
        <v>16</v>
      </c>
      <c r="BD57" s="79" t="str">
        <f>REPLACE(INDEX(GroupVertices[Group],MATCH(Edges35[[#This Row],[Vertex 1]],GroupVertices[Vertex],0)),1,1,"")</f>
        <v>11</v>
      </c>
      <c r="BE57" s="79" t="str">
        <f>REPLACE(INDEX(GroupVertices[Group],MATCH(Edges35[[#This Row],[Vertex 2]],GroupVertices[Vertex],0)),1,1,"")</f>
        <v>11</v>
      </c>
      <c r="BF57" s="49">
        <v>0</v>
      </c>
      <c r="BG57" s="50">
        <v>0</v>
      </c>
      <c r="BH57" s="49">
        <v>0</v>
      </c>
      <c r="BI57" s="50">
        <v>0</v>
      </c>
      <c r="BJ57" s="49">
        <v>0</v>
      </c>
      <c r="BK57" s="50">
        <v>0</v>
      </c>
      <c r="BL57" s="49">
        <v>19</v>
      </c>
      <c r="BM57" s="50">
        <v>100</v>
      </c>
      <c r="BN57" s="49">
        <v>19</v>
      </c>
    </row>
    <row r="58" spans="1:66" ht="15">
      <c r="A58" s="65" t="s">
        <v>258</v>
      </c>
      <c r="B58" s="65" t="s">
        <v>257</v>
      </c>
      <c r="C58" s="66" t="s">
        <v>2648</v>
      </c>
      <c r="D58" s="67">
        <v>10</v>
      </c>
      <c r="E58" s="68"/>
      <c r="F58" s="69">
        <v>20</v>
      </c>
      <c r="G58" s="66"/>
      <c r="H58" s="70"/>
      <c r="I58" s="71"/>
      <c r="J58" s="71"/>
      <c r="K58" s="35" t="s">
        <v>65</v>
      </c>
      <c r="L58" s="78">
        <v>99</v>
      </c>
      <c r="M58" s="78"/>
      <c r="N58" s="73"/>
      <c r="O58" s="80" t="s">
        <v>383</v>
      </c>
      <c r="P58" s="82">
        <v>44459.58416666667</v>
      </c>
      <c r="Q58" s="80" t="s">
        <v>412</v>
      </c>
      <c r="R58" s="83" t="str">
        <f>HYPERLINK("http://gabinete.mx/index.php/es/component/k2/item/658-amlo-seguimiento-septiembre-2021")</f>
        <v>http://gabinete.mx/index.php/es/component/k2/item/658-amlo-seguimiento-septiembre-2021</v>
      </c>
      <c r="S58" s="80" t="s">
        <v>459</v>
      </c>
      <c r="T58" s="85" t="s">
        <v>472</v>
      </c>
      <c r="U58" s="83" t="str">
        <f>HYPERLINK("https://pbs.twimg.com/media/E_rvU4tVIAMWBpk.jpg")</f>
        <v>https://pbs.twimg.com/media/E_rvU4tVIAMWBpk.jpg</v>
      </c>
      <c r="V58" s="83" t="str">
        <f>HYPERLINK("https://pbs.twimg.com/media/E_rvU4tVIAMWBpk.jpg")</f>
        <v>https://pbs.twimg.com/media/E_rvU4tVIAMWBpk.jpg</v>
      </c>
      <c r="W58" s="82">
        <v>44459.58416666667</v>
      </c>
      <c r="X58" s="88">
        <v>44459</v>
      </c>
      <c r="Y58" s="85" t="s">
        <v>572</v>
      </c>
      <c r="Z58" s="83" t="str">
        <f>HYPERLINK("https://twitter.com/kaleydoscopio1/status/1439952787828207619")</f>
        <v>https://twitter.com/kaleydoscopio1/status/1439952787828207619</v>
      </c>
      <c r="AA58" s="80"/>
      <c r="AB58" s="80"/>
      <c r="AC58" s="85" t="s">
        <v>745</v>
      </c>
      <c r="AD58" s="80"/>
      <c r="AE58" s="80" t="b">
        <v>0</v>
      </c>
      <c r="AF58" s="80">
        <v>0</v>
      </c>
      <c r="AG58" s="85" t="s">
        <v>871</v>
      </c>
      <c r="AH58" s="80" t="b">
        <v>0</v>
      </c>
      <c r="AI58" s="80" t="s">
        <v>882</v>
      </c>
      <c r="AJ58" s="80"/>
      <c r="AK58" s="85" t="s">
        <v>871</v>
      </c>
      <c r="AL58" s="80" t="b">
        <v>0</v>
      </c>
      <c r="AM58" s="80">
        <v>2</v>
      </c>
      <c r="AN58" s="85" t="s">
        <v>744</v>
      </c>
      <c r="AO58" s="85" t="s">
        <v>893</v>
      </c>
      <c r="AP58" s="80" t="b">
        <v>0</v>
      </c>
      <c r="AQ58" s="85" t="s">
        <v>744</v>
      </c>
      <c r="AR58" s="80" t="s">
        <v>178</v>
      </c>
      <c r="AS58" s="80">
        <v>0</v>
      </c>
      <c r="AT58" s="80">
        <v>0</v>
      </c>
      <c r="AU58" s="80"/>
      <c r="AV58" s="80"/>
      <c r="AW58" s="80"/>
      <c r="AX58" s="80"/>
      <c r="AY58" s="80"/>
      <c r="AZ58" s="80"/>
      <c r="BA58" s="80"/>
      <c r="BB58" s="80"/>
      <c r="BC58">
        <v>16</v>
      </c>
      <c r="BD58" s="79" t="str">
        <f>REPLACE(INDEX(GroupVertices[Group],MATCH(Edges35[[#This Row],[Vertex 1]],GroupVertices[Vertex],0)),1,1,"")</f>
        <v>11</v>
      </c>
      <c r="BE58" s="79" t="str">
        <f>REPLACE(INDEX(GroupVertices[Group],MATCH(Edges35[[#This Row],[Vertex 2]],GroupVertices[Vertex],0)),1,1,"")</f>
        <v>11</v>
      </c>
      <c r="BF58" s="49">
        <v>0</v>
      </c>
      <c r="BG58" s="50">
        <v>0</v>
      </c>
      <c r="BH58" s="49">
        <v>0</v>
      </c>
      <c r="BI58" s="50">
        <v>0</v>
      </c>
      <c r="BJ58" s="49">
        <v>0</v>
      </c>
      <c r="BK58" s="50">
        <v>0</v>
      </c>
      <c r="BL58" s="49">
        <v>19</v>
      </c>
      <c r="BM58" s="50">
        <v>100</v>
      </c>
      <c r="BN58" s="49">
        <v>19</v>
      </c>
    </row>
    <row r="59" spans="1:66" ht="15">
      <c r="A59" s="65" t="s">
        <v>258</v>
      </c>
      <c r="B59" s="65" t="s">
        <v>257</v>
      </c>
      <c r="C59" s="66" t="s">
        <v>2648</v>
      </c>
      <c r="D59" s="67">
        <v>10</v>
      </c>
      <c r="E59" s="68"/>
      <c r="F59" s="69">
        <v>20</v>
      </c>
      <c r="G59" s="66"/>
      <c r="H59" s="70"/>
      <c r="I59" s="71"/>
      <c r="J59" s="71"/>
      <c r="K59" s="35" t="s">
        <v>65</v>
      </c>
      <c r="L59" s="78">
        <v>100</v>
      </c>
      <c r="M59" s="78"/>
      <c r="N59" s="73"/>
      <c r="O59" s="80" t="s">
        <v>383</v>
      </c>
      <c r="P59" s="82">
        <v>44459.58425925926</v>
      </c>
      <c r="Q59" s="80" t="s">
        <v>410</v>
      </c>
      <c r="R59" s="83" t="str">
        <f>HYPERLINK("http://gabinete.mx/index.php/es/component/k2/item/658-amlo-seguimiento-septiembre-2021")</f>
        <v>http://gabinete.mx/index.php/es/component/k2/item/658-amlo-seguimiento-septiembre-2021</v>
      </c>
      <c r="S59" s="80" t="s">
        <v>459</v>
      </c>
      <c r="T59" s="85" t="s">
        <v>472</v>
      </c>
      <c r="U59" s="83" t="str">
        <f>HYPERLINK("https://pbs.twimg.com/media/E_rGE_jUUAEj4VP.jpg")</f>
        <v>https://pbs.twimg.com/media/E_rGE_jUUAEj4VP.jpg</v>
      </c>
      <c r="V59" s="83" t="str">
        <f>HYPERLINK("https://pbs.twimg.com/media/E_rGE_jUUAEj4VP.jpg")</f>
        <v>https://pbs.twimg.com/media/E_rGE_jUUAEj4VP.jpg</v>
      </c>
      <c r="W59" s="82">
        <v>44459.58425925926</v>
      </c>
      <c r="X59" s="88">
        <v>44459</v>
      </c>
      <c r="Y59" s="85" t="s">
        <v>573</v>
      </c>
      <c r="Z59" s="83" t="str">
        <f>HYPERLINK("https://twitter.com/kaleydoscopio1/status/1439952820573065217")</f>
        <v>https://twitter.com/kaleydoscopio1/status/1439952820573065217</v>
      </c>
      <c r="AA59" s="80"/>
      <c r="AB59" s="80"/>
      <c r="AC59" s="85" t="s">
        <v>746</v>
      </c>
      <c r="AD59" s="80"/>
      <c r="AE59" s="80" t="b">
        <v>0</v>
      </c>
      <c r="AF59" s="80">
        <v>0</v>
      </c>
      <c r="AG59" s="85" t="s">
        <v>871</v>
      </c>
      <c r="AH59" s="80" t="b">
        <v>0</v>
      </c>
      <c r="AI59" s="80" t="s">
        <v>882</v>
      </c>
      <c r="AJ59" s="80"/>
      <c r="AK59" s="85" t="s">
        <v>871</v>
      </c>
      <c r="AL59" s="80" t="b">
        <v>0</v>
      </c>
      <c r="AM59" s="80">
        <v>3</v>
      </c>
      <c r="AN59" s="85" t="s">
        <v>743</v>
      </c>
      <c r="AO59" s="85" t="s">
        <v>893</v>
      </c>
      <c r="AP59" s="80" t="b">
        <v>0</v>
      </c>
      <c r="AQ59" s="85" t="s">
        <v>743</v>
      </c>
      <c r="AR59" s="80" t="s">
        <v>178</v>
      </c>
      <c r="AS59" s="80">
        <v>0</v>
      </c>
      <c r="AT59" s="80">
        <v>0</v>
      </c>
      <c r="AU59" s="80"/>
      <c r="AV59" s="80"/>
      <c r="AW59" s="80"/>
      <c r="AX59" s="80"/>
      <c r="AY59" s="80"/>
      <c r="AZ59" s="80"/>
      <c r="BA59" s="80"/>
      <c r="BB59" s="80"/>
      <c r="BC59">
        <v>16</v>
      </c>
      <c r="BD59" s="79" t="str">
        <f>REPLACE(INDEX(GroupVertices[Group],MATCH(Edges35[[#This Row],[Vertex 1]],GroupVertices[Vertex],0)),1,1,"")</f>
        <v>11</v>
      </c>
      <c r="BE59" s="79" t="str">
        <f>REPLACE(INDEX(GroupVertices[Group],MATCH(Edges35[[#This Row],[Vertex 2]],GroupVertices[Vertex],0)),1,1,"")</f>
        <v>11</v>
      </c>
      <c r="BF59" s="49">
        <v>0</v>
      </c>
      <c r="BG59" s="50">
        <v>0</v>
      </c>
      <c r="BH59" s="49">
        <v>0</v>
      </c>
      <c r="BI59" s="50">
        <v>0</v>
      </c>
      <c r="BJ59" s="49">
        <v>0</v>
      </c>
      <c r="BK59" s="50">
        <v>0</v>
      </c>
      <c r="BL59" s="49">
        <v>24</v>
      </c>
      <c r="BM59" s="50">
        <v>100</v>
      </c>
      <c r="BN59" s="49">
        <v>24</v>
      </c>
    </row>
    <row r="60" spans="1:66" ht="15">
      <c r="A60" s="65" t="s">
        <v>258</v>
      </c>
      <c r="B60" s="65" t="s">
        <v>257</v>
      </c>
      <c r="C60" s="66" t="s">
        <v>2648</v>
      </c>
      <c r="D60" s="67">
        <v>10</v>
      </c>
      <c r="E60" s="68"/>
      <c r="F60" s="69">
        <v>20</v>
      </c>
      <c r="G60" s="66"/>
      <c r="H60" s="70"/>
      <c r="I60" s="71"/>
      <c r="J60" s="71"/>
      <c r="K60" s="35" t="s">
        <v>65</v>
      </c>
      <c r="L60" s="78">
        <v>101</v>
      </c>
      <c r="M60" s="78"/>
      <c r="N60" s="73"/>
      <c r="O60" s="80" t="s">
        <v>383</v>
      </c>
      <c r="P60" s="82">
        <v>44459.584328703706</v>
      </c>
      <c r="Q60" s="80" t="s">
        <v>409</v>
      </c>
      <c r="R60" s="83" t="str">
        <f>HYPERLINK("http://gabinete.mx/index.php/es/component/k2/item/658-amlo-seguimiento-septiembre-2021")</f>
        <v>http://gabinete.mx/index.php/es/component/k2/item/658-amlo-seguimiento-septiembre-2021</v>
      </c>
      <c r="S60" s="80" t="s">
        <v>459</v>
      </c>
      <c r="T60" s="80"/>
      <c r="U60" s="83" t="str">
        <f>HYPERLINK("https://pbs.twimg.com/media/E_qdJWxVcAAhOWx.jpg")</f>
        <v>https://pbs.twimg.com/media/E_qdJWxVcAAhOWx.jpg</v>
      </c>
      <c r="V60" s="83" t="str">
        <f>HYPERLINK("https://pbs.twimg.com/media/E_qdJWxVcAAhOWx.jpg")</f>
        <v>https://pbs.twimg.com/media/E_qdJWxVcAAhOWx.jpg</v>
      </c>
      <c r="W60" s="82">
        <v>44459.584328703706</v>
      </c>
      <c r="X60" s="88">
        <v>44459</v>
      </c>
      <c r="Y60" s="85" t="s">
        <v>574</v>
      </c>
      <c r="Z60" s="83" t="str">
        <f>HYPERLINK("https://twitter.com/kaleydoscopio1/status/1439952848159064064")</f>
        <v>https://twitter.com/kaleydoscopio1/status/1439952848159064064</v>
      </c>
      <c r="AA60" s="80"/>
      <c r="AB60" s="80"/>
      <c r="AC60" s="85" t="s">
        <v>747</v>
      </c>
      <c r="AD60" s="80"/>
      <c r="AE60" s="80" t="b">
        <v>0</v>
      </c>
      <c r="AF60" s="80">
        <v>0</v>
      </c>
      <c r="AG60" s="85" t="s">
        <v>871</v>
      </c>
      <c r="AH60" s="80" t="b">
        <v>0</v>
      </c>
      <c r="AI60" s="80" t="s">
        <v>882</v>
      </c>
      <c r="AJ60" s="80"/>
      <c r="AK60" s="85" t="s">
        <v>871</v>
      </c>
      <c r="AL60" s="80" t="b">
        <v>0</v>
      </c>
      <c r="AM60" s="80">
        <v>3</v>
      </c>
      <c r="AN60" s="85" t="s">
        <v>742</v>
      </c>
      <c r="AO60" s="85" t="s">
        <v>893</v>
      </c>
      <c r="AP60" s="80" t="b">
        <v>0</v>
      </c>
      <c r="AQ60" s="85" t="s">
        <v>742</v>
      </c>
      <c r="AR60" s="80" t="s">
        <v>178</v>
      </c>
      <c r="AS60" s="80">
        <v>0</v>
      </c>
      <c r="AT60" s="80">
        <v>0</v>
      </c>
      <c r="AU60" s="80"/>
      <c r="AV60" s="80"/>
      <c r="AW60" s="80"/>
      <c r="AX60" s="80"/>
      <c r="AY60" s="80"/>
      <c r="AZ60" s="80"/>
      <c r="BA60" s="80"/>
      <c r="BB60" s="80"/>
      <c r="BC60">
        <v>16</v>
      </c>
      <c r="BD60" s="79" t="str">
        <f>REPLACE(INDEX(GroupVertices[Group],MATCH(Edges35[[#This Row],[Vertex 1]],GroupVertices[Vertex],0)),1,1,"")</f>
        <v>11</v>
      </c>
      <c r="BE60" s="79" t="str">
        <f>REPLACE(INDEX(GroupVertices[Group],MATCH(Edges35[[#This Row],[Vertex 2]],GroupVertices[Vertex],0)),1,1,"")</f>
        <v>11</v>
      </c>
      <c r="BF60" s="49">
        <v>0</v>
      </c>
      <c r="BG60" s="50">
        <v>0</v>
      </c>
      <c r="BH60" s="49">
        <v>0</v>
      </c>
      <c r="BI60" s="50">
        <v>0</v>
      </c>
      <c r="BJ60" s="49">
        <v>0</v>
      </c>
      <c r="BK60" s="50">
        <v>0</v>
      </c>
      <c r="BL60" s="49">
        <v>16</v>
      </c>
      <c r="BM60" s="50">
        <v>100</v>
      </c>
      <c r="BN60" s="49">
        <v>16</v>
      </c>
    </row>
    <row r="61" spans="1:66" ht="15">
      <c r="A61" s="65" t="s">
        <v>258</v>
      </c>
      <c r="B61" s="65" t="s">
        <v>257</v>
      </c>
      <c r="C61" s="66" t="s">
        <v>2648</v>
      </c>
      <c r="D61" s="67">
        <v>10</v>
      </c>
      <c r="E61" s="68"/>
      <c r="F61" s="69">
        <v>20</v>
      </c>
      <c r="G61" s="66"/>
      <c r="H61" s="70"/>
      <c r="I61" s="71"/>
      <c r="J61" s="71"/>
      <c r="K61" s="35" t="s">
        <v>65</v>
      </c>
      <c r="L61" s="78">
        <v>102</v>
      </c>
      <c r="M61" s="78"/>
      <c r="N61" s="73"/>
      <c r="O61" s="80" t="s">
        <v>383</v>
      </c>
      <c r="P61" s="82">
        <v>44459.58445601852</v>
      </c>
      <c r="Q61" s="80" t="s">
        <v>411</v>
      </c>
      <c r="R61" s="83" t="str">
        <f>HYPERLINK("http://gabinete.mx/index.php/es/component/k2/item/658-amlo-seguimiento-septiembre-2021")</f>
        <v>http://gabinete.mx/index.php/es/component/k2/item/658-amlo-seguimiento-septiembre-2021</v>
      </c>
      <c r="S61" s="80" t="s">
        <v>459</v>
      </c>
      <c r="T61" s="85" t="s">
        <v>472</v>
      </c>
      <c r="U61" s="83" t="str">
        <f>HYPERLINK("https://pbs.twimg.com/media/E_qBceAVQAAGXdI.jpg")</f>
        <v>https://pbs.twimg.com/media/E_qBceAVQAAGXdI.jpg</v>
      </c>
      <c r="V61" s="83" t="str">
        <f>HYPERLINK("https://pbs.twimg.com/media/E_qBceAVQAAGXdI.jpg")</f>
        <v>https://pbs.twimg.com/media/E_qBceAVQAAGXdI.jpg</v>
      </c>
      <c r="W61" s="82">
        <v>44459.58445601852</v>
      </c>
      <c r="X61" s="88">
        <v>44459</v>
      </c>
      <c r="Y61" s="85" t="s">
        <v>575</v>
      </c>
      <c r="Z61" s="83" t="str">
        <f>HYPERLINK("https://twitter.com/kaleydoscopio1/status/1439952892559904770")</f>
        <v>https://twitter.com/kaleydoscopio1/status/1439952892559904770</v>
      </c>
      <c r="AA61" s="80"/>
      <c r="AB61" s="80"/>
      <c r="AC61" s="85" t="s">
        <v>748</v>
      </c>
      <c r="AD61" s="80"/>
      <c r="AE61" s="80" t="b">
        <v>0</v>
      </c>
      <c r="AF61" s="80">
        <v>0</v>
      </c>
      <c r="AG61" s="85" t="s">
        <v>871</v>
      </c>
      <c r="AH61" s="80" t="b">
        <v>0</v>
      </c>
      <c r="AI61" s="80" t="s">
        <v>882</v>
      </c>
      <c r="AJ61" s="80"/>
      <c r="AK61" s="85" t="s">
        <v>871</v>
      </c>
      <c r="AL61" s="80" t="b">
        <v>0</v>
      </c>
      <c r="AM61" s="80">
        <v>2</v>
      </c>
      <c r="AN61" s="85" t="s">
        <v>741</v>
      </c>
      <c r="AO61" s="85" t="s">
        <v>893</v>
      </c>
      <c r="AP61" s="80" t="b">
        <v>0</v>
      </c>
      <c r="AQ61" s="85" t="s">
        <v>741</v>
      </c>
      <c r="AR61" s="80" t="s">
        <v>178</v>
      </c>
      <c r="AS61" s="80">
        <v>0</v>
      </c>
      <c r="AT61" s="80">
        <v>0</v>
      </c>
      <c r="AU61" s="80"/>
      <c r="AV61" s="80"/>
      <c r="AW61" s="80"/>
      <c r="AX61" s="80"/>
      <c r="AY61" s="80"/>
      <c r="AZ61" s="80"/>
      <c r="BA61" s="80"/>
      <c r="BB61" s="80"/>
      <c r="BC61">
        <v>16</v>
      </c>
      <c r="BD61" s="79" t="str">
        <f>REPLACE(INDEX(GroupVertices[Group],MATCH(Edges35[[#This Row],[Vertex 1]],GroupVertices[Vertex],0)),1,1,"")</f>
        <v>11</v>
      </c>
      <c r="BE61" s="79" t="str">
        <f>REPLACE(INDEX(GroupVertices[Group],MATCH(Edges35[[#This Row],[Vertex 2]],GroupVertices[Vertex],0)),1,1,"")</f>
        <v>11</v>
      </c>
      <c r="BF61" s="49">
        <v>0</v>
      </c>
      <c r="BG61" s="50">
        <v>0</v>
      </c>
      <c r="BH61" s="49">
        <v>0</v>
      </c>
      <c r="BI61" s="50">
        <v>0</v>
      </c>
      <c r="BJ61" s="49">
        <v>0</v>
      </c>
      <c r="BK61" s="50">
        <v>0</v>
      </c>
      <c r="BL61" s="49">
        <v>17</v>
      </c>
      <c r="BM61" s="50">
        <v>100</v>
      </c>
      <c r="BN61" s="49">
        <v>17</v>
      </c>
    </row>
    <row r="62" spans="1:66" ht="15">
      <c r="A62" s="65" t="s">
        <v>259</v>
      </c>
      <c r="B62" s="65" t="s">
        <v>259</v>
      </c>
      <c r="C62" s="66" t="s">
        <v>2648</v>
      </c>
      <c r="D62" s="67">
        <v>10</v>
      </c>
      <c r="E62" s="68"/>
      <c r="F62" s="69">
        <v>20</v>
      </c>
      <c r="G62" s="66"/>
      <c r="H62" s="70"/>
      <c r="I62" s="71"/>
      <c r="J62" s="71"/>
      <c r="K62" s="35" t="s">
        <v>65</v>
      </c>
      <c r="L62" s="78">
        <v>103</v>
      </c>
      <c r="M62" s="78"/>
      <c r="N62" s="73"/>
      <c r="O62" s="80" t="s">
        <v>178</v>
      </c>
      <c r="P62" s="82">
        <v>44459.75738425926</v>
      </c>
      <c r="Q62" s="80" t="s">
        <v>413</v>
      </c>
      <c r="R62" s="80"/>
      <c r="S62" s="80"/>
      <c r="T62" s="85" t="s">
        <v>487</v>
      </c>
      <c r="U62" s="83" t="str">
        <f>HYPERLINK("https://pbs.twimg.com/ext_tw_video_thumb/1440015136371138566/pu/img/5qwwWinrPeXR7GLV.jpg")</f>
        <v>https://pbs.twimg.com/ext_tw_video_thumb/1440015136371138566/pu/img/5qwwWinrPeXR7GLV.jpg</v>
      </c>
      <c r="V62" s="83" t="str">
        <f>HYPERLINK("https://pbs.twimg.com/ext_tw_video_thumb/1440015136371138566/pu/img/5qwwWinrPeXR7GLV.jpg")</f>
        <v>https://pbs.twimg.com/ext_tw_video_thumb/1440015136371138566/pu/img/5qwwWinrPeXR7GLV.jpg</v>
      </c>
      <c r="W62" s="82">
        <v>44459.75738425926</v>
      </c>
      <c r="X62" s="88">
        <v>44459</v>
      </c>
      <c r="Y62" s="85" t="s">
        <v>576</v>
      </c>
      <c r="Z62" s="83" t="str">
        <f>HYPERLINK("https://twitter.com/azteca_tamps/status/1440015561694461954")</f>
        <v>https://twitter.com/azteca_tamps/status/1440015561694461954</v>
      </c>
      <c r="AA62" s="80"/>
      <c r="AB62" s="80"/>
      <c r="AC62" s="85" t="s">
        <v>749</v>
      </c>
      <c r="AD62" s="80"/>
      <c r="AE62" s="80" t="b">
        <v>0</v>
      </c>
      <c r="AF62" s="80">
        <v>0</v>
      </c>
      <c r="AG62" s="85" t="s">
        <v>871</v>
      </c>
      <c r="AH62" s="80" t="b">
        <v>0</v>
      </c>
      <c r="AI62" s="80" t="s">
        <v>882</v>
      </c>
      <c r="AJ62" s="80"/>
      <c r="AK62" s="85" t="s">
        <v>871</v>
      </c>
      <c r="AL62" s="80" t="b">
        <v>0</v>
      </c>
      <c r="AM62" s="80">
        <v>0</v>
      </c>
      <c r="AN62" s="85" t="s">
        <v>871</v>
      </c>
      <c r="AO62" s="85" t="s">
        <v>889</v>
      </c>
      <c r="AP62" s="80" t="b">
        <v>0</v>
      </c>
      <c r="AQ62" s="85" t="s">
        <v>749</v>
      </c>
      <c r="AR62" s="80" t="s">
        <v>178</v>
      </c>
      <c r="AS62" s="80">
        <v>0</v>
      </c>
      <c r="AT62" s="80">
        <v>0</v>
      </c>
      <c r="AU62" s="80"/>
      <c r="AV62" s="80"/>
      <c r="AW62" s="80"/>
      <c r="AX62" s="80"/>
      <c r="AY62" s="80"/>
      <c r="AZ62" s="80"/>
      <c r="BA62" s="80"/>
      <c r="BB62" s="80"/>
      <c r="BC62">
        <v>4</v>
      </c>
      <c r="BD62" s="79" t="str">
        <f>REPLACE(INDEX(GroupVertices[Group],MATCH(Edges35[[#This Row],[Vertex 1]],GroupVertices[Vertex],0)),1,1,"")</f>
        <v>4</v>
      </c>
      <c r="BE62" s="79" t="str">
        <f>REPLACE(INDEX(GroupVertices[Group],MATCH(Edges35[[#This Row],[Vertex 2]],GroupVertices[Vertex],0)),1,1,"")</f>
        <v>4</v>
      </c>
      <c r="BF62" s="49">
        <v>0</v>
      </c>
      <c r="BG62" s="50">
        <v>0</v>
      </c>
      <c r="BH62" s="49">
        <v>0</v>
      </c>
      <c r="BI62" s="50">
        <v>0</v>
      </c>
      <c r="BJ62" s="49">
        <v>0</v>
      </c>
      <c r="BK62" s="50">
        <v>0</v>
      </c>
      <c r="BL62" s="49">
        <v>32</v>
      </c>
      <c r="BM62" s="50">
        <v>100</v>
      </c>
      <c r="BN62" s="49">
        <v>32</v>
      </c>
    </row>
    <row r="63" spans="1:66" ht="15">
      <c r="A63" s="65" t="s">
        <v>259</v>
      </c>
      <c r="B63" s="65" t="s">
        <v>259</v>
      </c>
      <c r="C63" s="66" t="s">
        <v>2648</v>
      </c>
      <c r="D63" s="67">
        <v>10</v>
      </c>
      <c r="E63" s="68"/>
      <c r="F63" s="69">
        <v>20</v>
      </c>
      <c r="G63" s="66"/>
      <c r="H63" s="70"/>
      <c r="I63" s="71"/>
      <c r="J63" s="71"/>
      <c r="K63" s="35" t="s">
        <v>65</v>
      </c>
      <c r="L63" s="78">
        <v>104</v>
      </c>
      <c r="M63" s="78"/>
      <c r="N63" s="73"/>
      <c r="O63" s="80" t="s">
        <v>178</v>
      </c>
      <c r="P63" s="82">
        <v>44459.76101851852</v>
      </c>
      <c r="Q63" s="80" t="s">
        <v>414</v>
      </c>
      <c r="R63" s="80"/>
      <c r="S63" s="80"/>
      <c r="T63" s="85" t="s">
        <v>488</v>
      </c>
      <c r="U63" s="83" t="str">
        <f>HYPERLINK("https://pbs.twimg.com/ext_tw_video_thumb/1440016464904441861/pu/img/vY_ouaulG-xPSHzJ.jpg")</f>
        <v>https://pbs.twimg.com/ext_tw_video_thumb/1440016464904441861/pu/img/vY_ouaulG-xPSHzJ.jpg</v>
      </c>
      <c r="V63" s="83" t="str">
        <f>HYPERLINK("https://pbs.twimg.com/ext_tw_video_thumb/1440016464904441861/pu/img/vY_ouaulG-xPSHzJ.jpg")</f>
        <v>https://pbs.twimg.com/ext_tw_video_thumb/1440016464904441861/pu/img/vY_ouaulG-xPSHzJ.jpg</v>
      </c>
      <c r="W63" s="82">
        <v>44459.76101851852</v>
      </c>
      <c r="X63" s="88">
        <v>44459</v>
      </c>
      <c r="Y63" s="85" t="s">
        <v>577</v>
      </c>
      <c r="Z63" s="83" t="str">
        <f>HYPERLINK("https://twitter.com/azteca_tamps/status/1440016875908337665")</f>
        <v>https://twitter.com/azteca_tamps/status/1440016875908337665</v>
      </c>
      <c r="AA63" s="80"/>
      <c r="AB63" s="80"/>
      <c r="AC63" s="85" t="s">
        <v>750</v>
      </c>
      <c r="AD63" s="80"/>
      <c r="AE63" s="80" t="b">
        <v>0</v>
      </c>
      <c r="AF63" s="80">
        <v>2</v>
      </c>
      <c r="AG63" s="85" t="s">
        <v>871</v>
      </c>
      <c r="AH63" s="80" t="b">
        <v>0</v>
      </c>
      <c r="AI63" s="80" t="s">
        <v>882</v>
      </c>
      <c r="AJ63" s="80"/>
      <c r="AK63" s="85" t="s">
        <v>871</v>
      </c>
      <c r="AL63" s="80" t="b">
        <v>0</v>
      </c>
      <c r="AM63" s="80">
        <v>0</v>
      </c>
      <c r="AN63" s="85" t="s">
        <v>871</v>
      </c>
      <c r="AO63" s="85" t="s">
        <v>889</v>
      </c>
      <c r="AP63" s="80" t="b">
        <v>0</v>
      </c>
      <c r="AQ63" s="85" t="s">
        <v>750</v>
      </c>
      <c r="AR63" s="80" t="s">
        <v>178</v>
      </c>
      <c r="AS63" s="80">
        <v>0</v>
      </c>
      <c r="AT63" s="80">
        <v>0</v>
      </c>
      <c r="AU63" s="80"/>
      <c r="AV63" s="80"/>
      <c r="AW63" s="80"/>
      <c r="AX63" s="80"/>
      <c r="AY63" s="80"/>
      <c r="AZ63" s="80"/>
      <c r="BA63" s="80"/>
      <c r="BB63" s="80"/>
      <c r="BC63">
        <v>4</v>
      </c>
      <c r="BD63" s="79" t="str">
        <f>REPLACE(INDEX(GroupVertices[Group],MATCH(Edges35[[#This Row],[Vertex 1]],GroupVertices[Vertex],0)),1,1,"")</f>
        <v>4</v>
      </c>
      <c r="BE63" s="79" t="str">
        <f>REPLACE(INDEX(GroupVertices[Group],MATCH(Edges35[[#This Row],[Vertex 2]],GroupVertices[Vertex],0)),1,1,"")</f>
        <v>4</v>
      </c>
      <c r="BF63" s="49">
        <v>0</v>
      </c>
      <c r="BG63" s="50">
        <v>0</v>
      </c>
      <c r="BH63" s="49">
        <v>0</v>
      </c>
      <c r="BI63" s="50">
        <v>0</v>
      </c>
      <c r="BJ63" s="49">
        <v>0</v>
      </c>
      <c r="BK63" s="50">
        <v>0</v>
      </c>
      <c r="BL63" s="49">
        <v>24</v>
      </c>
      <c r="BM63" s="50">
        <v>100</v>
      </c>
      <c r="BN63" s="49">
        <v>24</v>
      </c>
    </row>
    <row r="64" spans="1:66" ht="15">
      <c r="A64" s="65" t="s">
        <v>260</v>
      </c>
      <c r="B64" s="65" t="s">
        <v>369</v>
      </c>
      <c r="C64" s="66" t="s">
        <v>2647</v>
      </c>
      <c r="D64" s="67">
        <v>5</v>
      </c>
      <c r="E64" s="68"/>
      <c r="F64" s="69">
        <v>40</v>
      </c>
      <c r="G64" s="66"/>
      <c r="H64" s="70"/>
      <c r="I64" s="71"/>
      <c r="J64" s="71"/>
      <c r="K64" s="35" t="s">
        <v>65</v>
      </c>
      <c r="L64" s="78">
        <v>105</v>
      </c>
      <c r="M64" s="78"/>
      <c r="N64" s="73"/>
      <c r="O64" s="80" t="s">
        <v>384</v>
      </c>
      <c r="P64" s="82">
        <v>44459.69042824074</v>
      </c>
      <c r="Q64" s="80" t="s">
        <v>415</v>
      </c>
      <c r="R64" s="80"/>
      <c r="S64" s="80"/>
      <c r="T64" s="85" t="s">
        <v>472</v>
      </c>
      <c r="U64" s="80"/>
      <c r="V64" s="83" t="str">
        <f>HYPERLINK("https://pbs.twimg.com/profile_images/1405362508311891974/Pk_VYkUN_normal.jpg")</f>
        <v>https://pbs.twimg.com/profile_images/1405362508311891974/Pk_VYkUN_normal.jpg</v>
      </c>
      <c r="W64" s="82">
        <v>44459.69042824074</v>
      </c>
      <c r="X64" s="88">
        <v>44459</v>
      </c>
      <c r="Y64" s="85" t="s">
        <v>578</v>
      </c>
      <c r="Z64" s="83" t="str">
        <f>HYPERLINK("https://twitter.com/alexvalan/status/1439991295007617028")</f>
        <v>https://twitter.com/alexvalan/status/1439991295007617028</v>
      </c>
      <c r="AA64" s="80"/>
      <c r="AB64" s="80"/>
      <c r="AC64" s="85" t="s">
        <v>751</v>
      </c>
      <c r="AD64" s="85" t="s">
        <v>867</v>
      </c>
      <c r="AE64" s="80" t="b">
        <v>0</v>
      </c>
      <c r="AF64" s="80">
        <v>3</v>
      </c>
      <c r="AG64" s="85" t="s">
        <v>875</v>
      </c>
      <c r="AH64" s="80" t="b">
        <v>0</v>
      </c>
      <c r="AI64" s="80" t="s">
        <v>882</v>
      </c>
      <c r="AJ64" s="80"/>
      <c r="AK64" s="85" t="s">
        <v>871</v>
      </c>
      <c r="AL64" s="80" t="b">
        <v>0</v>
      </c>
      <c r="AM64" s="80">
        <v>1</v>
      </c>
      <c r="AN64" s="85" t="s">
        <v>871</v>
      </c>
      <c r="AO64" s="85" t="s">
        <v>889</v>
      </c>
      <c r="AP64" s="80" t="b">
        <v>0</v>
      </c>
      <c r="AQ64" s="85" t="s">
        <v>867</v>
      </c>
      <c r="AR64" s="80" t="s">
        <v>178</v>
      </c>
      <c r="AS64" s="80">
        <v>0</v>
      </c>
      <c r="AT64" s="80">
        <v>0</v>
      </c>
      <c r="AU64" s="80"/>
      <c r="AV64" s="80"/>
      <c r="AW64" s="80"/>
      <c r="AX64" s="80"/>
      <c r="AY64" s="80"/>
      <c r="AZ64" s="80"/>
      <c r="BA64" s="80"/>
      <c r="BB64" s="80"/>
      <c r="BC64">
        <v>1</v>
      </c>
      <c r="BD64" s="79" t="str">
        <f>REPLACE(INDEX(GroupVertices[Group],MATCH(Edges35[[#This Row],[Vertex 1]],GroupVertices[Vertex],0)),1,1,"")</f>
        <v>16</v>
      </c>
      <c r="BE64" s="79" t="str">
        <f>REPLACE(INDEX(GroupVertices[Group],MATCH(Edges35[[#This Row],[Vertex 2]],GroupVertices[Vertex],0)),1,1,"")</f>
        <v>16</v>
      </c>
      <c r="BF64" s="49">
        <v>0</v>
      </c>
      <c r="BG64" s="50">
        <v>0</v>
      </c>
      <c r="BH64" s="49">
        <v>0</v>
      </c>
      <c r="BI64" s="50">
        <v>0</v>
      </c>
      <c r="BJ64" s="49">
        <v>0</v>
      </c>
      <c r="BK64" s="50">
        <v>0</v>
      </c>
      <c r="BL64" s="49">
        <v>38</v>
      </c>
      <c r="BM64" s="50">
        <v>100</v>
      </c>
      <c r="BN64" s="49">
        <v>38</v>
      </c>
    </row>
    <row r="65" spans="1:66" ht="15">
      <c r="A65" s="65" t="s">
        <v>261</v>
      </c>
      <c r="B65" s="65" t="s">
        <v>369</v>
      </c>
      <c r="C65" s="66" t="s">
        <v>2647</v>
      </c>
      <c r="D65" s="67">
        <v>5</v>
      </c>
      <c r="E65" s="68"/>
      <c r="F65" s="69">
        <v>40</v>
      </c>
      <c r="G65" s="66"/>
      <c r="H65" s="70"/>
      <c r="I65" s="71"/>
      <c r="J65" s="71"/>
      <c r="K65" s="35" t="s">
        <v>65</v>
      </c>
      <c r="L65" s="78">
        <v>106</v>
      </c>
      <c r="M65" s="78"/>
      <c r="N65" s="73"/>
      <c r="O65" s="80" t="s">
        <v>382</v>
      </c>
      <c r="P65" s="82">
        <v>44459.87965277778</v>
      </c>
      <c r="Q65" s="80" t="s">
        <v>415</v>
      </c>
      <c r="R65" s="80"/>
      <c r="S65" s="80"/>
      <c r="T65" s="85" t="s">
        <v>472</v>
      </c>
      <c r="U65" s="80"/>
      <c r="V65" s="83" t="str">
        <f>HYPERLINK("https://pbs.twimg.com/profile_images/1436200195222654979/X-0kvAuz_normal.jpg")</f>
        <v>https://pbs.twimg.com/profile_images/1436200195222654979/X-0kvAuz_normal.jpg</v>
      </c>
      <c r="W65" s="82">
        <v>44459.87965277778</v>
      </c>
      <c r="X65" s="88">
        <v>44459</v>
      </c>
      <c r="Y65" s="85" t="s">
        <v>579</v>
      </c>
      <c r="Z65" s="83" t="str">
        <f>HYPERLINK("https://twitter.com/leav_11/status/1440059868187017229")</f>
        <v>https://twitter.com/leav_11/status/1440059868187017229</v>
      </c>
      <c r="AA65" s="80"/>
      <c r="AB65" s="80"/>
      <c r="AC65" s="85" t="s">
        <v>752</v>
      </c>
      <c r="AD65" s="80"/>
      <c r="AE65" s="80" t="b">
        <v>0</v>
      </c>
      <c r="AF65" s="80">
        <v>0</v>
      </c>
      <c r="AG65" s="85" t="s">
        <v>871</v>
      </c>
      <c r="AH65" s="80" t="b">
        <v>0</v>
      </c>
      <c r="AI65" s="80" t="s">
        <v>882</v>
      </c>
      <c r="AJ65" s="80"/>
      <c r="AK65" s="85" t="s">
        <v>871</v>
      </c>
      <c r="AL65" s="80" t="b">
        <v>0</v>
      </c>
      <c r="AM65" s="80">
        <v>1</v>
      </c>
      <c r="AN65" s="85" t="s">
        <v>751</v>
      </c>
      <c r="AO65" s="85" t="s">
        <v>889</v>
      </c>
      <c r="AP65" s="80" t="b">
        <v>0</v>
      </c>
      <c r="AQ65" s="85" t="s">
        <v>751</v>
      </c>
      <c r="AR65" s="80" t="s">
        <v>178</v>
      </c>
      <c r="AS65" s="80">
        <v>0</v>
      </c>
      <c r="AT65" s="80">
        <v>0</v>
      </c>
      <c r="AU65" s="80"/>
      <c r="AV65" s="80"/>
      <c r="AW65" s="80"/>
      <c r="AX65" s="80"/>
      <c r="AY65" s="80"/>
      <c r="AZ65" s="80"/>
      <c r="BA65" s="80"/>
      <c r="BB65" s="80"/>
      <c r="BC65">
        <v>1</v>
      </c>
      <c r="BD65" s="79" t="str">
        <f>REPLACE(INDEX(GroupVertices[Group],MATCH(Edges35[[#This Row],[Vertex 1]],GroupVertices[Vertex],0)),1,1,"")</f>
        <v>16</v>
      </c>
      <c r="BE65" s="79" t="str">
        <f>REPLACE(INDEX(GroupVertices[Group],MATCH(Edges35[[#This Row],[Vertex 2]],GroupVertices[Vertex],0)),1,1,"")</f>
        <v>16</v>
      </c>
      <c r="BF65" s="49"/>
      <c r="BG65" s="50"/>
      <c r="BH65" s="49"/>
      <c r="BI65" s="50"/>
      <c r="BJ65" s="49"/>
      <c r="BK65" s="50"/>
      <c r="BL65" s="49"/>
      <c r="BM65" s="50"/>
      <c r="BN65" s="49"/>
    </row>
    <row r="66" spans="1:66" ht="15">
      <c r="A66" s="65" t="s">
        <v>262</v>
      </c>
      <c r="B66" s="65" t="s">
        <v>262</v>
      </c>
      <c r="C66" s="66" t="s">
        <v>2648</v>
      </c>
      <c r="D66" s="67">
        <v>10</v>
      </c>
      <c r="E66" s="68"/>
      <c r="F66" s="69">
        <v>20</v>
      </c>
      <c r="G66" s="66"/>
      <c r="H66" s="70"/>
      <c r="I66" s="71"/>
      <c r="J66" s="71"/>
      <c r="K66" s="35" t="s">
        <v>65</v>
      </c>
      <c r="L66" s="78">
        <v>108</v>
      </c>
      <c r="M66" s="78"/>
      <c r="N66" s="73"/>
      <c r="O66" s="80" t="s">
        <v>178</v>
      </c>
      <c r="P66" s="82">
        <v>44444.07188657407</v>
      </c>
      <c r="Q66" s="80" t="s">
        <v>416</v>
      </c>
      <c r="R66" s="83" t="str">
        <f>HYPERLINK("https://twitter.com/notienlacezap/status/1434305633826844675")</f>
        <v>https://twitter.com/notienlacezap/status/1434305633826844675</v>
      </c>
      <c r="S66" s="80" t="s">
        <v>460</v>
      </c>
      <c r="T66" s="85" t="s">
        <v>489</v>
      </c>
      <c r="U66" s="80"/>
      <c r="V66" s="83" t="str">
        <f>HYPERLINK("https://pbs.twimg.com/profile_images/1027277148204089344/xnY8zncw_normal.jpg")</f>
        <v>https://pbs.twimg.com/profile_images/1027277148204089344/xnY8zncw_normal.jpg</v>
      </c>
      <c r="W66" s="82">
        <v>44444.07188657407</v>
      </c>
      <c r="X66" s="88">
        <v>44444</v>
      </c>
      <c r="Y66" s="85" t="s">
        <v>580</v>
      </c>
      <c r="Z66" s="83" t="str">
        <f>HYPERLINK("https://twitter.com/gaboku_hirako/status/1434331326149271552")</f>
        <v>https://twitter.com/gaboku_hirako/status/1434331326149271552</v>
      </c>
      <c r="AA66" s="80"/>
      <c r="AB66" s="80"/>
      <c r="AC66" s="85" t="s">
        <v>753</v>
      </c>
      <c r="AD66" s="80"/>
      <c r="AE66" s="80" t="b">
        <v>0</v>
      </c>
      <c r="AF66" s="80">
        <v>3</v>
      </c>
      <c r="AG66" s="85" t="s">
        <v>871</v>
      </c>
      <c r="AH66" s="80" t="b">
        <v>1</v>
      </c>
      <c r="AI66" s="80" t="s">
        <v>884</v>
      </c>
      <c r="AJ66" s="80"/>
      <c r="AK66" s="85" t="s">
        <v>886</v>
      </c>
      <c r="AL66" s="80" t="b">
        <v>0</v>
      </c>
      <c r="AM66" s="80">
        <v>3</v>
      </c>
      <c r="AN66" s="85" t="s">
        <v>871</v>
      </c>
      <c r="AO66" s="85" t="s">
        <v>889</v>
      </c>
      <c r="AP66" s="80" t="b">
        <v>0</v>
      </c>
      <c r="AQ66" s="85" t="s">
        <v>753</v>
      </c>
      <c r="AR66" s="80" t="s">
        <v>383</v>
      </c>
      <c r="AS66" s="80">
        <v>0</v>
      </c>
      <c r="AT66" s="80">
        <v>0</v>
      </c>
      <c r="AU66" s="80"/>
      <c r="AV66" s="80"/>
      <c r="AW66" s="80"/>
      <c r="AX66" s="80"/>
      <c r="AY66" s="80"/>
      <c r="AZ66" s="80"/>
      <c r="BA66" s="80"/>
      <c r="BB66" s="80"/>
      <c r="BC66">
        <v>4</v>
      </c>
      <c r="BD66" s="79" t="str">
        <f>REPLACE(INDEX(GroupVertices[Group],MATCH(Edges35[[#This Row],[Vertex 1]],GroupVertices[Vertex],0)),1,1,"")</f>
        <v>22</v>
      </c>
      <c r="BE66" s="79" t="str">
        <f>REPLACE(INDEX(GroupVertices[Group],MATCH(Edges35[[#This Row],[Vertex 2]],GroupVertices[Vertex],0)),1,1,"")</f>
        <v>22</v>
      </c>
      <c r="BF66" s="49">
        <v>0</v>
      </c>
      <c r="BG66" s="50">
        <v>0</v>
      </c>
      <c r="BH66" s="49">
        <v>0</v>
      </c>
      <c r="BI66" s="50">
        <v>0</v>
      </c>
      <c r="BJ66" s="49">
        <v>0</v>
      </c>
      <c r="BK66" s="50">
        <v>0</v>
      </c>
      <c r="BL66" s="49">
        <v>3</v>
      </c>
      <c r="BM66" s="50">
        <v>100</v>
      </c>
      <c r="BN66" s="49">
        <v>3</v>
      </c>
    </row>
    <row r="67" spans="1:66" ht="15">
      <c r="A67" s="65" t="s">
        <v>262</v>
      </c>
      <c r="B67" s="65" t="s">
        <v>262</v>
      </c>
      <c r="C67" s="66" t="s">
        <v>2648</v>
      </c>
      <c r="D67" s="67">
        <v>10</v>
      </c>
      <c r="E67" s="68"/>
      <c r="F67" s="69">
        <v>20</v>
      </c>
      <c r="G67" s="66"/>
      <c r="H67" s="70"/>
      <c r="I67" s="71"/>
      <c r="J67" s="71"/>
      <c r="K67" s="35" t="s">
        <v>65</v>
      </c>
      <c r="L67" s="78">
        <v>109</v>
      </c>
      <c r="M67" s="78"/>
      <c r="N67" s="73"/>
      <c r="O67" s="80" t="s">
        <v>178</v>
      </c>
      <c r="P67" s="82">
        <v>44458.96210648148</v>
      </c>
      <c r="Q67" s="80" t="s">
        <v>417</v>
      </c>
      <c r="R67" s="83" t="str">
        <f>HYPERLINK("https://twitter.com/quadratin_chis/status/1439027984120299520")</f>
        <v>https://twitter.com/quadratin_chis/status/1439027984120299520</v>
      </c>
      <c r="S67" s="80" t="s">
        <v>460</v>
      </c>
      <c r="T67" s="85" t="s">
        <v>490</v>
      </c>
      <c r="U67" s="80"/>
      <c r="V67" s="83" t="str">
        <f>HYPERLINK("https://pbs.twimg.com/profile_images/1027277148204089344/xnY8zncw_normal.jpg")</f>
        <v>https://pbs.twimg.com/profile_images/1027277148204089344/xnY8zncw_normal.jpg</v>
      </c>
      <c r="W67" s="82">
        <v>44458.96210648148</v>
      </c>
      <c r="X67" s="88">
        <v>44458</v>
      </c>
      <c r="Y67" s="85" t="s">
        <v>581</v>
      </c>
      <c r="Z67" s="83" t="str">
        <f>HYPERLINK("https://twitter.com/gaboku_hirako/status/1439727363185577985")</f>
        <v>https://twitter.com/gaboku_hirako/status/1439727363185577985</v>
      </c>
      <c r="AA67" s="80"/>
      <c r="AB67" s="80"/>
      <c r="AC67" s="85" t="s">
        <v>754</v>
      </c>
      <c r="AD67" s="80"/>
      <c r="AE67" s="80" t="b">
        <v>0</v>
      </c>
      <c r="AF67" s="80">
        <v>0</v>
      </c>
      <c r="AG67" s="85" t="s">
        <v>871</v>
      </c>
      <c r="AH67" s="80" t="b">
        <v>1</v>
      </c>
      <c r="AI67" s="80" t="s">
        <v>882</v>
      </c>
      <c r="AJ67" s="80"/>
      <c r="AK67" s="85" t="s">
        <v>887</v>
      </c>
      <c r="AL67" s="80" t="b">
        <v>0</v>
      </c>
      <c r="AM67" s="80">
        <v>0</v>
      </c>
      <c r="AN67" s="85" t="s">
        <v>871</v>
      </c>
      <c r="AO67" s="85" t="s">
        <v>889</v>
      </c>
      <c r="AP67" s="80" t="b">
        <v>0</v>
      </c>
      <c r="AQ67" s="85" t="s">
        <v>754</v>
      </c>
      <c r="AR67" s="80" t="s">
        <v>178</v>
      </c>
      <c r="AS67" s="80">
        <v>0</v>
      </c>
      <c r="AT67" s="80">
        <v>0</v>
      </c>
      <c r="AU67" s="80"/>
      <c r="AV67" s="80"/>
      <c r="AW67" s="80"/>
      <c r="AX67" s="80"/>
      <c r="AY67" s="80"/>
      <c r="AZ67" s="80"/>
      <c r="BA67" s="80"/>
      <c r="BB67" s="80"/>
      <c r="BC67">
        <v>4</v>
      </c>
      <c r="BD67" s="79" t="str">
        <f>REPLACE(INDEX(GroupVertices[Group],MATCH(Edges35[[#This Row],[Vertex 1]],GroupVertices[Vertex],0)),1,1,"")</f>
        <v>22</v>
      </c>
      <c r="BE67" s="79" t="str">
        <f>REPLACE(INDEX(GroupVertices[Group],MATCH(Edges35[[#This Row],[Vertex 2]],GroupVertices[Vertex],0)),1,1,"")</f>
        <v>22</v>
      </c>
      <c r="BF67" s="49">
        <v>0</v>
      </c>
      <c r="BG67" s="50">
        <v>0</v>
      </c>
      <c r="BH67" s="49">
        <v>0</v>
      </c>
      <c r="BI67" s="50">
        <v>0</v>
      </c>
      <c r="BJ67" s="49">
        <v>0</v>
      </c>
      <c r="BK67" s="50">
        <v>0</v>
      </c>
      <c r="BL67" s="49">
        <v>13</v>
      </c>
      <c r="BM67" s="50">
        <v>100</v>
      </c>
      <c r="BN67" s="49">
        <v>13</v>
      </c>
    </row>
    <row r="68" spans="1:66" ht="15">
      <c r="A68" s="65" t="s">
        <v>263</v>
      </c>
      <c r="B68" s="65" t="s">
        <v>262</v>
      </c>
      <c r="C68" s="66" t="s">
        <v>2647</v>
      </c>
      <c r="D68" s="67">
        <v>5</v>
      </c>
      <c r="E68" s="68"/>
      <c r="F68" s="69">
        <v>40</v>
      </c>
      <c r="G68" s="66"/>
      <c r="H68" s="70"/>
      <c r="I68" s="71"/>
      <c r="J68" s="71"/>
      <c r="K68" s="35" t="s">
        <v>65</v>
      </c>
      <c r="L68" s="78">
        <v>110</v>
      </c>
      <c r="M68" s="78"/>
      <c r="N68" s="73"/>
      <c r="O68" s="80" t="s">
        <v>383</v>
      </c>
      <c r="P68" s="82">
        <v>44460.1178125</v>
      </c>
      <c r="Q68" s="80" t="s">
        <v>416</v>
      </c>
      <c r="R68" s="83" t="str">
        <f>HYPERLINK("https://twitter.com/notienlacezap/status/1434305633826844675")</f>
        <v>https://twitter.com/notienlacezap/status/1434305633826844675</v>
      </c>
      <c r="S68" s="80" t="s">
        <v>460</v>
      </c>
      <c r="T68" s="85" t="s">
        <v>489</v>
      </c>
      <c r="U68" s="80"/>
      <c r="V68" s="83" t="str">
        <f>HYPERLINK("https://pbs.twimg.com/profile_images/1354294314239549447/aopcj9fY_normal.jpg")</f>
        <v>https://pbs.twimg.com/profile_images/1354294314239549447/aopcj9fY_normal.jpg</v>
      </c>
      <c r="W68" s="82">
        <v>44460.1178125</v>
      </c>
      <c r="X68" s="88">
        <v>44460</v>
      </c>
      <c r="Y68" s="85" t="s">
        <v>582</v>
      </c>
      <c r="Z68" s="83" t="str">
        <f>HYPERLINK("https://twitter.com/danielascalante/status/1440146177274507272")</f>
        <v>https://twitter.com/danielascalante/status/1440146177274507272</v>
      </c>
      <c r="AA68" s="80"/>
      <c r="AB68" s="80"/>
      <c r="AC68" s="85" t="s">
        <v>755</v>
      </c>
      <c r="AD68" s="80"/>
      <c r="AE68" s="80" t="b">
        <v>0</v>
      </c>
      <c r="AF68" s="80">
        <v>0</v>
      </c>
      <c r="AG68" s="85" t="s">
        <v>871</v>
      </c>
      <c r="AH68" s="80" t="b">
        <v>1</v>
      </c>
      <c r="AI68" s="80" t="s">
        <v>884</v>
      </c>
      <c r="AJ68" s="80"/>
      <c r="AK68" s="85" t="s">
        <v>886</v>
      </c>
      <c r="AL68" s="80" t="b">
        <v>0</v>
      </c>
      <c r="AM68" s="80">
        <v>3</v>
      </c>
      <c r="AN68" s="85" t="s">
        <v>753</v>
      </c>
      <c r="AO68" s="85" t="s">
        <v>891</v>
      </c>
      <c r="AP68" s="80" t="b">
        <v>0</v>
      </c>
      <c r="AQ68" s="85" t="s">
        <v>753</v>
      </c>
      <c r="AR68" s="80" t="s">
        <v>178</v>
      </c>
      <c r="AS68" s="80">
        <v>0</v>
      </c>
      <c r="AT68" s="80">
        <v>0</v>
      </c>
      <c r="AU68" s="80"/>
      <c r="AV68" s="80"/>
      <c r="AW68" s="80"/>
      <c r="AX68" s="80"/>
      <c r="AY68" s="80"/>
      <c r="AZ68" s="80"/>
      <c r="BA68" s="80"/>
      <c r="BB68" s="80"/>
      <c r="BC68">
        <v>1</v>
      </c>
      <c r="BD68" s="79" t="str">
        <f>REPLACE(INDEX(GroupVertices[Group],MATCH(Edges35[[#This Row],[Vertex 1]],GroupVertices[Vertex],0)),1,1,"")</f>
        <v>22</v>
      </c>
      <c r="BE68" s="79" t="str">
        <f>REPLACE(INDEX(GroupVertices[Group],MATCH(Edges35[[#This Row],[Vertex 2]],GroupVertices[Vertex],0)),1,1,"")</f>
        <v>22</v>
      </c>
      <c r="BF68" s="49">
        <v>0</v>
      </c>
      <c r="BG68" s="50">
        <v>0</v>
      </c>
      <c r="BH68" s="49">
        <v>0</v>
      </c>
      <c r="BI68" s="50">
        <v>0</v>
      </c>
      <c r="BJ68" s="49">
        <v>0</v>
      </c>
      <c r="BK68" s="50">
        <v>0</v>
      </c>
      <c r="BL68" s="49">
        <v>3</v>
      </c>
      <c r="BM68" s="50">
        <v>100</v>
      </c>
      <c r="BN68" s="49">
        <v>3</v>
      </c>
    </row>
    <row r="69" spans="1:66" ht="15">
      <c r="A69" s="65" t="s">
        <v>264</v>
      </c>
      <c r="B69" s="65" t="s">
        <v>368</v>
      </c>
      <c r="C69" s="66" t="s">
        <v>2647</v>
      </c>
      <c r="D69" s="67">
        <v>5</v>
      </c>
      <c r="E69" s="68"/>
      <c r="F69" s="69">
        <v>40</v>
      </c>
      <c r="G69" s="66"/>
      <c r="H69" s="70"/>
      <c r="I69" s="71"/>
      <c r="J69" s="71"/>
      <c r="K69" s="35" t="s">
        <v>65</v>
      </c>
      <c r="L69" s="78">
        <v>111</v>
      </c>
      <c r="M69" s="78"/>
      <c r="N69" s="73"/>
      <c r="O69" s="80" t="s">
        <v>382</v>
      </c>
      <c r="P69" s="82">
        <v>44460.13752314815</v>
      </c>
      <c r="Q69" s="80" t="s">
        <v>418</v>
      </c>
      <c r="R69" s="80"/>
      <c r="S69" s="80"/>
      <c r="T69" s="85" t="s">
        <v>491</v>
      </c>
      <c r="U69" s="83" t="str">
        <f>HYPERLINK("https://pbs.twimg.com/ext_tw_video_thumb/1440152056862441476/pu/img/RypVaHbX_jWL8ylr.jpg")</f>
        <v>https://pbs.twimg.com/ext_tw_video_thumb/1440152056862441476/pu/img/RypVaHbX_jWL8ylr.jpg</v>
      </c>
      <c r="V69" s="83" t="str">
        <f>HYPERLINK("https://pbs.twimg.com/ext_tw_video_thumb/1440152056862441476/pu/img/RypVaHbX_jWL8ylr.jpg")</f>
        <v>https://pbs.twimg.com/ext_tw_video_thumb/1440152056862441476/pu/img/RypVaHbX_jWL8ylr.jpg</v>
      </c>
      <c r="W69" s="82">
        <v>44460.13752314815</v>
      </c>
      <c r="X69" s="88">
        <v>44460</v>
      </c>
      <c r="Y69" s="85" t="s">
        <v>583</v>
      </c>
      <c r="Z69" s="83" t="str">
        <f>HYPERLINK("https://twitter.com/ccc9012/status/1440153316810391556")</f>
        <v>https://twitter.com/ccc9012/status/1440153316810391556</v>
      </c>
      <c r="AA69" s="80"/>
      <c r="AB69" s="80"/>
      <c r="AC69" s="85" t="s">
        <v>756</v>
      </c>
      <c r="AD69" s="80"/>
      <c r="AE69" s="80" t="b">
        <v>0</v>
      </c>
      <c r="AF69" s="80">
        <v>0</v>
      </c>
      <c r="AG69" s="85" t="s">
        <v>871</v>
      </c>
      <c r="AH69" s="80" t="b">
        <v>0</v>
      </c>
      <c r="AI69" s="80" t="s">
        <v>882</v>
      </c>
      <c r="AJ69" s="80"/>
      <c r="AK69" s="85" t="s">
        <v>871</v>
      </c>
      <c r="AL69" s="80" t="b">
        <v>0</v>
      </c>
      <c r="AM69" s="80">
        <v>13</v>
      </c>
      <c r="AN69" s="85" t="s">
        <v>835</v>
      </c>
      <c r="AO69" s="85" t="s">
        <v>889</v>
      </c>
      <c r="AP69" s="80" t="b">
        <v>0</v>
      </c>
      <c r="AQ69" s="85" t="s">
        <v>835</v>
      </c>
      <c r="AR69" s="80" t="s">
        <v>178</v>
      </c>
      <c r="AS69" s="80">
        <v>0</v>
      </c>
      <c r="AT69" s="80">
        <v>0</v>
      </c>
      <c r="AU69" s="80"/>
      <c r="AV69" s="80"/>
      <c r="AW69" s="80"/>
      <c r="AX69" s="80"/>
      <c r="AY69" s="80"/>
      <c r="AZ69" s="80"/>
      <c r="BA69" s="80"/>
      <c r="BB69" s="80"/>
      <c r="BC69">
        <v>1</v>
      </c>
      <c r="BD69" s="79" t="str">
        <f>REPLACE(INDEX(GroupVertices[Group],MATCH(Edges35[[#This Row],[Vertex 1]],GroupVertices[Vertex],0)),1,1,"")</f>
        <v>2</v>
      </c>
      <c r="BE69" s="79" t="str">
        <f>REPLACE(INDEX(GroupVertices[Group],MATCH(Edges35[[#This Row],[Vertex 2]],GroupVertices[Vertex],0)),1,1,"")</f>
        <v>2</v>
      </c>
      <c r="BF69" s="49"/>
      <c r="BG69" s="50"/>
      <c r="BH69" s="49"/>
      <c r="BI69" s="50"/>
      <c r="BJ69" s="49"/>
      <c r="BK69" s="50"/>
      <c r="BL69" s="49"/>
      <c r="BM69" s="50"/>
      <c r="BN69" s="49"/>
    </row>
    <row r="70" spans="1:66" ht="15">
      <c r="A70" s="65" t="s">
        <v>265</v>
      </c>
      <c r="B70" s="65" t="s">
        <v>368</v>
      </c>
      <c r="C70" s="66" t="s">
        <v>2647</v>
      </c>
      <c r="D70" s="67">
        <v>5</v>
      </c>
      <c r="E70" s="68"/>
      <c r="F70" s="69">
        <v>40</v>
      </c>
      <c r="G70" s="66"/>
      <c r="H70" s="70"/>
      <c r="I70" s="71"/>
      <c r="J70" s="71"/>
      <c r="K70" s="35" t="s">
        <v>65</v>
      </c>
      <c r="L70" s="78">
        <v>114</v>
      </c>
      <c r="M70" s="78"/>
      <c r="N70" s="73"/>
      <c r="O70" s="80" t="s">
        <v>382</v>
      </c>
      <c r="P70" s="82">
        <v>44460.13921296296</v>
      </c>
      <c r="Q70" s="80" t="s">
        <v>418</v>
      </c>
      <c r="R70" s="80"/>
      <c r="S70" s="80"/>
      <c r="T70" s="85" t="s">
        <v>491</v>
      </c>
      <c r="U70" s="83" t="str">
        <f>HYPERLINK("https://pbs.twimg.com/ext_tw_video_thumb/1440152056862441476/pu/img/RypVaHbX_jWL8ylr.jpg")</f>
        <v>https://pbs.twimg.com/ext_tw_video_thumb/1440152056862441476/pu/img/RypVaHbX_jWL8ylr.jpg</v>
      </c>
      <c r="V70" s="83" t="str">
        <f>HYPERLINK("https://pbs.twimg.com/ext_tw_video_thumb/1440152056862441476/pu/img/RypVaHbX_jWL8ylr.jpg")</f>
        <v>https://pbs.twimg.com/ext_tw_video_thumb/1440152056862441476/pu/img/RypVaHbX_jWL8ylr.jpg</v>
      </c>
      <c r="W70" s="82">
        <v>44460.13921296296</v>
      </c>
      <c r="X70" s="88">
        <v>44460</v>
      </c>
      <c r="Y70" s="85" t="s">
        <v>584</v>
      </c>
      <c r="Z70" s="83" t="str">
        <f>HYPERLINK("https://twitter.com/adriana_yafa/status/1440153930126688260")</f>
        <v>https://twitter.com/adriana_yafa/status/1440153930126688260</v>
      </c>
      <c r="AA70" s="80"/>
      <c r="AB70" s="80"/>
      <c r="AC70" s="85" t="s">
        <v>757</v>
      </c>
      <c r="AD70" s="80"/>
      <c r="AE70" s="80" t="b">
        <v>0</v>
      </c>
      <c r="AF70" s="80">
        <v>0</v>
      </c>
      <c r="AG70" s="85" t="s">
        <v>871</v>
      </c>
      <c r="AH70" s="80" t="b">
        <v>0</v>
      </c>
      <c r="AI70" s="80" t="s">
        <v>882</v>
      </c>
      <c r="AJ70" s="80"/>
      <c r="AK70" s="85" t="s">
        <v>871</v>
      </c>
      <c r="AL70" s="80" t="b">
        <v>0</v>
      </c>
      <c r="AM70" s="80">
        <v>13</v>
      </c>
      <c r="AN70" s="85" t="s">
        <v>835</v>
      </c>
      <c r="AO70" s="85" t="s">
        <v>889</v>
      </c>
      <c r="AP70" s="80" t="b">
        <v>0</v>
      </c>
      <c r="AQ70" s="85" t="s">
        <v>835</v>
      </c>
      <c r="AR70" s="80" t="s">
        <v>178</v>
      </c>
      <c r="AS70" s="80">
        <v>0</v>
      </c>
      <c r="AT70" s="80">
        <v>0</v>
      </c>
      <c r="AU70" s="80"/>
      <c r="AV70" s="80"/>
      <c r="AW70" s="80"/>
      <c r="AX70" s="80"/>
      <c r="AY70" s="80"/>
      <c r="AZ70" s="80"/>
      <c r="BA70" s="80"/>
      <c r="BB70" s="80"/>
      <c r="BC70">
        <v>1</v>
      </c>
      <c r="BD70" s="79" t="str">
        <f>REPLACE(INDEX(GroupVertices[Group],MATCH(Edges35[[#This Row],[Vertex 1]],GroupVertices[Vertex],0)),1,1,"")</f>
        <v>2</v>
      </c>
      <c r="BE70" s="79" t="str">
        <f>REPLACE(INDEX(GroupVertices[Group],MATCH(Edges35[[#This Row],[Vertex 2]],GroupVertices[Vertex],0)),1,1,"")</f>
        <v>2</v>
      </c>
      <c r="BF70" s="49"/>
      <c r="BG70" s="50"/>
      <c r="BH70" s="49"/>
      <c r="BI70" s="50"/>
      <c r="BJ70" s="49"/>
      <c r="BK70" s="50"/>
      <c r="BL70" s="49"/>
      <c r="BM70" s="50"/>
      <c r="BN70" s="49"/>
    </row>
    <row r="71" spans="1:66" ht="15">
      <c r="A71" s="65" t="s">
        <v>266</v>
      </c>
      <c r="B71" s="65" t="s">
        <v>368</v>
      </c>
      <c r="C71" s="66" t="s">
        <v>2647</v>
      </c>
      <c r="D71" s="67">
        <v>5</v>
      </c>
      <c r="E71" s="68"/>
      <c r="F71" s="69">
        <v>40</v>
      </c>
      <c r="G71" s="66"/>
      <c r="H71" s="70"/>
      <c r="I71" s="71"/>
      <c r="J71" s="71"/>
      <c r="K71" s="35" t="s">
        <v>65</v>
      </c>
      <c r="L71" s="78">
        <v>117</v>
      </c>
      <c r="M71" s="78"/>
      <c r="N71" s="73"/>
      <c r="O71" s="80" t="s">
        <v>382</v>
      </c>
      <c r="P71" s="82">
        <v>44460.15914351852</v>
      </c>
      <c r="Q71" s="80" t="s">
        <v>418</v>
      </c>
      <c r="R71" s="80"/>
      <c r="S71" s="80"/>
      <c r="T71" s="85" t="s">
        <v>491</v>
      </c>
      <c r="U71" s="83" t="str">
        <f>HYPERLINK("https://pbs.twimg.com/ext_tw_video_thumb/1440152056862441476/pu/img/RypVaHbX_jWL8ylr.jpg")</f>
        <v>https://pbs.twimg.com/ext_tw_video_thumb/1440152056862441476/pu/img/RypVaHbX_jWL8ylr.jpg</v>
      </c>
      <c r="V71" s="83" t="str">
        <f>HYPERLINK("https://pbs.twimg.com/ext_tw_video_thumb/1440152056862441476/pu/img/RypVaHbX_jWL8ylr.jpg")</f>
        <v>https://pbs.twimg.com/ext_tw_video_thumb/1440152056862441476/pu/img/RypVaHbX_jWL8ylr.jpg</v>
      </c>
      <c r="W71" s="82">
        <v>44460.15914351852</v>
      </c>
      <c r="X71" s="88">
        <v>44460</v>
      </c>
      <c r="Y71" s="85" t="s">
        <v>585</v>
      </c>
      <c r="Z71" s="83" t="str">
        <f>HYPERLINK("https://twitter.com/gclementej/status/1440161154945327112")</f>
        <v>https://twitter.com/gclementej/status/1440161154945327112</v>
      </c>
      <c r="AA71" s="80"/>
      <c r="AB71" s="80"/>
      <c r="AC71" s="85" t="s">
        <v>758</v>
      </c>
      <c r="AD71" s="80"/>
      <c r="AE71" s="80" t="b">
        <v>0</v>
      </c>
      <c r="AF71" s="80">
        <v>0</v>
      </c>
      <c r="AG71" s="85" t="s">
        <v>871</v>
      </c>
      <c r="AH71" s="80" t="b">
        <v>0</v>
      </c>
      <c r="AI71" s="80" t="s">
        <v>882</v>
      </c>
      <c r="AJ71" s="80"/>
      <c r="AK71" s="85" t="s">
        <v>871</v>
      </c>
      <c r="AL71" s="80" t="b">
        <v>0</v>
      </c>
      <c r="AM71" s="80">
        <v>13</v>
      </c>
      <c r="AN71" s="85" t="s">
        <v>835</v>
      </c>
      <c r="AO71" s="85" t="s">
        <v>889</v>
      </c>
      <c r="AP71" s="80" t="b">
        <v>0</v>
      </c>
      <c r="AQ71" s="85" t="s">
        <v>835</v>
      </c>
      <c r="AR71" s="80" t="s">
        <v>178</v>
      </c>
      <c r="AS71" s="80">
        <v>0</v>
      </c>
      <c r="AT71" s="80">
        <v>0</v>
      </c>
      <c r="AU71" s="80"/>
      <c r="AV71" s="80"/>
      <c r="AW71" s="80"/>
      <c r="AX71" s="80"/>
      <c r="AY71" s="80"/>
      <c r="AZ71" s="80"/>
      <c r="BA71" s="80"/>
      <c r="BB71" s="80"/>
      <c r="BC71">
        <v>1</v>
      </c>
      <c r="BD71" s="79" t="str">
        <f>REPLACE(INDEX(GroupVertices[Group],MATCH(Edges35[[#This Row],[Vertex 1]],GroupVertices[Vertex],0)),1,1,"")</f>
        <v>2</v>
      </c>
      <c r="BE71" s="79" t="str">
        <f>REPLACE(INDEX(GroupVertices[Group],MATCH(Edges35[[#This Row],[Vertex 2]],GroupVertices[Vertex],0)),1,1,"")</f>
        <v>2</v>
      </c>
      <c r="BF71" s="49"/>
      <c r="BG71" s="50"/>
      <c r="BH71" s="49"/>
      <c r="BI71" s="50"/>
      <c r="BJ71" s="49"/>
      <c r="BK71" s="50"/>
      <c r="BL71" s="49"/>
      <c r="BM71" s="50"/>
      <c r="BN71" s="49"/>
    </row>
    <row r="72" spans="1:66" ht="15">
      <c r="A72" s="65" t="s">
        <v>267</v>
      </c>
      <c r="B72" s="65" t="s">
        <v>267</v>
      </c>
      <c r="C72" s="66" t="s">
        <v>2647</v>
      </c>
      <c r="D72" s="67">
        <v>5</v>
      </c>
      <c r="E72" s="68"/>
      <c r="F72" s="69">
        <v>40</v>
      </c>
      <c r="G72" s="66"/>
      <c r="H72" s="70"/>
      <c r="I72" s="71"/>
      <c r="J72" s="71"/>
      <c r="K72" s="35" t="s">
        <v>65</v>
      </c>
      <c r="L72" s="78">
        <v>120</v>
      </c>
      <c r="M72" s="78"/>
      <c r="N72" s="73"/>
      <c r="O72" s="80" t="s">
        <v>178</v>
      </c>
      <c r="P72" s="82">
        <v>44460.188796296294</v>
      </c>
      <c r="Q72" s="80" t="s">
        <v>419</v>
      </c>
      <c r="R72" s="83" t="str">
        <f>HYPERLINK("https://www.youtube.com/watch?v=ItA1uxOf8TQ")</f>
        <v>https://www.youtube.com/watch?v=ItA1uxOf8TQ</v>
      </c>
      <c r="S72" s="80" t="s">
        <v>458</v>
      </c>
      <c r="T72" s="85" t="s">
        <v>492</v>
      </c>
      <c r="U72" s="80"/>
      <c r="V72" s="83" t="str">
        <f>HYPERLINK("https://pbs.twimg.com/profile_images/801805981537554432/FTgyH__A_normal.jpg")</f>
        <v>https://pbs.twimg.com/profile_images/801805981537554432/FTgyH__A_normal.jpg</v>
      </c>
      <c r="W72" s="82">
        <v>44460.188796296294</v>
      </c>
      <c r="X72" s="88">
        <v>44460</v>
      </c>
      <c r="Y72" s="85" t="s">
        <v>586</v>
      </c>
      <c r="Z72" s="83" t="str">
        <f>HYPERLINK("https://twitter.com/samuelspl/status/1440171900265648129")</f>
        <v>https://twitter.com/samuelspl/status/1440171900265648129</v>
      </c>
      <c r="AA72" s="80"/>
      <c r="AB72" s="80"/>
      <c r="AC72" s="85" t="s">
        <v>759</v>
      </c>
      <c r="AD72" s="80"/>
      <c r="AE72" s="80" t="b">
        <v>0</v>
      </c>
      <c r="AF72" s="80">
        <v>1</v>
      </c>
      <c r="AG72" s="85" t="s">
        <v>871</v>
      </c>
      <c r="AH72" s="80" t="b">
        <v>0</v>
      </c>
      <c r="AI72" s="80" t="s">
        <v>884</v>
      </c>
      <c r="AJ72" s="80"/>
      <c r="AK72" s="85" t="s">
        <v>871</v>
      </c>
      <c r="AL72" s="80" t="b">
        <v>0</v>
      </c>
      <c r="AM72" s="80">
        <v>0</v>
      </c>
      <c r="AN72" s="85" t="s">
        <v>871</v>
      </c>
      <c r="AO72" s="85" t="s">
        <v>891</v>
      </c>
      <c r="AP72" s="80" t="b">
        <v>0</v>
      </c>
      <c r="AQ72" s="85" t="s">
        <v>759</v>
      </c>
      <c r="AR72" s="80" t="s">
        <v>178</v>
      </c>
      <c r="AS72" s="80">
        <v>0</v>
      </c>
      <c r="AT72" s="80">
        <v>0</v>
      </c>
      <c r="AU72" s="80"/>
      <c r="AV72" s="80"/>
      <c r="AW72" s="80"/>
      <c r="AX72" s="80"/>
      <c r="AY72" s="80"/>
      <c r="AZ72" s="80"/>
      <c r="BA72" s="80"/>
      <c r="BB72" s="80"/>
      <c r="BC72">
        <v>1</v>
      </c>
      <c r="BD72" s="79" t="str">
        <f>REPLACE(INDEX(GroupVertices[Group],MATCH(Edges35[[#This Row],[Vertex 1]],GroupVertices[Vertex],0)),1,1,"")</f>
        <v>4</v>
      </c>
      <c r="BE72" s="79" t="str">
        <f>REPLACE(INDEX(GroupVertices[Group],MATCH(Edges35[[#This Row],[Vertex 2]],GroupVertices[Vertex],0)),1,1,"")</f>
        <v>4</v>
      </c>
      <c r="BF72" s="49">
        <v>0</v>
      </c>
      <c r="BG72" s="50">
        <v>0</v>
      </c>
      <c r="BH72" s="49">
        <v>0</v>
      </c>
      <c r="BI72" s="50">
        <v>0</v>
      </c>
      <c r="BJ72" s="49">
        <v>0</v>
      </c>
      <c r="BK72" s="50">
        <v>0</v>
      </c>
      <c r="BL72" s="49">
        <v>4</v>
      </c>
      <c r="BM72" s="50">
        <v>100</v>
      </c>
      <c r="BN72" s="49">
        <v>4</v>
      </c>
    </row>
    <row r="73" spans="1:66" ht="15">
      <c r="A73" s="65" t="s">
        <v>268</v>
      </c>
      <c r="B73" s="65" t="s">
        <v>269</v>
      </c>
      <c r="C73" s="66" t="s">
        <v>2647</v>
      </c>
      <c r="D73" s="67">
        <v>5</v>
      </c>
      <c r="E73" s="68"/>
      <c r="F73" s="69">
        <v>40</v>
      </c>
      <c r="G73" s="66"/>
      <c r="H73" s="70"/>
      <c r="I73" s="71"/>
      <c r="J73" s="71"/>
      <c r="K73" s="35" t="s">
        <v>66</v>
      </c>
      <c r="L73" s="78">
        <v>121</v>
      </c>
      <c r="M73" s="78"/>
      <c r="N73" s="73"/>
      <c r="O73" s="80" t="s">
        <v>383</v>
      </c>
      <c r="P73" s="82">
        <v>44457.24663194444</v>
      </c>
      <c r="Q73" s="80" t="s">
        <v>399</v>
      </c>
      <c r="R73" s="83" t="str">
        <f>HYPERLINK("https://www.meltingpot.org/Tapachula-frontiera-sud-del-Messico-migliaia-di-persone.html")</f>
        <v>https://www.meltingpot.org/Tapachula-frontiera-sud-del-Messico-migliaia-di-persone.html</v>
      </c>
      <c r="S73" s="80" t="s">
        <v>455</v>
      </c>
      <c r="T73" s="85" t="s">
        <v>479</v>
      </c>
      <c r="U73" s="80"/>
      <c r="V73" s="83" t="str">
        <f>HYPERLINK("https://pbs.twimg.com/profile_images/1375491056582729735/0YZmZkpo_normal.jpg")</f>
        <v>https://pbs.twimg.com/profile_images/1375491056582729735/0YZmZkpo_normal.jpg</v>
      </c>
      <c r="W73" s="82">
        <v>44457.24663194444</v>
      </c>
      <c r="X73" s="88">
        <v>44457</v>
      </c>
      <c r="Y73" s="85" t="s">
        <v>587</v>
      </c>
      <c r="Z73" s="83" t="str">
        <f>HYPERLINK("https://twitter.com/meltingpoteu/status/1439105692657496065")</f>
        <v>https://twitter.com/meltingpoteu/status/1439105692657496065</v>
      </c>
      <c r="AA73" s="80"/>
      <c r="AB73" s="80"/>
      <c r="AC73" s="85" t="s">
        <v>760</v>
      </c>
      <c r="AD73" s="80"/>
      <c r="AE73" s="80" t="b">
        <v>0</v>
      </c>
      <c r="AF73" s="80">
        <v>0</v>
      </c>
      <c r="AG73" s="85" t="s">
        <v>871</v>
      </c>
      <c r="AH73" s="80" t="b">
        <v>0</v>
      </c>
      <c r="AI73" s="80" t="s">
        <v>883</v>
      </c>
      <c r="AJ73" s="80"/>
      <c r="AK73" s="85" t="s">
        <v>871</v>
      </c>
      <c r="AL73" s="80" t="b">
        <v>0</v>
      </c>
      <c r="AM73" s="80">
        <v>3</v>
      </c>
      <c r="AN73" s="85" t="s">
        <v>761</v>
      </c>
      <c r="AO73" s="85" t="s">
        <v>889</v>
      </c>
      <c r="AP73" s="80" t="b">
        <v>0</v>
      </c>
      <c r="AQ73" s="85" t="s">
        <v>761</v>
      </c>
      <c r="AR73" s="80" t="s">
        <v>178</v>
      </c>
      <c r="AS73" s="80">
        <v>0</v>
      </c>
      <c r="AT73" s="80">
        <v>0</v>
      </c>
      <c r="AU73" s="80"/>
      <c r="AV73" s="80"/>
      <c r="AW73" s="80"/>
      <c r="AX73" s="80"/>
      <c r="AY73" s="80"/>
      <c r="AZ73" s="80"/>
      <c r="BA73" s="80"/>
      <c r="BB73" s="80"/>
      <c r="BC73">
        <v>1</v>
      </c>
      <c r="BD73" s="79" t="str">
        <f>REPLACE(INDEX(GroupVertices[Group],MATCH(Edges35[[#This Row],[Vertex 1]],GroupVertices[Vertex],0)),1,1,"")</f>
        <v>3</v>
      </c>
      <c r="BE73" s="79" t="str">
        <f>REPLACE(INDEX(GroupVertices[Group],MATCH(Edges35[[#This Row],[Vertex 2]],GroupVertices[Vertex],0)),1,1,"")</f>
        <v>3</v>
      </c>
      <c r="BF73" s="49">
        <v>0</v>
      </c>
      <c r="BG73" s="50">
        <v>0</v>
      </c>
      <c r="BH73" s="49">
        <v>0</v>
      </c>
      <c r="BI73" s="50">
        <v>0</v>
      </c>
      <c r="BJ73" s="49">
        <v>0</v>
      </c>
      <c r="BK73" s="50">
        <v>0</v>
      </c>
      <c r="BL73" s="49">
        <v>31</v>
      </c>
      <c r="BM73" s="50">
        <v>100</v>
      </c>
      <c r="BN73" s="49">
        <v>31</v>
      </c>
    </row>
    <row r="74" spans="1:66" ht="15">
      <c r="A74" s="65" t="s">
        <v>269</v>
      </c>
      <c r="B74" s="65" t="s">
        <v>268</v>
      </c>
      <c r="C74" s="66" t="s">
        <v>2648</v>
      </c>
      <c r="D74" s="67">
        <v>10</v>
      </c>
      <c r="E74" s="68"/>
      <c r="F74" s="69">
        <v>20</v>
      </c>
      <c r="G74" s="66"/>
      <c r="H74" s="70"/>
      <c r="I74" s="71"/>
      <c r="J74" s="71"/>
      <c r="K74" s="35" t="s">
        <v>66</v>
      </c>
      <c r="L74" s="78">
        <v>122</v>
      </c>
      <c r="M74" s="78"/>
      <c r="N74" s="73"/>
      <c r="O74" s="80" t="s">
        <v>384</v>
      </c>
      <c r="P74" s="82">
        <v>44456.88068287037</v>
      </c>
      <c r="Q74" s="80" t="s">
        <v>399</v>
      </c>
      <c r="R74" s="83" t="str">
        <f>HYPERLINK("https://www.meltingpot.org/Tapachula-frontiera-sud-del-Messico-migliaia-di-persone.html")</f>
        <v>https://www.meltingpot.org/Tapachula-frontiera-sud-del-Messico-migliaia-di-persone.html</v>
      </c>
      <c r="S74" s="80" t="s">
        <v>455</v>
      </c>
      <c r="T74" s="85" t="s">
        <v>479</v>
      </c>
      <c r="U74" s="80"/>
      <c r="V74" s="83" t="str">
        <f>HYPERLINK("https://pbs.twimg.com/profile_images/1290604044021637121/mkF_MKL3_normal.jpg")</f>
        <v>https://pbs.twimg.com/profile_images/1290604044021637121/mkF_MKL3_normal.jpg</v>
      </c>
      <c r="W74" s="82">
        <v>44456.88068287037</v>
      </c>
      <c r="X74" s="88">
        <v>44456</v>
      </c>
      <c r="Y74" s="85" t="s">
        <v>588</v>
      </c>
      <c r="Z74" s="83" t="str">
        <f>HYPERLINK("https://twitter.com/chrispeverieri/status/1438973080861356033")</f>
        <v>https://twitter.com/chrispeverieri/status/1438973080861356033</v>
      </c>
      <c r="AA74" s="80"/>
      <c r="AB74" s="80"/>
      <c r="AC74" s="85" t="s">
        <v>761</v>
      </c>
      <c r="AD74" s="80"/>
      <c r="AE74" s="80" t="b">
        <v>0</v>
      </c>
      <c r="AF74" s="80">
        <v>5</v>
      </c>
      <c r="AG74" s="85" t="s">
        <v>871</v>
      </c>
      <c r="AH74" s="80" t="b">
        <v>0</v>
      </c>
      <c r="AI74" s="80" t="s">
        <v>883</v>
      </c>
      <c r="AJ74" s="80"/>
      <c r="AK74" s="85" t="s">
        <v>871</v>
      </c>
      <c r="AL74" s="80" t="b">
        <v>0</v>
      </c>
      <c r="AM74" s="80">
        <v>3</v>
      </c>
      <c r="AN74" s="85" t="s">
        <v>871</v>
      </c>
      <c r="AO74" s="85" t="s">
        <v>890</v>
      </c>
      <c r="AP74" s="80" t="b">
        <v>0</v>
      </c>
      <c r="AQ74" s="85" t="s">
        <v>761</v>
      </c>
      <c r="AR74" s="80" t="s">
        <v>178</v>
      </c>
      <c r="AS74" s="80">
        <v>0</v>
      </c>
      <c r="AT74" s="80">
        <v>0</v>
      </c>
      <c r="AU74" s="80"/>
      <c r="AV74" s="80"/>
      <c r="AW74" s="80"/>
      <c r="AX74" s="80"/>
      <c r="AY74" s="80"/>
      <c r="AZ74" s="80"/>
      <c r="BA74" s="80"/>
      <c r="BB74" s="80"/>
      <c r="BC74">
        <v>4</v>
      </c>
      <c r="BD74" s="79" t="str">
        <f>REPLACE(INDEX(GroupVertices[Group],MATCH(Edges35[[#This Row],[Vertex 1]],GroupVertices[Vertex],0)),1,1,"")</f>
        <v>3</v>
      </c>
      <c r="BE74" s="79" t="str">
        <f>REPLACE(INDEX(GroupVertices[Group],MATCH(Edges35[[#This Row],[Vertex 2]],GroupVertices[Vertex],0)),1,1,"")</f>
        <v>3</v>
      </c>
      <c r="BF74" s="49">
        <v>0</v>
      </c>
      <c r="BG74" s="50">
        <v>0</v>
      </c>
      <c r="BH74" s="49">
        <v>0</v>
      </c>
      <c r="BI74" s="50">
        <v>0</v>
      </c>
      <c r="BJ74" s="49">
        <v>0</v>
      </c>
      <c r="BK74" s="50">
        <v>0</v>
      </c>
      <c r="BL74" s="49">
        <v>31</v>
      </c>
      <c r="BM74" s="50">
        <v>100</v>
      </c>
      <c r="BN74" s="49">
        <v>31</v>
      </c>
    </row>
    <row r="75" spans="1:66" ht="15">
      <c r="A75" s="65" t="s">
        <v>269</v>
      </c>
      <c r="B75" s="65" t="s">
        <v>268</v>
      </c>
      <c r="C75" s="66" t="s">
        <v>2648</v>
      </c>
      <c r="D75" s="67">
        <v>10</v>
      </c>
      <c r="E75" s="68"/>
      <c r="F75" s="69">
        <v>20</v>
      </c>
      <c r="G75" s="66"/>
      <c r="H75" s="70"/>
      <c r="I75" s="71"/>
      <c r="J75" s="71"/>
      <c r="K75" s="35" t="s">
        <v>66</v>
      </c>
      <c r="L75" s="78">
        <v>123</v>
      </c>
      <c r="M75" s="78"/>
      <c r="N75" s="73"/>
      <c r="O75" s="80" t="s">
        <v>384</v>
      </c>
      <c r="P75" s="82">
        <v>44458.338738425926</v>
      </c>
      <c r="Q75" s="80" t="s">
        <v>406</v>
      </c>
      <c r="R75" s="83" t="str">
        <f>HYPERLINK("https://www.meltingpot.org/Tapachula-frontiera-sud-del-Messico-migliaia-di-persone.html")</f>
        <v>https://www.meltingpot.org/Tapachula-frontiera-sud-del-Messico-migliaia-di-persone.html</v>
      </c>
      <c r="S75" s="80" t="s">
        <v>455</v>
      </c>
      <c r="T75" s="85" t="s">
        <v>479</v>
      </c>
      <c r="U75" s="80"/>
      <c r="V75" s="83" t="str">
        <f>HYPERLINK("https://pbs.twimg.com/profile_images/1290604044021637121/mkF_MKL3_normal.jpg")</f>
        <v>https://pbs.twimg.com/profile_images/1290604044021637121/mkF_MKL3_normal.jpg</v>
      </c>
      <c r="W75" s="82">
        <v>44458.338738425926</v>
      </c>
      <c r="X75" s="88">
        <v>44458</v>
      </c>
      <c r="Y75" s="85" t="s">
        <v>589</v>
      </c>
      <c r="Z75" s="83" t="str">
        <f>HYPERLINK("https://twitter.com/chrispeverieri/status/1439501459356360704")</f>
        <v>https://twitter.com/chrispeverieri/status/1439501459356360704</v>
      </c>
      <c r="AA75" s="80"/>
      <c r="AB75" s="80"/>
      <c r="AC75" s="85" t="s">
        <v>762</v>
      </c>
      <c r="AD75" s="80"/>
      <c r="AE75" s="80" t="b">
        <v>0</v>
      </c>
      <c r="AF75" s="80">
        <v>2</v>
      </c>
      <c r="AG75" s="85" t="s">
        <v>871</v>
      </c>
      <c r="AH75" s="80" t="b">
        <v>0</v>
      </c>
      <c r="AI75" s="80" t="s">
        <v>883</v>
      </c>
      <c r="AJ75" s="80"/>
      <c r="AK75" s="85" t="s">
        <v>871</v>
      </c>
      <c r="AL75" s="80" t="b">
        <v>0</v>
      </c>
      <c r="AM75" s="80">
        <v>3</v>
      </c>
      <c r="AN75" s="85" t="s">
        <v>871</v>
      </c>
      <c r="AO75" s="85" t="s">
        <v>890</v>
      </c>
      <c r="AP75" s="80" t="b">
        <v>0</v>
      </c>
      <c r="AQ75" s="85" t="s">
        <v>762</v>
      </c>
      <c r="AR75" s="80" t="s">
        <v>178</v>
      </c>
      <c r="AS75" s="80">
        <v>0</v>
      </c>
      <c r="AT75" s="80">
        <v>0</v>
      </c>
      <c r="AU75" s="80"/>
      <c r="AV75" s="80"/>
      <c r="AW75" s="80"/>
      <c r="AX75" s="80"/>
      <c r="AY75" s="80"/>
      <c r="AZ75" s="80"/>
      <c r="BA75" s="80"/>
      <c r="BB75" s="80"/>
      <c r="BC75">
        <v>4</v>
      </c>
      <c r="BD75" s="79" t="str">
        <f>REPLACE(INDEX(GroupVertices[Group],MATCH(Edges35[[#This Row],[Vertex 1]],GroupVertices[Vertex],0)),1,1,"")</f>
        <v>3</v>
      </c>
      <c r="BE75" s="79" t="str">
        <f>REPLACE(INDEX(GroupVertices[Group],MATCH(Edges35[[#This Row],[Vertex 2]],GroupVertices[Vertex],0)),1,1,"")</f>
        <v>3</v>
      </c>
      <c r="BF75" s="49">
        <v>0</v>
      </c>
      <c r="BG75" s="50">
        <v>0</v>
      </c>
      <c r="BH75" s="49">
        <v>0</v>
      </c>
      <c r="BI75" s="50">
        <v>0</v>
      </c>
      <c r="BJ75" s="49">
        <v>0</v>
      </c>
      <c r="BK75" s="50">
        <v>0</v>
      </c>
      <c r="BL75" s="49">
        <v>31</v>
      </c>
      <c r="BM75" s="50">
        <v>100</v>
      </c>
      <c r="BN75" s="49">
        <v>31</v>
      </c>
    </row>
    <row r="76" spans="1:66" ht="15">
      <c r="A76" s="65" t="s">
        <v>270</v>
      </c>
      <c r="B76" s="65" t="s">
        <v>269</v>
      </c>
      <c r="C76" s="66" t="s">
        <v>2647</v>
      </c>
      <c r="D76" s="67">
        <v>5</v>
      </c>
      <c r="E76" s="68"/>
      <c r="F76" s="69">
        <v>40</v>
      </c>
      <c r="G76" s="66"/>
      <c r="H76" s="70"/>
      <c r="I76" s="71"/>
      <c r="J76" s="71"/>
      <c r="K76" s="35" t="s">
        <v>65</v>
      </c>
      <c r="L76" s="78">
        <v>124</v>
      </c>
      <c r="M76" s="78"/>
      <c r="N76" s="73"/>
      <c r="O76" s="80" t="s">
        <v>383</v>
      </c>
      <c r="P76" s="82">
        <v>44460.50451388889</v>
      </c>
      <c r="Q76" s="80" t="s">
        <v>420</v>
      </c>
      <c r="R76" s="83" t="str">
        <f>HYPERLINK("https://www.diariodelsur.com.mx/local/migrantes-intentan-salir-de-chiapas-con-rumbo-a-veracruz-7237222.html")</f>
        <v>https://www.diariodelsur.com.mx/local/migrantes-intentan-salir-de-chiapas-con-rumbo-a-veracruz-7237222.html</v>
      </c>
      <c r="S76" s="80" t="s">
        <v>451</v>
      </c>
      <c r="T76" s="85" t="s">
        <v>493</v>
      </c>
      <c r="U76" s="80"/>
      <c r="V76" s="83" t="str">
        <f>HYPERLINK("https://abs.twimg.com/sticky/default_profile_images/default_profile_normal.png")</f>
        <v>https://abs.twimg.com/sticky/default_profile_images/default_profile_normal.png</v>
      </c>
      <c r="W76" s="82">
        <v>44460.50451388889</v>
      </c>
      <c r="X76" s="88">
        <v>44460</v>
      </c>
      <c r="Y76" s="85" t="s">
        <v>590</v>
      </c>
      <c r="Z76" s="83" t="str">
        <f>HYPERLINK("https://twitter.com/rodrigezthayri/status/1440286311869399050")</f>
        <v>https://twitter.com/rodrigezthayri/status/1440286311869399050</v>
      </c>
      <c r="AA76" s="80"/>
      <c r="AB76" s="80"/>
      <c r="AC76" s="85" t="s">
        <v>763</v>
      </c>
      <c r="AD76" s="80"/>
      <c r="AE76" s="80" t="b">
        <v>0</v>
      </c>
      <c r="AF76" s="80">
        <v>0</v>
      </c>
      <c r="AG76" s="85" t="s">
        <v>871</v>
      </c>
      <c r="AH76" s="80" t="b">
        <v>0</v>
      </c>
      <c r="AI76" s="80" t="s">
        <v>883</v>
      </c>
      <c r="AJ76" s="80"/>
      <c r="AK76" s="85" t="s">
        <v>871</v>
      </c>
      <c r="AL76" s="80" t="b">
        <v>0</v>
      </c>
      <c r="AM76" s="80">
        <v>3</v>
      </c>
      <c r="AN76" s="85" t="s">
        <v>795</v>
      </c>
      <c r="AO76" s="85" t="s">
        <v>890</v>
      </c>
      <c r="AP76" s="80" t="b">
        <v>0</v>
      </c>
      <c r="AQ76" s="85" t="s">
        <v>795</v>
      </c>
      <c r="AR76" s="80" t="s">
        <v>178</v>
      </c>
      <c r="AS76" s="80">
        <v>0</v>
      </c>
      <c r="AT76" s="80">
        <v>0</v>
      </c>
      <c r="AU76" s="80"/>
      <c r="AV76" s="80"/>
      <c r="AW76" s="80"/>
      <c r="AX76" s="80"/>
      <c r="AY76" s="80"/>
      <c r="AZ76" s="80"/>
      <c r="BA76" s="80"/>
      <c r="BB76" s="80"/>
      <c r="BC76">
        <v>1</v>
      </c>
      <c r="BD76" s="79" t="str">
        <f>REPLACE(INDEX(GroupVertices[Group],MATCH(Edges35[[#This Row],[Vertex 1]],GroupVertices[Vertex],0)),1,1,"")</f>
        <v>3</v>
      </c>
      <c r="BE76" s="79" t="str">
        <f>REPLACE(INDEX(GroupVertices[Group],MATCH(Edges35[[#This Row],[Vertex 2]],GroupVertices[Vertex],0)),1,1,"")</f>
        <v>3</v>
      </c>
      <c r="BF76" s="49">
        <v>0</v>
      </c>
      <c r="BG76" s="50">
        <v>0</v>
      </c>
      <c r="BH76" s="49">
        <v>0</v>
      </c>
      <c r="BI76" s="50">
        <v>0</v>
      </c>
      <c r="BJ76" s="49">
        <v>0</v>
      </c>
      <c r="BK76" s="50">
        <v>0</v>
      </c>
      <c r="BL76" s="49">
        <v>35</v>
      </c>
      <c r="BM76" s="50">
        <v>100</v>
      </c>
      <c r="BN76" s="49">
        <v>35</v>
      </c>
    </row>
    <row r="77" spans="1:66" ht="15">
      <c r="A77" s="65" t="s">
        <v>271</v>
      </c>
      <c r="B77" s="65" t="s">
        <v>368</v>
      </c>
      <c r="C77" s="66" t="s">
        <v>2647</v>
      </c>
      <c r="D77" s="67">
        <v>5</v>
      </c>
      <c r="E77" s="68"/>
      <c r="F77" s="69">
        <v>40</v>
      </c>
      <c r="G77" s="66"/>
      <c r="H77" s="70"/>
      <c r="I77" s="71"/>
      <c r="J77" s="71"/>
      <c r="K77" s="35" t="s">
        <v>65</v>
      </c>
      <c r="L77" s="78">
        <v>125</v>
      </c>
      <c r="M77" s="78"/>
      <c r="N77" s="73"/>
      <c r="O77" s="80" t="s">
        <v>382</v>
      </c>
      <c r="P77" s="82">
        <v>44460.53314814815</v>
      </c>
      <c r="Q77" s="80" t="s">
        <v>418</v>
      </c>
      <c r="R77" s="80"/>
      <c r="S77" s="80"/>
      <c r="T77" s="85" t="s">
        <v>491</v>
      </c>
      <c r="U77" s="83" t="str">
        <f>HYPERLINK("https://pbs.twimg.com/ext_tw_video_thumb/1440152056862441476/pu/img/RypVaHbX_jWL8ylr.jpg")</f>
        <v>https://pbs.twimg.com/ext_tw_video_thumb/1440152056862441476/pu/img/RypVaHbX_jWL8ylr.jpg</v>
      </c>
      <c r="V77" s="83" t="str">
        <f>HYPERLINK("https://pbs.twimg.com/ext_tw_video_thumb/1440152056862441476/pu/img/RypVaHbX_jWL8ylr.jpg")</f>
        <v>https://pbs.twimg.com/ext_tw_video_thumb/1440152056862441476/pu/img/RypVaHbX_jWL8ylr.jpg</v>
      </c>
      <c r="W77" s="82">
        <v>44460.53314814815</v>
      </c>
      <c r="X77" s="88">
        <v>44460</v>
      </c>
      <c r="Y77" s="85" t="s">
        <v>591</v>
      </c>
      <c r="Z77" s="83" t="str">
        <f>HYPERLINK("https://twitter.com/morgantux91/status/1440296686316703744")</f>
        <v>https://twitter.com/morgantux91/status/1440296686316703744</v>
      </c>
      <c r="AA77" s="80"/>
      <c r="AB77" s="80"/>
      <c r="AC77" s="85" t="s">
        <v>764</v>
      </c>
      <c r="AD77" s="80"/>
      <c r="AE77" s="80" t="b">
        <v>0</v>
      </c>
      <c r="AF77" s="80">
        <v>0</v>
      </c>
      <c r="AG77" s="85" t="s">
        <v>871</v>
      </c>
      <c r="AH77" s="80" t="b">
        <v>0</v>
      </c>
      <c r="AI77" s="80" t="s">
        <v>882</v>
      </c>
      <c r="AJ77" s="80"/>
      <c r="AK77" s="85" t="s">
        <v>871</v>
      </c>
      <c r="AL77" s="80" t="b">
        <v>0</v>
      </c>
      <c r="AM77" s="80">
        <v>13</v>
      </c>
      <c r="AN77" s="85" t="s">
        <v>835</v>
      </c>
      <c r="AO77" s="85" t="s">
        <v>891</v>
      </c>
      <c r="AP77" s="80" t="b">
        <v>0</v>
      </c>
      <c r="AQ77" s="85" t="s">
        <v>835</v>
      </c>
      <c r="AR77" s="80" t="s">
        <v>178</v>
      </c>
      <c r="AS77" s="80">
        <v>0</v>
      </c>
      <c r="AT77" s="80">
        <v>0</v>
      </c>
      <c r="AU77" s="80"/>
      <c r="AV77" s="80"/>
      <c r="AW77" s="80"/>
      <c r="AX77" s="80"/>
      <c r="AY77" s="80"/>
      <c r="AZ77" s="80"/>
      <c r="BA77" s="80"/>
      <c r="BB77" s="80"/>
      <c r="BC77">
        <v>1</v>
      </c>
      <c r="BD77" s="79" t="str">
        <f>REPLACE(INDEX(GroupVertices[Group],MATCH(Edges35[[#This Row],[Vertex 1]],GroupVertices[Vertex],0)),1,1,"")</f>
        <v>2</v>
      </c>
      <c r="BE77" s="79" t="str">
        <f>REPLACE(INDEX(GroupVertices[Group],MATCH(Edges35[[#This Row],[Vertex 2]],GroupVertices[Vertex],0)),1,1,"")</f>
        <v>2</v>
      </c>
      <c r="BF77" s="49"/>
      <c r="BG77" s="50"/>
      <c r="BH77" s="49"/>
      <c r="BI77" s="50"/>
      <c r="BJ77" s="49"/>
      <c r="BK77" s="50"/>
      <c r="BL77" s="49"/>
      <c r="BM77" s="50"/>
      <c r="BN77" s="49"/>
    </row>
    <row r="78" spans="1:66" ht="15">
      <c r="A78" s="65" t="s">
        <v>272</v>
      </c>
      <c r="B78" s="65" t="s">
        <v>272</v>
      </c>
      <c r="C78" s="66" t="s">
        <v>2647</v>
      </c>
      <c r="D78" s="67">
        <v>5</v>
      </c>
      <c r="E78" s="68"/>
      <c r="F78" s="69">
        <v>40</v>
      </c>
      <c r="G78" s="66"/>
      <c r="H78" s="70"/>
      <c r="I78" s="71"/>
      <c r="J78" s="71"/>
      <c r="K78" s="35" t="s">
        <v>65</v>
      </c>
      <c r="L78" s="78">
        <v>128</v>
      </c>
      <c r="M78" s="78"/>
      <c r="N78" s="73"/>
      <c r="O78" s="80" t="s">
        <v>178</v>
      </c>
      <c r="P78" s="82">
        <v>44460.63202546296</v>
      </c>
      <c r="Q78" s="80" t="s">
        <v>421</v>
      </c>
      <c r="R78" s="83" t="str">
        <f>HYPERLINK("https://pulsosur.com/2021/09/20/estados-unidos-cierra-su-frontera-para-frenar-el-cruce-de-mas-migrantes-haitianos/")</f>
        <v>https://pulsosur.com/2021/09/20/estados-unidos-cierra-su-frontera-para-frenar-el-cruce-de-mas-migrantes-haitianos/</v>
      </c>
      <c r="S78" s="80" t="s">
        <v>461</v>
      </c>
      <c r="T78" s="85" t="s">
        <v>494</v>
      </c>
      <c r="U78" s="80"/>
      <c r="V78" s="83" t="str">
        <f>HYPERLINK("https://pbs.twimg.com/profile_images/1348757759706202121/uqTtMs7E_normal.jpg")</f>
        <v>https://pbs.twimg.com/profile_images/1348757759706202121/uqTtMs7E_normal.jpg</v>
      </c>
      <c r="W78" s="82">
        <v>44460.63202546296</v>
      </c>
      <c r="X78" s="88">
        <v>44460</v>
      </c>
      <c r="Y78" s="85" t="s">
        <v>592</v>
      </c>
      <c r="Z78" s="83" t="str">
        <f>HYPERLINK("https://twitter.com/surpulso/status/1440332520634007566")</f>
        <v>https://twitter.com/surpulso/status/1440332520634007566</v>
      </c>
      <c r="AA78" s="80"/>
      <c r="AB78" s="80"/>
      <c r="AC78" s="85" t="s">
        <v>765</v>
      </c>
      <c r="AD78" s="80"/>
      <c r="AE78" s="80" t="b">
        <v>0</v>
      </c>
      <c r="AF78" s="80">
        <v>0</v>
      </c>
      <c r="AG78" s="85" t="s">
        <v>871</v>
      </c>
      <c r="AH78" s="80" t="b">
        <v>0</v>
      </c>
      <c r="AI78" s="80" t="s">
        <v>882</v>
      </c>
      <c r="AJ78" s="80"/>
      <c r="AK78" s="85" t="s">
        <v>871</v>
      </c>
      <c r="AL78" s="80" t="b">
        <v>0</v>
      </c>
      <c r="AM78" s="80">
        <v>0</v>
      </c>
      <c r="AN78" s="85" t="s">
        <v>871</v>
      </c>
      <c r="AO78" s="85" t="s">
        <v>891</v>
      </c>
      <c r="AP78" s="80" t="b">
        <v>0</v>
      </c>
      <c r="AQ78" s="85" t="s">
        <v>765</v>
      </c>
      <c r="AR78" s="80" t="s">
        <v>178</v>
      </c>
      <c r="AS78" s="80">
        <v>0</v>
      </c>
      <c r="AT78" s="80">
        <v>0</v>
      </c>
      <c r="AU78" s="80"/>
      <c r="AV78" s="80"/>
      <c r="AW78" s="80"/>
      <c r="AX78" s="80"/>
      <c r="AY78" s="80"/>
      <c r="AZ78" s="80"/>
      <c r="BA78" s="80"/>
      <c r="BB78" s="80"/>
      <c r="BC78">
        <v>1</v>
      </c>
      <c r="BD78" s="79" t="str">
        <f>REPLACE(INDEX(GroupVertices[Group],MATCH(Edges35[[#This Row],[Vertex 1]],GroupVertices[Vertex],0)),1,1,"")</f>
        <v>4</v>
      </c>
      <c r="BE78" s="79" t="str">
        <f>REPLACE(INDEX(GroupVertices[Group],MATCH(Edges35[[#This Row],[Vertex 2]],GroupVertices[Vertex],0)),1,1,"")</f>
        <v>4</v>
      </c>
      <c r="BF78" s="49">
        <v>0</v>
      </c>
      <c r="BG78" s="50">
        <v>0</v>
      </c>
      <c r="BH78" s="49">
        <v>0</v>
      </c>
      <c r="BI78" s="50">
        <v>0</v>
      </c>
      <c r="BJ78" s="49">
        <v>0</v>
      </c>
      <c r="BK78" s="50">
        <v>0</v>
      </c>
      <c r="BL78" s="49">
        <v>17</v>
      </c>
      <c r="BM78" s="50">
        <v>100</v>
      </c>
      <c r="BN78" s="49">
        <v>17</v>
      </c>
    </row>
    <row r="79" spans="1:66" ht="15">
      <c r="A79" s="65" t="s">
        <v>273</v>
      </c>
      <c r="B79" s="65" t="s">
        <v>368</v>
      </c>
      <c r="C79" s="66" t="s">
        <v>2647</v>
      </c>
      <c r="D79" s="67">
        <v>5</v>
      </c>
      <c r="E79" s="68"/>
      <c r="F79" s="69">
        <v>40</v>
      </c>
      <c r="G79" s="66"/>
      <c r="H79" s="70"/>
      <c r="I79" s="71"/>
      <c r="J79" s="71"/>
      <c r="K79" s="35" t="s">
        <v>65</v>
      </c>
      <c r="L79" s="78">
        <v>129</v>
      </c>
      <c r="M79" s="78"/>
      <c r="N79" s="73"/>
      <c r="O79" s="80" t="s">
        <v>382</v>
      </c>
      <c r="P79" s="82">
        <v>44460.74587962963</v>
      </c>
      <c r="Q79" s="80" t="s">
        <v>418</v>
      </c>
      <c r="R79" s="80"/>
      <c r="S79" s="80"/>
      <c r="T79" s="85" t="s">
        <v>491</v>
      </c>
      <c r="U79" s="83" t="str">
        <f>HYPERLINK("https://pbs.twimg.com/ext_tw_video_thumb/1440152056862441476/pu/img/RypVaHbX_jWL8ylr.jpg")</f>
        <v>https://pbs.twimg.com/ext_tw_video_thumb/1440152056862441476/pu/img/RypVaHbX_jWL8ylr.jpg</v>
      </c>
      <c r="V79" s="83" t="str">
        <f>HYPERLINK("https://pbs.twimg.com/ext_tw_video_thumb/1440152056862441476/pu/img/RypVaHbX_jWL8ylr.jpg")</f>
        <v>https://pbs.twimg.com/ext_tw_video_thumb/1440152056862441476/pu/img/RypVaHbX_jWL8ylr.jpg</v>
      </c>
      <c r="W79" s="82">
        <v>44460.74587962963</v>
      </c>
      <c r="X79" s="88">
        <v>44460</v>
      </c>
      <c r="Y79" s="85" t="s">
        <v>593</v>
      </c>
      <c r="Z79" s="83" t="str">
        <f>HYPERLINK("https://twitter.com/educhiapas/status/1440373779725635597")</f>
        <v>https://twitter.com/educhiapas/status/1440373779725635597</v>
      </c>
      <c r="AA79" s="80"/>
      <c r="AB79" s="80"/>
      <c r="AC79" s="85" t="s">
        <v>766</v>
      </c>
      <c r="AD79" s="80"/>
      <c r="AE79" s="80" t="b">
        <v>0</v>
      </c>
      <c r="AF79" s="80">
        <v>0</v>
      </c>
      <c r="AG79" s="85" t="s">
        <v>871</v>
      </c>
      <c r="AH79" s="80" t="b">
        <v>0</v>
      </c>
      <c r="AI79" s="80" t="s">
        <v>882</v>
      </c>
      <c r="AJ79" s="80"/>
      <c r="AK79" s="85" t="s">
        <v>871</v>
      </c>
      <c r="AL79" s="80" t="b">
        <v>0</v>
      </c>
      <c r="AM79" s="80">
        <v>13</v>
      </c>
      <c r="AN79" s="85" t="s">
        <v>835</v>
      </c>
      <c r="AO79" s="85" t="s">
        <v>890</v>
      </c>
      <c r="AP79" s="80" t="b">
        <v>0</v>
      </c>
      <c r="AQ79" s="85" t="s">
        <v>835</v>
      </c>
      <c r="AR79" s="80" t="s">
        <v>178</v>
      </c>
      <c r="AS79" s="80">
        <v>0</v>
      </c>
      <c r="AT79" s="80">
        <v>0</v>
      </c>
      <c r="AU79" s="80"/>
      <c r="AV79" s="80"/>
      <c r="AW79" s="80"/>
      <c r="AX79" s="80"/>
      <c r="AY79" s="80"/>
      <c r="AZ79" s="80"/>
      <c r="BA79" s="80"/>
      <c r="BB79" s="80"/>
      <c r="BC79">
        <v>1</v>
      </c>
      <c r="BD79" s="79" t="str">
        <f>REPLACE(INDEX(GroupVertices[Group],MATCH(Edges35[[#This Row],[Vertex 1]],GroupVertices[Vertex],0)),1,1,"")</f>
        <v>2</v>
      </c>
      <c r="BE79" s="79" t="str">
        <f>REPLACE(INDEX(GroupVertices[Group],MATCH(Edges35[[#This Row],[Vertex 2]],GroupVertices[Vertex],0)),1,1,"")</f>
        <v>2</v>
      </c>
      <c r="BF79" s="49"/>
      <c r="BG79" s="50"/>
      <c r="BH79" s="49"/>
      <c r="BI79" s="50"/>
      <c r="BJ79" s="49"/>
      <c r="BK79" s="50"/>
      <c r="BL79" s="49"/>
      <c r="BM79" s="50"/>
      <c r="BN79" s="49"/>
    </row>
    <row r="80" spans="1:66" ht="15">
      <c r="A80" s="65" t="s">
        <v>274</v>
      </c>
      <c r="B80" s="65" t="s">
        <v>274</v>
      </c>
      <c r="C80" s="66" t="s">
        <v>2647</v>
      </c>
      <c r="D80" s="67">
        <v>5</v>
      </c>
      <c r="E80" s="68"/>
      <c r="F80" s="69">
        <v>40</v>
      </c>
      <c r="G80" s="66"/>
      <c r="H80" s="70"/>
      <c r="I80" s="71"/>
      <c r="J80" s="71"/>
      <c r="K80" s="35" t="s">
        <v>65</v>
      </c>
      <c r="L80" s="78">
        <v>132</v>
      </c>
      <c r="M80" s="78"/>
      <c r="N80" s="73"/>
      <c r="O80" s="80" t="s">
        <v>178</v>
      </c>
      <c r="P80" s="82">
        <v>44460.75203703704</v>
      </c>
      <c r="Q80" s="80" t="s">
        <v>422</v>
      </c>
      <c r="R80" s="80"/>
      <c r="S80" s="80"/>
      <c r="T80" s="85" t="s">
        <v>495</v>
      </c>
      <c r="U80" s="83" t="str">
        <f>HYPERLINK("https://pbs.twimg.com/media/E_0-V_TVUAYqPM4.jpg")</f>
        <v>https://pbs.twimg.com/media/E_0-V_TVUAYqPM4.jpg</v>
      </c>
      <c r="V80" s="83" t="str">
        <f>HYPERLINK("https://pbs.twimg.com/media/E_0-V_TVUAYqPM4.jpg")</f>
        <v>https://pbs.twimg.com/media/E_0-V_TVUAYqPM4.jpg</v>
      </c>
      <c r="W80" s="82">
        <v>44460.75203703704</v>
      </c>
      <c r="X80" s="88">
        <v>44460</v>
      </c>
      <c r="Y80" s="85" t="s">
        <v>594</v>
      </c>
      <c r="Z80" s="83" t="str">
        <f>HYPERLINK("https://twitter.com/pirubruja/status/1440376009992257539")</f>
        <v>https://twitter.com/pirubruja/status/1440376009992257539</v>
      </c>
      <c r="AA80" s="80"/>
      <c r="AB80" s="80"/>
      <c r="AC80" s="85" t="s">
        <v>767</v>
      </c>
      <c r="AD80" s="80"/>
      <c r="AE80" s="80" t="b">
        <v>0</v>
      </c>
      <c r="AF80" s="80">
        <v>0</v>
      </c>
      <c r="AG80" s="85" t="s">
        <v>871</v>
      </c>
      <c r="AH80" s="80" t="b">
        <v>0</v>
      </c>
      <c r="AI80" s="80" t="s">
        <v>882</v>
      </c>
      <c r="AJ80" s="80"/>
      <c r="AK80" s="85" t="s">
        <v>871</v>
      </c>
      <c r="AL80" s="80" t="b">
        <v>0</v>
      </c>
      <c r="AM80" s="80">
        <v>0</v>
      </c>
      <c r="AN80" s="85" t="s">
        <v>871</v>
      </c>
      <c r="AO80" s="85" t="s">
        <v>890</v>
      </c>
      <c r="AP80" s="80" t="b">
        <v>0</v>
      </c>
      <c r="AQ80" s="85" t="s">
        <v>767</v>
      </c>
      <c r="AR80" s="80" t="s">
        <v>178</v>
      </c>
      <c r="AS80" s="80">
        <v>0</v>
      </c>
      <c r="AT80" s="80">
        <v>0</v>
      </c>
      <c r="AU80" s="80"/>
      <c r="AV80" s="80"/>
      <c r="AW80" s="80"/>
      <c r="AX80" s="80"/>
      <c r="AY80" s="80"/>
      <c r="AZ80" s="80"/>
      <c r="BA80" s="80"/>
      <c r="BB80" s="80"/>
      <c r="BC80">
        <v>1</v>
      </c>
      <c r="BD80" s="79" t="str">
        <f>REPLACE(INDEX(GroupVertices[Group],MATCH(Edges35[[#This Row],[Vertex 1]],GroupVertices[Vertex],0)),1,1,"")</f>
        <v>4</v>
      </c>
      <c r="BE80" s="79" t="str">
        <f>REPLACE(INDEX(GroupVertices[Group],MATCH(Edges35[[#This Row],[Vertex 2]],GroupVertices[Vertex],0)),1,1,"")</f>
        <v>4</v>
      </c>
      <c r="BF80" s="49">
        <v>0</v>
      </c>
      <c r="BG80" s="50">
        <v>0</v>
      </c>
      <c r="BH80" s="49">
        <v>0</v>
      </c>
      <c r="BI80" s="50">
        <v>0</v>
      </c>
      <c r="BJ80" s="49">
        <v>0</v>
      </c>
      <c r="BK80" s="50">
        <v>0</v>
      </c>
      <c r="BL80" s="49">
        <v>24</v>
      </c>
      <c r="BM80" s="50">
        <v>100</v>
      </c>
      <c r="BN80" s="49">
        <v>24</v>
      </c>
    </row>
    <row r="81" spans="1:66" ht="15">
      <c r="A81" s="65" t="s">
        <v>275</v>
      </c>
      <c r="B81" s="65" t="s">
        <v>368</v>
      </c>
      <c r="C81" s="66" t="s">
        <v>2647</v>
      </c>
      <c r="D81" s="67">
        <v>5</v>
      </c>
      <c r="E81" s="68"/>
      <c r="F81" s="69">
        <v>40</v>
      </c>
      <c r="G81" s="66"/>
      <c r="H81" s="70"/>
      <c r="I81" s="71"/>
      <c r="J81" s="71"/>
      <c r="K81" s="35" t="s">
        <v>65</v>
      </c>
      <c r="L81" s="78">
        <v>133</v>
      </c>
      <c r="M81" s="78"/>
      <c r="N81" s="73"/>
      <c r="O81" s="80" t="s">
        <v>382</v>
      </c>
      <c r="P81" s="82">
        <v>44460.79450231481</v>
      </c>
      <c r="Q81" s="80" t="s">
        <v>423</v>
      </c>
      <c r="R81" s="83" t="str">
        <f>HYPERLINK("https://www.jornada.com.mx/notas/2021/09/21/estados/inm-envia-por-avion-a-120-haitianos-a-chiapas-desde-coahuila/")</f>
        <v>https://www.jornada.com.mx/notas/2021/09/21/estados/inm-envia-por-avion-a-120-haitianos-a-chiapas-desde-coahuila/</v>
      </c>
      <c r="S81" s="80" t="s">
        <v>451</v>
      </c>
      <c r="T81" s="85" t="s">
        <v>496</v>
      </c>
      <c r="U81" s="80"/>
      <c r="V81" s="83" t="str">
        <f>HYPERLINK("https://pbs.twimg.com/profile_images/1216750479524294656/lDgQ18NW_normal.jpg")</f>
        <v>https://pbs.twimg.com/profile_images/1216750479524294656/lDgQ18NW_normal.jpg</v>
      </c>
      <c r="W81" s="82">
        <v>44460.79450231481</v>
      </c>
      <c r="X81" s="88">
        <v>44460</v>
      </c>
      <c r="Y81" s="85" t="s">
        <v>595</v>
      </c>
      <c r="Z81" s="83" t="str">
        <f>HYPERLINK("https://twitter.com/belicejp/status/1440391400944590865")</f>
        <v>https://twitter.com/belicejp/status/1440391400944590865</v>
      </c>
      <c r="AA81" s="80"/>
      <c r="AB81" s="80"/>
      <c r="AC81" s="85" t="s">
        <v>768</v>
      </c>
      <c r="AD81" s="80"/>
      <c r="AE81" s="80" t="b">
        <v>0</v>
      </c>
      <c r="AF81" s="80">
        <v>0</v>
      </c>
      <c r="AG81" s="85" t="s">
        <v>871</v>
      </c>
      <c r="AH81" s="80" t="b">
        <v>0</v>
      </c>
      <c r="AI81" s="80" t="s">
        <v>882</v>
      </c>
      <c r="AJ81" s="80"/>
      <c r="AK81" s="85" t="s">
        <v>871</v>
      </c>
      <c r="AL81" s="80" t="b">
        <v>0</v>
      </c>
      <c r="AM81" s="80">
        <v>6</v>
      </c>
      <c r="AN81" s="85" t="s">
        <v>811</v>
      </c>
      <c r="AO81" s="85" t="s">
        <v>889</v>
      </c>
      <c r="AP81" s="80" t="b">
        <v>0</v>
      </c>
      <c r="AQ81" s="85" t="s">
        <v>811</v>
      </c>
      <c r="AR81" s="80" t="s">
        <v>178</v>
      </c>
      <c r="AS81" s="80">
        <v>0</v>
      </c>
      <c r="AT81" s="80">
        <v>0</v>
      </c>
      <c r="AU81" s="80"/>
      <c r="AV81" s="80"/>
      <c r="AW81" s="80"/>
      <c r="AX81" s="80"/>
      <c r="AY81" s="80"/>
      <c r="AZ81" s="80"/>
      <c r="BA81" s="80"/>
      <c r="BB81" s="80"/>
      <c r="BC81">
        <v>1</v>
      </c>
      <c r="BD81" s="79" t="str">
        <f>REPLACE(INDEX(GroupVertices[Group],MATCH(Edges35[[#This Row],[Vertex 1]],GroupVertices[Vertex],0)),1,1,"")</f>
        <v>2</v>
      </c>
      <c r="BE81" s="79" t="str">
        <f>REPLACE(INDEX(GroupVertices[Group],MATCH(Edges35[[#This Row],[Vertex 2]],GroupVertices[Vertex],0)),1,1,"")</f>
        <v>2</v>
      </c>
      <c r="BF81" s="49"/>
      <c r="BG81" s="50"/>
      <c r="BH81" s="49"/>
      <c r="BI81" s="50"/>
      <c r="BJ81" s="49"/>
      <c r="BK81" s="50"/>
      <c r="BL81" s="49"/>
      <c r="BM81" s="50"/>
      <c r="BN81" s="49"/>
    </row>
    <row r="82" spans="1:66" ht="15">
      <c r="A82" s="65" t="s">
        <v>276</v>
      </c>
      <c r="B82" s="65" t="s">
        <v>368</v>
      </c>
      <c r="C82" s="66" t="s">
        <v>2647</v>
      </c>
      <c r="D82" s="67">
        <v>5</v>
      </c>
      <c r="E82" s="68"/>
      <c r="F82" s="69">
        <v>40</v>
      </c>
      <c r="G82" s="66"/>
      <c r="H82" s="70"/>
      <c r="I82" s="71"/>
      <c r="J82" s="71"/>
      <c r="K82" s="35" t="s">
        <v>65</v>
      </c>
      <c r="L82" s="78">
        <v>135</v>
      </c>
      <c r="M82" s="78"/>
      <c r="N82" s="73"/>
      <c r="O82" s="80" t="s">
        <v>382</v>
      </c>
      <c r="P82" s="82">
        <v>44460.79474537037</v>
      </c>
      <c r="Q82" s="80" t="s">
        <v>423</v>
      </c>
      <c r="R82" s="83" t="str">
        <f>HYPERLINK("https://www.jornada.com.mx/notas/2021/09/21/estados/inm-envia-por-avion-a-120-haitianos-a-chiapas-desde-coahuila/")</f>
        <v>https://www.jornada.com.mx/notas/2021/09/21/estados/inm-envia-por-avion-a-120-haitianos-a-chiapas-desde-coahuila/</v>
      </c>
      <c r="S82" s="80" t="s">
        <v>451</v>
      </c>
      <c r="T82" s="85" t="s">
        <v>496</v>
      </c>
      <c r="U82" s="80"/>
      <c r="V82" s="83" t="str">
        <f>HYPERLINK("https://pbs.twimg.com/profile_images/1291206854274699265/3zG5dGq-_normal.jpg")</f>
        <v>https://pbs.twimg.com/profile_images/1291206854274699265/3zG5dGq-_normal.jpg</v>
      </c>
      <c r="W82" s="82">
        <v>44460.79474537037</v>
      </c>
      <c r="X82" s="88">
        <v>44460</v>
      </c>
      <c r="Y82" s="85" t="s">
        <v>596</v>
      </c>
      <c r="Z82" s="83" t="str">
        <f>HYPERLINK("https://twitter.com/antonio69111557/status/1440391487183679488")</f>
        <v>https://twitter.com/antonio69111557/status/1440391487183679488</v>
      </c>
      <c r="AA82" s="80"/>
      <c r="AB82" s="80"/>
      <c r="AC82" s="85" t="s">
        <v>769</v>
      </c>
      <c r="AD82" s="80"/>
      <c r="AE82" s="80" t="b">
        <v>0</v>
      </c>
      <c r="AF82" s="80">
        <v>0</v>
      </c>
      <c r="AG82" s="85" t="s">
        <v>871</v>
      </c>
      <c r="AH82" s="80" t="b">
        <v>0</v>
      </c>
      <c r="AI82" s="80" t="s">
        <v>882</v>
      </c>
      <c r="AJ82" s="80"/>
      <c r="AK82" s="85" t="s">
        <v>871</v>
      </c>
      <c r="AL82" s="80" t="b">
        <v>0</v>
      </c>
      <c r="AM82" s="80">
        <v>6</v>
      </c>
      <c r="AN82" s="85" t="s">
        <v>811</v>
      </c>
      <c r="AO82" s="85" t="s">
        <v>889</v>
      </c>
      <c r="AP82" s="80" t="b">
        <v>0</v>
      </c>
      <c r="AQ82" s="85" t="s">
        <v>811</v>
      </c>
      <c r="AR82" s="80" t="s">
        <v>178</v>
      </c>
      <c r="AS82" s="80">
        <v>0</v>
      </c>
      <c r="AT82" s="80">
        <v>0</v>
      </c>
      <c r="AU82" s="80"/>
      <c r="AV82" s="80"/>
      <c r="AW82" s="80"/>
      <c r="AX82" s="80"/>
      <c r="AY82" s="80"/>
      <c r="AZ82" s="80"/>
      <c r="BA82" s="80"/>
      <c r="BB82" s="80"/>
      <c r="BC82">
        <v>1</v>
      </c>
      <c r="BD82" s="79" t="str">
        <f>REPLACE(INDEX(GroupVertices[Group],MATCH(Edges35[[#This Row],[Vertex 1]],GroupVertices[Vertex],0)),1,1,"")</f>
        <v>2</v>
      </c>
      <c r="BE82" s="79" t="str">
        <f>REPLACE(INDEX(GroupVertices[Group],MATCH(Edges35[[#This Row],[Vertex 2]],GroupVertices[Vertex],0)),1,1,"")</f>
        <v>2</v>
      </c>
      <c r="BF82" s="49"/>
      <c r="BG82" s="50"/>
      <c r="BH82" s="49"/>
      <c r="BI82" s="50"/>
      <c r="BJ82" s="49"/>
      <c r="BK82" s="50"/>
      <c r="BL82" s="49"/>
      <c r="BM82" s="50"/>
      <c r="BN82" s="49"/>
    </row>
    <row r="83" spans="1:66" ht="15">
      <c r="A83" s="65" t="s">
        <v>277</v>
      </c>
      <c r="B83" s="65" t="s">
        <v>368</v>
      </c>
      <c r="C83" s="66" t="s">
        <v>2647</v>
      </c>
      <c r="D83" s="67">
        <v>5</v>
      </c>
      <c r="E83" s="68"/>
      <c r="F83" s="69">
        <v>40</v>
      </c>
      <c r="G83" s="66"/>
      <c r="H83" s="70"/>
      <c r="I83" s="71"/>
      <c r="J83" s="71"/>
      <c r="K83" s="35" t="s">
        <v>65</v>
      </c>
      <c r="L83" s="78">
        <v>137</v>
      </c>
      <c r="M83" s="78"/>
      <c r="N83" s="73"/>
      <c r="O83" s="80" t="s">
        <v>382</v>
      </c>
      <c r="P83" s="82">
        <v>44460.795324074075</v>
      </c>
      <c r="Q83" s="80" t="s">
        <v>423</v>
      </c>
      <c r="R83" s="83" t="str">
        <f>HYPERLINK("https://www.jornada.com.mx/notas/2021/09/21/estados/inm-envia-por-avion-a-120-haitianos-a-chiapas-desde-coahuila/")</f>
        <v>https://www.jornada.com.mx/notas/2021/09/21/estados/inm-envia-por-avion-a-120-haitianos-a-chiapas-desde-coahuila/</v>
      </c>
      <c r="S83" s="80" t="s">
        <v>451</v>
      </c>
      <c r="T83" s="85" t="s">
        <v>496</v>
      </c>
      <c r="U83" s="80"/>
      <c r="V83" s="83" t="str">
        <f>HYPERLINK("https://pbs.twimg.com/profile_images/1437905246462758913/8XTelcEC_normal.jpg")</f>
        <v>https://pbs.twimg.com/profile_images/1437905246462758913/8XTelcEC_normal.jpg</v>
      </c>
      <c r="W83" s="82">
        <v>44460.795324074075</v>
      </c>
      <c r="X83" s="88">
        <v>44460</v>
      </c>
      <c r="Y83" s="85" t="s">
        <v>597</v>
      </c>
      <c r="Z83" s="83" t="str">
        <f>HYPERLINK("https://twitter.com/joel_fm_/status/1440391699428102144")</f>
        <v>https://twitter.com/joel_fm_/status/1440391699428102144</v>
      </c>
      <c r="AA83" s="80"/>
      <c r="AB83" s="80"/>
      <c r="AC83" s="85" t="s">
        <v>770</v>
      </c>
      <c r="AD83" s="80"/>
      <c r="AE83" s="80" t="b">
        <v>0</v>
      </c>
      <c r="AF83" s="80">
        <v>0</v>
      </c>
      <c r="AG83" s="85" t="s">
        <v>871</v>
      </c>
      <c r="AH83" s="80" t="b">
        <v>0</v>
      </c>
      <c r="AI83" s="80" t="s">
        <v>882</v>
      </c>
      <c r="AJ83" s="80"/>
      <c r="AK83" s="85" t="s">
        <v>871</v>
      </c>
      <c r="AL83" s="80" t="b">
        <v>0</v>
      </c>
      <c r="AM83" s="80">
        <v>6</v>
      </c>
      <c r="AN83" s="85" t="s">
        <v>811</v>
      </c>
      <c r="AO83" s="85" t="s">
        <v>891</v>
      </c>
      <c r="AP83" s="80" t="b">
        <v>0</v>
      </c>
      <c r="AQ83" s="85" t="s">
        <v>811</v>
      </c>
      <c r="AR83" s="80" t="s">
        <v>178</v>
      </c>
      <c r="AS83" s="80">
        <v>0</v>
      </c>
      <c r="AT83" s="80">
        <v>0</v>
      </c>
      <c r="AU83" s="80"/>
      <c r="AV83" s="80"/>
      <c r="AW83" s="80"/>
      <c r="AX83" s="80"/>
      <c r="AY83" s="80"/>
      <c r="AZ83" s="80"/>
      <c r="BA83" s="80"/>
      <c r="BB83" s="80"/>
      <c r="BC83">
        <v>1</v>
      </c>
      <c r="BD83" s="79" t="str">
        <f>REPLACE(INDEX(GroupVertices[Group],MATCH(Edges35[[#This Row],[Vertex 1]],GroupVertices[Vertex],0)),1,1,"")</f>
        <v>2</v>
      </c>
      <c r="BE83" s="79" t="str">
        <f>REPLACE(INDEX(GroupVertices[Group],MATCH(Edges35[[#This Row],[Vertex 2]],GroupVertices[Vertex],0)),1,1,"")</f>
        <v>2</v>
      </c>
      <c r="BF83" s="49"/>
      <c r="BG83" s="50"/>
      <c r="BH83" s="49"/>
      <c r="BI83" s="50"/>
      <c r="BJ83" s="49"/>
      <c r="BK83" s="50"/>
      <c r="BL83" s="49"/>
      <c r="BM83" s="50"/>
      <c r="BN83" s="49"/>
    </row>
    <row r="84" spans="1:66" ht="15">
      <c r="A84" s="65" t="s">
        <v>278</v>
      </c>
      <c r="B84" s="65" t="s">
        <v>368</v>
      </c>
      <c r="C84" s="66" t="s">
        <v>2647</v>
      </c>
      <c r="D84" s="67">
        <v>5</v>
      </c>
      <c r="E84" s="68"/>
      <c r="F84" s="69">
        <v>40</v>
      </c>
      <c r="G84" s="66"/>
      <c r="H84" s="70"/>
      <c r="I84" s="71"/>
      <c r="J84" s="71"/>
      <c r="K84" s="35" t="s">
        <v>65</v>
      </c>
      <c r="L84" s="78">
        <v>139</v>
      </c>
      <c r="M84" s="78"/>
      <c r="N84" s="73"/>
      <c r="O84" s="80" t="s">
        <v>382</v>
      </c>
      <c r="P84" s="82">
        <v>44460.80021990741</v>
      </c>
      <c r="Q84" s="80" t="s">
        <v>423</v>
      </c>
      <c r="R84" s="83" t="str">
        <f>HYPERLINK("https://www.jornada.com.mx/notas/2021/09/21/estados/inm-envia-por-avion-a-120-haitianos-a-chiapas-desde-coahuila/")</f>
        <v>https://www.jornada.com.mx/notas/2021/09/21/estados/inm-envia-por-avion-a-120-haitianos-a-chiapas-desde-coahuila/</v>
      </c>
      <c r="S84" s="80" t="s">
        <v>451</v>
      </c>
      <c r="T84" s="85" t="s">
        <v>496</v>
      </c>
      <c r="U84" s="80"/>
      <c r="V84" s="83" t="str">
        <f>HYPERLINK("https://pbs.twimg.com/profile_images/829554306554671105/BK3Ns23e_normal.jpg")</f>
        <v>https://pbs.twimg.com/profile_images/829554306554671105/BK3Ns23e_normal.jpg</v>
      </c>
      <c r="W84" s="82">
        <v>44460.80021990741</v>
      </c>
      <c r="X84" s="88">
        <v>44460</v>
      </c>
      <c r="Y84" s="85" t="s">
        <v>598</v>
      </c>
      <c r="Z84" s="83" t="str">
        <f>HYPERLINK("https://twitter.com/artemioac/status/1440393471257288706")</f>
        <v>https://twitter.com/artemioac/status/1440393471257288706</v>
      </c>
      <c r="AA84" s="80"/>
      <c r="AB84" s="80"/>
      <c r="AC84" s="85" t="s">
        <v>771</v>
      </c>
      <c r="AD84" s="80"/>
      <c r="AE84" s="80" t="b">
        <v>0</v>
      </c>
      <c r="AF84" s="80">
        <v>0</v>
      </c>
      <c r="AG84" s="85" t="s">
        <v>871</v>
      </c>
      <c r="AH84" s="80" t="b">
        <v>0</v>
      </c>
      <c r="AI84" s="80" t="s">
        <v>882</v>
      </c>
      <c r="AJ84" s="80"/>
      <c r="AK84" s="85" t="s">
        <v>871</v>
      </c>
      <c r="AL84" s="80" t="b">
        <v>0</v>
      </c>
      <c r="AM84" s="80">
        <v>6</v>
      </c>
      <c r="AN84" s="85" t="s">
        <v>811</v>
      </c>
      <c r="AO84" s="85" t="s">
        <v>890</v>
      </c>
      <c r="AP84" s="80" t="b">
        <v>0</v>
      </c>
      <c r="AQ84" s="85" t="s">
        <v>811</v>
      </c>
      <c r="AR84" s="80" t="s">
        <v>178</v>
      </c>
      <c r="AS84" s="80">
        <v>0</v>
      </c>
      <c r="AT84" s="80">
        <v>0</v>
      </c>
      <c r="AU84" s="80"/>
      <c r="AV84" s="80"/>
      <c r="AW84" s="80"/>
      <c r="AX84" s="80"/>
      <c r="AY84" s="80"/>
      <c r="AZ84" s="80"/>
      <c r="BA84" s="80"/>
      <c r="BB84" s="80"/>
      <c r="BC84">
        <v>1</v>
      </c>
      <c r="BD84" s="79" t="str">
        <f>REPLACE(INDEX(GroupVertices[Group],MATCH(Edges35[[#This Row],[Vertex 1]],GroupVertices[Vertex],0)),1,1,"")</f>
        <v>2</v>
      </c>
      <c r="BE84" s="79" t="str">
        <f>REPLACE(INDEX(GroupVertices[Group],MATCH(Edges35[[#This Row],[Vertex 2]],GroupVertices[Vertex],0)),1,1,"")</f>
        <v>2</v>
      </c>
      <c r="BF84" s="49"/>
      <c r="BG84" s="50"/>
      <c r="BH84" s="49"/>
      <c r="BI84" s="50"/>
      <c r="BJ84" s="49"/>
      <c r="BK84" s="50"/>
      <c r="BL84" s="49"/>
      <c r="BM84" s="50"/>
      <c r="BN84" s="49"/>
    </row>
    <row r="85" spans="1:66" ht="15">
      <c r="A85" s="65" t="s">
        <v>279</v>
      </c>
      <c r="B85" s="65" t="s">
        <v>269</v>
      </c>
      <c r="C85" s="66" t="s">
        <v>2648</v>
      </c>
      <c r="D85" s="67">
        <v>10</v>
      </c>
      <c r="E85" s="68"/>
      <c r="F85" s="69">
        <v>20</v>
      </c>
      <c r="G85" s="66"/>
      <c r="H85" s="70"/>
      <c r="I85" s="71"/>
      <c r="J85" s="71"/>
      <c r="K85" s="35" t="s">
        <v>65</v>
      </c>
      <c r="L85" s="78">
        <v>141</v>
      </c>
      <c r="M85" s="78"/>
      <c r="N85" s="73"/>
      <c r="O85" s="80" t="s">
        <v>383</v>
      </c>
      <c r="P85" s="82">
        <v>44456.56652777778</v>
      </c>
      <c r="Q85" s="80" t="s">
        <v>389</v>
      </c>
      <c r="R85" s="83" t="str">
        <f>HYPERLINK("https://www.diariodelsur.com.mx/local/activa-guardia-nacional-busqueda-de-migrantes-en-taxis-7222717.html")</f>
        <v>https://www.diariodelsur.com.mx/local/activa-guardia-nacional-busqueda-de-migrantes-en-taxis-7222717.html</v>
      </c>
      <c r="S85" s="80" t="s">
        <v>451</v>
      </c>
      <c r="T85" s="85" t="s">
        <v>470</v>
      </c>
      <c r="U85" s="80"/>
      <c r="V85" s="83" t="str">
        <f>HYPERLINK("https://pbs.twimg.com/profile_images/3482387200/56210e7c0dec246575b9c9b373fcd599_normal.jpeg")</f>
        <v>https://pbs.twimg.com/profile_images/3482387200/56210e7c0dec246575b9c9b373fcd599_normal.jpeg</v>
      </c>
      <c r="W85" s="82">
        <v>44456.56652777778</v>
      </c>
      <c r="X85" s="88">
        <v>44456</v>
      </c>
      <c r="Y85" s="85" t="s">
        <v>599</v>
      </c>
      <c r="Z85" s="83" t="str">
        <f>HYPERLINK("https://twitter.com/amerigospot/status/1438859233165025280")</f>
        <v>https://twitter.com/amerigospot/status/1438859233165025280</v>
      </c>
      <c r="AA85" s="80"/>
      <c r="AB85" s="80"/>
      <c r="AC85" s="85" t="s">
        <v>772</v>
      </c>
      <c r="AD85" s="80"/>
      <c r="AE85" s="80" t="b">
        <v>0</v>
      </c>
      <c r="AF85" s="80">
        <v>0</v>
      </c>
      <c r="AG85" s="85" t="s">
        <v>871</v>
      </c>
      <c r="AH85" s="80" t="b">
        <v>0</v>
      </c>
      <c r="AI85" s="80" t="s">
        <v>883</v>
      </c>
      <c r="AJ85" s="80"/>
      <c r="AK85" s="85" t="s">
        <v>871</v>
      </c>
      <c r="AL85" s="80" t="b">
        <v>0</v>
      </c>
      <c r="AM85" s="80">
        <v>4</v>
      </c>
      <c r="AN85" s="85" t="s">
        <v>793</v>
      </c>
      <c r="AO85" s="85" t="s">
        <v>890</v>
      </c>
      <c r="AP85" s="80" t="b">
        <v>0</v>
      </c>
      <c r="AQ85" s="85" t="s">
        <v>793</v>
      </c>
      <c r="AR85" s="80" t="s">
        <v>178</v>
      </c>
      <c r="AS85" s="80">
        <v>0</v>
      </c>
      <c r="AT85" s="80">
        <v>0</v>
      </c>
      <c r="AU85" s="80"/>
      <c r="AV85" s="80"/>
      <c r="AW85" s="80"/>
      <c r="AX85" s="80"/>
      <c r="AY85" s="80"/>
      <c r="AZ85" s="80"/>
      <c r="BA85" s="80"/>
      <c r="BB85" s="80"/>
      <c r="BC85">
        <v>4</v>
      </c>
      <c r="BD85" s="79" t="str">
        <f>REPLACE(INDEX(GroupVertices[Group],MATCH(Edges35[[#This Row],[Vertex 1]],GroupVertices[Vertex],0)),1,1,"")</f>
        <v>3</v>
      </c>
      <c r="BE85" s="79" t="str">
        <f>REPLACE(INDEX(GroupVertices[Group],MATCH(Edges35[[#This Row],[Vertex 2]],GroupVertices[Vertex],0)),1,1,"")</f>
        <v>3</v>
      </c>
      <c r="BF85" s="49">
        <v>1</v>
      </c>
      <c r="BG85" s="50">
        <v>2.5</v>
      </c>
      <c r="BH85" s="49">
        <v>0</v>
      </c>
      <c r="BI85" s="50">
        <v>0</v>
      </c>
      <c r="BJ85" s="49">
        <v>0</v>
      </c>
      <c r="BK85" s="50">
        <v>0</v>
      </c>
      <c r="BL85" s="49">
        <v>39</v>
      </c>
      <c r="BM85" s="50">
        <v>97.5</v>
      </c>
      <c r="BN85" s="49">
        <v>40</v>
      </c>
    </row>
    <row r="86" spans="1:66" ht="15">
      <c r="A86" s="65" t="s">
        <v>279</v>
      </c>
      <c r="B86" s="65" t="s">
        <v>269</v>
      </c>
      <c r="C86" s="66" t="s">
        <v>2648</v>
      </c>
      <c r="D86" s="67">
        <v>10</v>
      </c>
      <c r="E86" s="68"/>
      <c r="F86" s="69">
        <v>20</v>
      </c>
      <c r="G86" s="66"/>
      <c r="H86" s="70"/>
      <c r="I86" s="71"/>
      <c r="J86" s="71"/>
      <c r="K86" s="35" t="s">
        <v>65</v>
      </c>
      <c r="L86" s="78">
        <v>142</v>
      </c>
      <c r="M86" s="78"/>
      <c r="N86" s="73"/>
      <c r="O86" s="80" t="s">
        <v>383</v>
      </c>
      <c r="P86" s="82">
        <v>44460.80118055556</v>
      </c>
      <c r="Q86" s="80" t="s">
        <v>420</v>
      </c>
      <c r="R86" s="83" t="str">
        <f>HYPERLINK("https://www.diariodelsur.com.mx/local/migrantes-intentan-salir-de-chiapas-con-rumbo-a-veracruz-7237222.html")</f>
        <v>https://www.diariodelsur.com.mx/local/migrantes-intentan-salir-de-chiapas-con-rumbo-a-veracruz-7237222.html</v>
      </c>
      <c r="S86" s="80" t="s">
        <v>451</v>
      </c>
      <c r="T86" s="85" t="s">
        <v>493</v>
      </c>
      <c r="U86" s="80"/>
      <c r="V86" s="83" t="str">
        <f>HYPERLINK("https://pbs.twimg.com/profile_images/3482387200/56210e7c0dec246575b9c9b373fcd599_normal.jpeg")</f>
        <v>https://pbs.twimg.com/profile_images/3482387200/56210e7c0dec246575b9c9b373fcd599_normal.jpeg</v>
      </c>
      <c r="W86" s="82">
        <v>44460.80118055556</v>
      </c>
      <c r="X86" s="88">
        <v>44460</v>
      </c>
      <c r="Y86" s="85" t="s">
        <v>600</v>
      </c>
      <c r="Z86" s="83" t="str">
        <f>HYPERLINK("https://twitter.com/amerigospot/status/1440393819866894348")</f>
        <v>https://twitter.com/amerigospot/status/1440393819866894348</v>
      </c>
      <c r="AA86" s="80"/>
      <c r="AB86" s="80"/>
      <c r="AC86" s="85" t="s">
        <v>773</v>
      </c>
      <c r="AD86" s="80"/>
      <c r="AE86" s="80" t="b">
        <v>0</v>
      </c>
      <c r="AF86" s="80">
        <v>0</v>
      </c>
      <c r="AG86" s="85" t="s">
        <v>871</v>
      </c>
      <c r="AH86" s="80" t="b">
        <v>0</v>
      </c>
      <c r="AI86" s="80" t="s">
        <v>883</v>
      </c>
      <c r="AJ86" s="80"/>
      <c r="AK86" s="85" t="s">
        <v>871</v>
      </c>
      <c r="AL86" s="80" t="b">
        <v>0</v>
      </c>
      <c r="AM86" s="80">
        <v>3</v>
      </c>
      <c r="AN86" s="85" t="s">
        <v>795</v>
      </c>
      <c r="AO86" s="85" t="s">
        <v>890</v>
      </c>
      <c r="AP86" s="80" t="b">
        <v>0</v>
      </c>
      <c r="AQ86" s="85" t="s">
        <v>795</v>
      </c>
      <c r="AR86" s="80" t="s">
        <v>178</v>
      </c>
      <c r="AS86" s="80">
        <v>0</v>
      </c>
      <c r="AT86" s="80">
        <v>0</v>
      </c>
      <c r="AU86" s="80"/>
      <c r="AV86" s="80"/>
      <c r="AW86" s="80"/>
      <c r="AX86" s="80"/>
      <c r="AY86" s="80"/>
      <c r="AZ86" s="80"/>
      <c r="BA86" s="80"/>
      <c r="BB86" s="80"/>
      <c r="BC86">
        <v>4</v>
      </c>
      <c r="BD86" s="79" t="str">
        <f>REPLACE(INDEX(GroupVertices[Group],MATCH(Edges35[[#This Row],[Vertex 1]],GroupVertices[Vertex],0)),1,1,"")</f>
        <v>3</v>
      </c>
      <c r="BE86" s="79" t="str">
        <f>REPLACE(INDEX(GroupVertices[Group],MATCH(Edges35[[#This Row],[Vertex 2]],GroupVertices[Vertex],0)),1,1,"")</f>
        <v>3</v>
      </c>
      <c r="BF86" s="49">
        <v>0</v>
      </c>
      <c r="BG86" s="50">
        <v>0</v>
      </c>
      <c r="BH86" s="49">
        <v>0</v>
      </c>
      <c r="BI86" s="50">
        <v>0</v>
      </c>
      <c r="BJ86" s="49">
        <v>0</v>
      </c>
      <c r="BK86" s="50">
        <v>0</v>
      </c>
      <c r="BL86" s="49">
        <v>35</v>
      </c>
      <c r="BM86" s="50">
        <v>100</v>
      </c>
      <c r="BN86" s="49">
        <v>35</v>
      </c>
    </row>
    <row r="87" spans="1:66" ht="15">
      <c r="A87" s="65" t="s">
        <v>280</v>
      </c>
      <c r="B87" s="65" t="s">
        <v>371</v>
      </c>
      <c r="C87" s="66" t="s">
        <v>2647</v>
      </c>
      <c r="D87" s="67">
        <v>5</v>
      </c>
      <c r="E87" s="68"/>
      <c r="F87" s="69">
        <v>40</v>
      </c>
      <c r="G87" s="66"/>
      <c r="H87" s="70"/>
      <c r="I87" s="71"/>
      <c r="J87" s="71"/>
      <c r="K87" s="35" t="s">
        <v>65</v>
      </c>
      <c r="L87" s="78">
        <v>143</v>
      </c>
      <c r="M87" s="78"/>
      <c r="N87" s="73"/>
      <c r="O87" s="80" t="s">
        <v>384</v>
      </c>
      <c r="P87" s="82">
        <v>44460.817407407405</v>
      </c>
      <c r="Q87" s="80" t="s">
        <v>424</v>
      </c>
      <c r="R87" s="80"/>
      <c r="S87" s="80"/>
      <c r="T87" s="85" t="s">
        <v>497</v>
      </c>
      <c r="U87" s="80"/>
      <c r="V87" s="83" t="str">
        <f>HYPERLINK("https://abs.twimg.com/sticky/default_profile_images/default_profile_normal.png")</f>
        <v>https://abs.twimg.com/sticky/default_profile_images/default_profile_normal.png</v>
      </c>
      <c r="W87" s="82">
        <v>44460.817407407405</v>
      </c>
      <c r="X87" s="88">
        <v>44460</v>
      </c>
      <c r="Y87" s="85" t="s">
        <v>601</v>
      </c>
      <c r="Z87" s="83" t="str">
        <f>HYPERLINK("https://twitter.com/jay00291440/status/1440399700444672001")</f>
        <v>https://twitter.com/jay00291440/status/1440399700444672001</v>
      </c>
      <c r="AA87" s="80"/>
      <c r="AB87" s="80"/>
      <c r="AC87" s="85" t="s">
        <v>774</v>
      </c>
      <c r="AD87" s="80"/>
      <c r="AE87" s="80" t="b">
        <v>0</v>
      </c>
      <c r="AF87" s="80">
        <v>0</v>
      </c>
      <c r="AG87" s="85" t="s">
        <v>876</v>
      </c>
      <c r="AH87" s="80" t="b">
        <v>0</v>
      </c>
      <c r="AI87" s="80" t="s">
        <v>881</v>
      </c>
      <c r="AJ87" s="80"/>
      <c r="AK87" s="85" t="s">
        <v>871</v>
      </c>
      <c r="AL87" s="80" t="b">
        <v>0</v>
      </c>
      <c r="AM87" s="80">
        <v>0</v>
      </c>
      <c r="AN87" s="85" t="s">
        <v>871</v>
      </c>
      <c r="AO87" s="85" t="s">
        <v>889</v>
      </c>
      <c r="AP87" s="80" t="b">
        <v>0</v>
      </c>
      <c r="AQ87" s="85" t="s">
        <v>774</v>
      </c>
      <c r="AR87" s="80" t="s">
        <v>178</v>
      </c>
      <c r="AS87" s="80">
        <v>0</v>
      </c>
      <c r="AT87" s="80">
        <v>0</v>
      </c>
      <c r="AU87" s="80"/>
      <c r="AV87" s="80"/>
      <c r="AW87" s="80"/>
      <c r="AX87" s="80"/>
      <c r="AY87" s="80"/>
      <c r="AZ87" s="80"/>
      <c r="BA87" s="80"/>
      <c r="BB87" s="80"/>
      <c r="BC87">
        <v>1</v>
      </c>
      <c r="BD87" s="79" t="str">
        <f>REPLACE(INDEX(GroupVertices[Group],MATCH(Edges35[[#This Row],[Vertex 1]],GroupVertices[Vertex],0)),1,1,"")</f>
        <v>9</v>
      </c>
      <c r="BE87" s="79" t="str">
        <f>REPLACE(INDEX(GroupVertices[Group],MATCH(Edges35[[#This Row],[Vertex 2]],GroupVertices[Vertex],0)),1,1,"")</f>
        <v>9</v>
      </c>
      <c r="BF87" s="49"/>
      <c r="BG87" s="50"/>
      <c r="BH87" s="49"/>
      <c r="BI87" s="50"/>
      <c r="BJ87" s="49"/>
      <c r="BK87" s="50"/>
      <c r="BL87" s="49"/>
      <c r="BM87" s="50"/>
      <c r="BN87" s="49"/>
    </row>
    <row r="88" spans="1:66" ht="15">
      <c r="A88" s="65" t="s">
        <v>281</v>
      </c>
      <c r="B88" s="65" t="s">
        <v>332</v>
      </c>
      <c r="C88" s="66" t="s">
        <v>2647</v>
      </c>
      <c r="D88" s="67">
        <v>5</v>
      </c>
      <c r="E88" s="68"/>
      <c r="F88" s="69">
        <v>40</v>
      </c>
      <c r="G88" s="66"/>
      <c r="H88" s="70"/>
      <c r="I88" s="71"/>
      <c r="J88" s="71"/>
      <c r="K88" s="35" t="s">
        <v>65</v>
      </c>
      <c r="L88" s="78">
        <v>148</v>
      </c>
      <c r="M88" s="78"/>
      <c r="N88" s="73"/>
      <c r="O88" s="80" t="s">
        <v>383</v>
      </c>
      <c r="P88" s="82">
        <v>44460.82400462963</v>
      </c>
      <c r="Q88" s="80" t="s">
        <v>425</v>
      </c>
      <c r="R88" s="80"/>
      <c r="S88" s="80"/>
      <c r="T88" s="85" t="s">
        <v>498</v>
      </c>
      <c r="U88" s="83" t="str">
        <f>HYPERLINK("https://pbs.twimg.com/media/E_1U1pPVEAImP5O.jpg")</f>
        <v>https://pbs.twimg.com/media/E_1U1pPVEAImP5O.jpg</v>
      </c>
      <c r="V88" s="83" t="str">
        <f>HYPERLINK("https://pbs.twimg.com/media/E_1U1pPVEAImP5O.jpg")</f>
        <v>https://pbs.twimg.com/media/E_1U1pPVEAImP5O.jpg</v>
      </c>
      <c r="W88" s="82">
        <v>44460.82400462963</v>
      </c>
      <c r="X88" s="88">
        <v>44460</v>
      </c>
      <c r="Y88" s="85" t="s">
        <v>602</v>
      </c>
      <c r="Z88" s="83" t="str">
        <f>HYPERLINK("https://twitter.com/irvin_212/status/1440402092129017859")</f>
        <v>https://twitter.com/irvin_212/status/1440402092129017859</v>
      </c>
      <c r="AA88" s="80"/>
      <c r="AB88" s="80"/>
      <c r="AC88" s="85" t="s">
        <v>775</v>
      </c>
      <c r="AD88" s="80"/>
      <c r="AE88" s="80" t="b">
        <v>0</v>
      </c>
      <c r="AF88" s="80">
        <v>0</v>
      </c>
      <c r="AG88" s="85" t="s">
        <v>871</v>
      </c>
      <c r="AH88" s="80" t="b">
        <v>0</v>
      </c>
      <c r="AI88" s="80" t="s">
        <v>882</v>
      </c>
      <c r="AJ88" s="80"/>
      <c r="AK88" s="85" t="s">
        <v>871</v>
      </c>
      <c r="AL88" s="80" t="b">
        <v>0</v>
      </c>
      <c r="AM88" s="80">
        <v>36</v>
      </c>
      <c r="AN88" s="85" t="s">
        <v>830</v>
      </c>
      <c r="AO88" s="85" t="s">
        <v>890</v>
      </c>
      <c r="AP88" s="80" t="b">
        <v>0</v>
      </c>
      <c r="AQ88" s="85" t="s">
        <v>830</v>
      </c>
      <c r="AR88" s="80" t="s">
        <v>178</v>
      </c>
      <c r="AS88" s="80">
        <v>0</v>
      </c>
      <c r="AT88" s="80">
        <v>0</v>
      </c>
      <c r="AU88" s="80"/>
      <c r="AV88" s="80"/>
      <c r="AW88" s="80"/>
      <c r="AX88" s="80"/>
      <c r="AY88" s="80"/>
      <c r="AZ88" s="80"/>
      <c r="BA88" s="80"/>
      <c r="BB88" s="80"/>
      <c r="BC88">
        <v>1</v>
      </c>
      <c r="BD88" s="79" t="str">
        <f>REPLACE(INDEX(GroupVertices[Group],MATCH(Edges35[[#This Row],[Vertex 1]],GroupVertices[Vertex],0)),1,1,"")</f>
        <v>1</v>
      </c>
      <c r="BE88" s="79" t="str">
        <f>REPLACE(INDEX(GroupVertices[Group],MATCH(Edges35[[#This Row],[Vertex 2]],GroupVertices[Vertex],0)),1,1,"")</f>
        <v>1</v>
      </c>
      <c r="BF88" s="49">
        <v>0</v>
      </c>
      <c r="BG88" s="50">
        <v>0</v>
      </c>
      <c r="BH88" s="49">
        <v>0</v>
      </c>
      <c r="BI88" s="50">
        <v>0</v>
      </c>
      <c r="BJ88" s="49">
        <v>0</v>
      </c>
      <c r="BK88" s="50">
        <v>0</v>
      </c>
      <c r="BL88" s="49">
        <v>38</v>
      </c>
      <c r="BM88" s="50">
        <v>100</v>
      </c>
      <c r="BN88" s="49">
        <v>38</v>
      </c>
    </row>
    <row r="89" spans="1:66" ht="15">
      <c r="A89" s="65" t="s">
        <v>282</v>
      </c>
      <c r="B89" s="65" t="s">
        <v>376</v>
      </c>
      <c r="C89" s="66" t="s">
        <v>2647</v>
      </c>
      <c r="D89" s="67">
        <v>5</v>
      </c>
      <c r="E89" s="68"/>
      <c r="F89" s="69">
        <v>40</v>
      </c>
      <c r="G89" s="66"/>
      <c r="H89" s="70"/>
      <c r="I89" s="71"/>
      <c r="J89" s="71"/>
      <c r="K89" s="35" t="s">
        <v>65</v>
      </c>
      <c r="L89" s="78">
        <v>149</v>
      </c>
      <c r="M89" s="78"/>
      <c r="N89" s="73"/>
      <c r="O89" s="80" t="s">
        <v>382</v>
      </c>
      <c r="P89" s="82">
        <v>44460.82434027778</v>
      </c>
      <c r="Q89" s="80" t="s">
        <v>426</v>
      </c>
      <c r="R89" s="80"/>
      <c r="S89" s="80"/>
      <c r="T89" s="85" t="s">
        <v>499</v>
      </c>
      <c r="U89" s="83" t="str">
        <f>HYPERLINK("https://pbs.twimg.com/media/E_1Ow97UUAYV0Is.jpg")</f>
        <v>https://pbs.twimg.com/media/E_1Ow97UUAYV0Is.jpg</v>
      </c>
      <c r="V89" s="83" t="str">
        <f>HYPERLINK("https://pbs.twimg.com/media/E_1Ow97UUAYV0Is.jpg")</f>
        <v>https://pbs.twimg.com/media/E_1Ow97UUAYV0Is.jpg</v>
      </c>
      <c r="W89" s="82">
        <v>44460.82434027778</v>
      </c>
      <c r="X89" s="88">
        <v>44460</v>
      </c>
      <c r="Y89" s="85" t="s">
        <v>603</v>
      </c>
      <c r="Z89" s="83" t="str">
        <f>HYPERLINK("https://twitter.com/prensagiff/status/1440402214074281996")</f>
        <v>https://twitter.com/prensagiff/status/1440402214074281996</v>
      </c>
      <c r="AA89" s="80"/>
      <c r="AB89" s="80"/>
      <c r="AC89" s="85" t="s">
        <v>776</v>
      </c>
      <c r="AD89" s="80"/>
      <c r="AE89" s="80" t="b">
        <v>0</v>
      </c>
      <c r="AF89" s="80">
        <v>0</v>
      </c>
      <c r="AG89" s="85" t="s">
        <v>871</v>
      </c>
      <c r="AH89" s="80" t="b">
        <v>0</v>
      </c>
      <c r="AI89" s="80" t="s">
        <v>882</v>
      </c>
      <c r="AJ89" s="80"/>
      <c r="AK89" s="85" t="s">
        <v>871</v>
      </c>
      <c r="AL89" s="80" t="b">
        <v>0</v>
      </c>
      <c r="AM89" s="80">
        <v>3</v>
      </c>
      <c r="AN89" s="85" t="s">
        <v>857</v>
      </c>
      <c r="AO89" s="85" t="s">
        <v>889</v>
      </c>
      <c r="AP89" s="80" t="b">
        <v>0</v>
      </c>
      <c r="AQ89" s="85" t="s">
        <v>857</v>
      </c>
      <c r="AR89" s="80" t="s">
        <v>178</v>
      </c>
      <c r="AS89" s="80">
        <v>0</v>
      </c>
      <c r="AT89" s="80">
        <v>0</v>
      </c>
      <c r="AU89" s="80"/>
      <c r="AV89" s="80"/>
      <c r="AW89" s="80"/>
      <c r="AX89" s="80"/>
      <c r="AY89" s="80"/>
      <c r="AZ89" s="80"/>
      <c r="BA89" s="80"/>
      <c r="BB89" s="80"/>
      <c r="BC89">
        <v>1</v>
      </c>
      <c r="BD89" s="79" t="str">
        <f>REPLACE(INDEX(GroupVertices[Group],MATCH(Edges35[[#This Row],[Vertex 1]],GroupVertices[Vertex],0)),1,1,"")</f>
        <v>7</v>
      </c>
      <c r="BE89" s="79" t="str">
        <f>REPLACE(INDEX(GroupVertices[Group],MATCH(Edges35[[#This Row],[Vertex 2]],GroupVertices[Vertex],0)),1,1,"")</f>
        <v>7</v>
      </c>
      <c r="BF89" s="49"/>
      <c r="BG89" s="50"/>
      <c r="BH89" s="49"/>
      <c r="BI89" s="50"/>
      <c r="BJ89" s="49"/>
      <c r="BK89" s="50"/>
      <c r="BL89" s="49"/>
      <c r="BM89" s="50"/>
      <c r="BN89" s="49"/>
    </row>
    <row r="90" spans="1:66" ht="15">
      <c r="A90" s="65" t="s">
        <v>283</v>
      </c>
      <c r="B90" s="65" t="s">
        <v>332</v>
      </c>
      <c r="C90" s="66" t="s">
        <v>2647</v>
      </c>
      <c r="D90" s="67">
        <v>5</v>
      </c>
      <c r="E90" s="68"/>
      <c r="F90" s="69">
        <v>40</v>
      </c>
      <c r="G90" s="66"/>
      <c r="H90" s="70"/>
      <c r="I90" s="71"/>
      <c r="J90" s="71"/>
      <c r="K90" s="35" t="s">
        <v>65</v>
      </c>
      <c r="L90" s="78">
        <v>151</v>
      </c>
      <c r="M90" s="78"/>
      <c r="N90" s="73"/>
      <c r="O90" s="80" t="s">
        <v>383</v>
      </c>
      <c r="P90" s="82">
        <v>44460.82714120371</v>
      </c>
      <c r="Q90" s="80" t="s">
        <v>425</v>
      </c>
      <c r="R90" s="80"/>
      <c r="S90" s="80"/>
      <c r="T90" s="85" t="s">
        <v>498</v>
      </c>
      <c r="U90" s="83" t="str">
        <f>HYPERLINK("https://pbs.twimg.com/media/E_1U1pPVEAImP5O.jpg")</f>
        <v>https://pbs.twimg.com/media/E_1U1pPVEAImP5O.jpg</v>
      </c>
      <c r="V90" s="83" t="str">
        <f>HYPERLINK("https://pbs.twimg.com/media/E_1U1pPVEAImP5O.jpg")</f>
        <v>https://pbs.twimg.com/media/E_1U1pPVEAImP5O.jpg</v>
      </c>
      <c r="W90" s="82">
        <v>44460.82714120371</v>
      </c>
      <c r="X90" s="88">
        <v>44460</v>
      </c>
      <c r="Y90" s="85" t="s">
        <v>604</v>
      </c>
      <c r="Z90" s="83" t="str">
        <f>HYPERLINK("https://twitter.com/est_bian/status/1440403226726043664")</f>
        <v>https://twitter.com/est_bian/status/1440403226726043664</v>
      </c>
      <c r="AA90" s="80"/>
      <c r="AB90" s="80"/>
      <c r="AC90" s="85" t="s">
        <v>777</v>
      </c>
      <c r="AD90" s="80"/>
      <c r="AE90" s="80" t="b">
        <v>0</v>
      </c>
      <c r="AF90" s="80">
        <v>0</v>
      </c>
      <c r="AG90" s="85" t="s">
        <v>871</v>
      </c>
      <c r="AH90" s="80" t="b">
        <v>0</v>
      </c>
      <c r="AI90" s="80" t="s">
        <v>882</v>
      </c>
      <c r="AJ90" s="80"/>
      <c r="AK90" s="85" t="s">
        <v>871</v>
      </c>
      <c r="AL90" s="80" t="b">
        <v>0</v>
      </c>
      <c r="AM90" s="80">
        <v>36</v>
      </c>
      <c r="AN90" s="85" t="s">
        <v>830</v>
      </c>
      <c r="AO90" s="85" t="s">
        <v>890</v>
      </c>
      <c r="AP90" s="80" t="b">
        <v>0</v>
      </c>
      <c r="AQ90" s="85" t="s">
        <v>830</v>
      </c>
      <c r="AR90" s="80" t="s">
        <v>178</v>
      </c>
      <c r="AS90" s="80">
        <v>0</v>
      </c>
      <c r="AT90" s="80">
        <v>0</v>
      </c>
      <c r="AU90" s="80"/>
      <c r="AV90" s="80"/>
      <c r="AW90" s="80"/>
      <c r="AX90" s="80"/>
      <c r="AY90" s="80"/>
      <c r="AZ90" s="80"/>
      <c r="BA90" s="80"/>
      <c r="BB90" s="80"/>
      <c r="BC90">
        <v>1</v>
      </c>
      <c r="BD90" s="79" t="str">
        <f>REPLACE(INDEX(GroupVertices[Group],MATCH(Edges35[[#This Row],[Vertex 1]],GroupVertices[Vertex],0)),1,1,"")</f>
        <v>1</v>
      </c>
      <c r="BE90" s="79" t="str">
        <f>REPLACE(INDEX(GroupVertices[Group],MATCH(Edges35[[#This Row],[Vertex 2]],GroupVertices[Vertex],0)),1,1,"")</f>
        <v>1</v>
      </c>
      <c r="BF90" s="49">
        <v>0</v>
      </c>
      <c r="BG90" s="50">
        <v>0</v>
      </c>
      <c r="BH90" s="49">
        <v>0</v>
      </c>
      <c r="BI90" s="50">
        <v>0</v>
      </c>
      <c r="BJ90" s="49">
        <v>0</v>
      </c>
      <c r="BK90" s="50">
        <v>0</v>
      </c>
      <c r="BL90" s="49">
        <v>38</v>
      </c>
      <c r="BM90" s="50">
        <v>100</v>
      </c>
      <c r="BN90" s="49">
        <v>38</v>
      </c>
    </row>
    <row r="91" spans="1:66" ht="15">
      <c r="A91" s="65" t="s">
        <v>284</v>
      </c>
      <c r="B91" s="65" t="s">
        <v>332</v>
      </c>
      <c r="C91" s="66" t="s">
        <v>2647</v>
      </c>
      <c r="D91" s="67">
        <v>5</v>
      </c>
      <c r="E91" s="68"/>
      <c r="F91" s="69">
        <v>40</v>
      </c>
      <c r="G91" s="66"/>
      <c r="H91" s="70"/>
      <c r="I91" s="71"/>
      <c r="J91" s="71"/>
      <c r="K91" s="35" t="s">
        <v>65</v>
      </c>
      <c r="L91" s="78">
        <v>152</v>
      </c>
      <c r="M91" s="78"/>
      <c r="N91" s="73"/>
      <c r="O91" s="80" t="s">
        <v>383</v>
      </c>
      <c r="P91" s="82">
        <v>44460.83299768518</v>
      </c>
      <c r="Q91" s="80" t="s">
        <v>425</v>
      </c>
      <c r="R91" s="80"/>
      <c r="S91" s="80"/>
      <c r="T91" s="85" t="s">
        <v>498</v>
      </c>
      <c r="U91" s="83" t="str">
        <f>HYPERLINK("https://pbs.twimg.com/media/E_1U1pPVEAImP5O.jpg")</f>
        <v>https://pbs.twimg.com/media/E_1U1pPVEAImP5O.jpg</v>
      </c>
      <c r="V91" s="83" t="str">
        <f>HYPERLINK("https://pbs.twimg.com/media/E_1U1pPVEAImP5O.jpg")</f>
        <v>https://pbs.twimg.com/media/E_1U1pPVEAImP5O.jpg</v>
      </c>
      <c r="W91" s="82">
        <v>44460.83299768518</v>
      </c>
      <c r="X91" s="88">
        <v>44460</v>
      </c>
      <c r="Y91" s="85" t="s">
        <v>605</v>
      </c>
      <c r="Z91" s="83" t="str">
        <f>HYPERLINK("https://twitter.com/rebekgonzalez/status/1440405347940716552")</f>
        <v>https://twitter.com/rebekgonzalez/status/1440405347940716552</v>
      </c>
      <c r="AA91" s="80"/>
      <c r="AB91" s="80"/>
      <c r="AC91" s="85" t="s">
        <v>778</v>
      </c>
      <c r="AD91" s="80"/>
      <c r="AE91" s="80" t="b">
        <v>0</v>
      </c>
      <c r="AF91" s="80">
        <v>0</v>
      </c>
      <c r="AG91" s="85" t="s">
        <v>871</v>
      </c>
      <c r="AH91" s="80" t="b">
        <v>0</v>
      </c>
      <c r="AI91" s="80" t="s">
        <v>882</v>
      </c>
      <c r="AJ91" s="80"/>
      <c r="AK91" s="85" t="s">
        <v>871</v>
      </c>
      <c r="AL91" s="80" t="b">
        <v>0</v>
      </c>
      <c r="AM91" s="80">
        <v>36</v>
      </c>
      <c r="AN91" s="85" t="s">
        <v>830</v>
      </c>
      <c r="AO91" s="85" t="s">
        <v>890</v>
      </c>
      <c r="AP91" s="80" t="b">
        <v>0</v>
      </c>
      <c r="AQ91" s="85" t="s">
        <v>830</v>
      </c>
      <c r="AR91" s="80" t="s">
        <v>178</v>
      </c>
      <c r="AS91" s="80">
        <v>0</v>
      </c>
      <c r="AT91" s="80">
        <v>0</v>
      </c>
      <c r="AU91" s="80"/>
      <c r="AV91" s="80"/>
      <c r="AW91" s="80"/>
      <c r="AX91" s="80"/>
      <c r="AY91" s="80"/>
      <c r="AZ91" s="80"/>
      <c r="BA91" s="80"/>
      <c r="BB91" s="80"/>
      <c r="BC91">
        <v>1</v>
      </c>
      <c r="BD91" s="79" t="str">
        <f>REPLACE(INDEX(GroupVertices[Group],MATCH(Edges35[[#This Row],[Vertex 1]],GroupVertices[Vertex],0)),1,1,"")</f>
        <v>1</v>
      </c>
      <c r="BE91" s="79" t="str">
        <f>REPLACE(INDEX(GroupVertices[Group],MATCH(Edges35[[#This Row],[Vertex 2]],GroupVertices[Vertex],0)),1,1,"")</f>
        <v>1</v>
      </c>
      <c r="BF91" s="49">
        <v>0</v>
      </c>
      <c r="BG91" s="50">
        <v>0</v>
      </c>
      <c r="BH91" s="49">
        <v>0</v>
      </c>
      <c r="BI91" s="50">
        <v>0</v>
      </c>
      <c r="BJ91" s="49">
        <v>0</v>
      </c>
      <c r="BK91" s="50">
        <v>0</v>
      </c>
      <c r="BL91" s="49">
        <v>38</v>
      </c>
      <c r="BM91" s="50">
        <v>100</v>
      </c>
      <c r="BN91" s="49">
        <v>38</v>
      </c>
    </row>
    <row r="92" spans="1:66" ht="15">
      <c r="A92" s="65" t="s">
        <v>285</v>
      </c>
      <c r="B92" s="65" t="s">
        <v>332</v>
      </c>
      <c r="C92" s="66" t="s">
        <v>2647</v>
      </c>
      <c r="D92" s="67">
        <v>5</v>
      </c>
      <c r="E92" s="68"/>
      <c r="F92" s="69">
        <v>40</v>
      </c>
      <c r="G92" s="66"/>
      <c r="H92" s="70"/>
      <c r="I92" s="71"/>
      <c r="J92" s="71"/>
      <c r="K92" s="35" t="s">
        <v>65</v>
      </c>
      <c r="L92" s="78">
        <v>153</v>
      </c>
      <c r="M92" s="78"/>
      <c r="N92" s="73"/>
      <c r="O92" s="80" t="s">
        <v>383</v>
      </c>
      <c r="P92" s="82">
        <v>44460.833333333336</v>
      </c>
      <c r="Q92" s="80" t="s">
        <v>425</v>
      </c>
      <c r="R92" s="80"/>
      <c r="S92" s="80"/>
      <c r="T92" s="85" t="s">
        <v>498</v>
      </c>
      <c r="U92" s="83" t="str">
        <f>HYPERLINK("https://pbs.twimg.com/media/E_1U1pPVEAImP5O.jpg")</f>
        <v>https://pbs.twimg.com/media/E_1U1pPVEAImP5O.jpg</v>
      </c>
      <c r="V92" s="83" t="str">
        <f>HYPERLINK("https://pbs.twimg.com/media/E_1U1pPVEAImP5O.jpg")</f>
        <v>https://pbs.twimg.com/media/E_1U1pPVEAImP5O.jpg</v>
      </c>
      <c r="W92" s="82">
        <v>44460.833333333336</v>
      </c>
      <c r="X92" s="88">
        <v>44460</v>
      </c>
      <c r="Y92" s="85" t="s">
        <v>606</v>
      </c>
      <c r="Z92" s="83" t="str">
        <f>HYPERLINK("https://twitter.com/jorge_navarro/status/1440405472675127297")</f>
        <v>https://twitter.com/jorge_navarro/status/1440405472675127297</v>
      </c>
      <c r="AA92" s="80"/>
      <c r="AB92" s="80"/>
      <c r="AC92" s="85" t="s">
        <v>779</v>
      </c>
      <c r="AD92" s="80"/>
      <c r="AE92" s="80" t="b">
        <v>0</v>
      </c>
      <c r="AF92" s="80">
        <v>0</v>
      </c>
      <c r="AG92" s="85" t="s">
        <v>871</v>
      </c>
      <c r="AH92" s="80" t="b">
        <v>0</v>
      </c>
      <c r="AI92" s="80" t="s">
        <v>882</v>
      </c>
      <c r="AJ92" s="80"/>
      <c r="AK92" s="85" t="s">
        <v>871</v>
      </c>
      <c r="AL92" s="80" t="b">
        <v>0</v>
      </c>
      <c r="AM92" s="80">
        <v>36</v>
      </c>
      <c r="AN92" s="85" t="s">
        <v>830</v>
      </c>
      <c r="AO92" s="85" t="s">
        <v>889</v>
      </c>
      <c r="AP92" s="80" t="b">
        <v>0</v>
      </c>
      <c r="AQ92" s="85" t="s">
        <v>830</v>
      </c>
      <c r="AR92" s="80" t="s">
        <v>178</v>
      </c>
      <c r="AS92" s="80">
        <v>0</v>
      </c>
      <c r="AT92" s="80">
        <v>0</v>
      </c>
      <c r="AU92" s="80"/>
      <c r="AV92" s="80"/>
      <c r="AW92" s="80"/>
      <c r="AX92" s="80"/>
      <c r="AY92" s="80"/>
      <c r="AZ92" s="80"/>
      <c r="BA92" s="80"/>
      <c r="BB92" s="80"/>
      <c r="BC92">
        <v>1</v>
      </c>
      <c r="BD92" s="79" t="str">
        <f>REPLACE(INDEX(GroupVertices[Group],MATCH(Edges35[[#This Row],[Vertex 1]],GroupVertices[Vertex],0)),1,1,"")</f>
        <v>1</v>
      </c>
      <c r="BE92" s="79" t="str">
        <f>REPLACE(INDEX(GroupVertices[Group],MATCH(Edges35[[#This Row],[Vertex 2]],GroupVertices[Vertex],0)),1,1,"")</f>
        <v>1</v>
      </c>
      <c r="BF92" s="49">
        <v>0</v>
      </c>
      <c r="BG92" s="50">
        <v>0</v>
      </c>
      <c r="BH92" s="49">
        <v>0</v>
      </c>
      <c r="BI92" s="50">
        <v>0</v>
      </c>
      <c r="BJ92" s="49">
        <v>0</v>
      </c>
      <c r="BK92" s="50">
        <v>0</v>
      </c>
      <c r="BL92" s="49">
        <v>38</v>
      </c>
      <c r="BM92" s="50">
        <v>100</v>
      </c>
      <c r="BN92" s="49">
        <v>38</v>
      </c>
    </row>
    <row r="93" spans="1:66" ht="15">
      <c r="A93" s="65" t="s">
        <v>286</v>
      </c>
      <c r="B93" s="65" t="s">
        <v>332</v>
      </c>
      <c r="C93" s="66" t="s">
        <v>2647</v>
      </c>
      <c r="D93" s="67">
        <v>5</v>
      </c>
      <c r="E93" s="68"/>
      <c r="F93" s="69">
        <v>40</v>
      </c>
      <c r="G93" s="66"/>
      <c r="H93" s="70"/>
      <c r="I93" s="71"/>
      <c r="J93" s="71"/>
      <c r="K93" s="35" t="s">
        <v>65</v>
      </c>
      <c r="L93" s="78">
        <v>154</v>
      </c>
      <c r="M93" s="78"/>
      <c r="N93" s="73"/>
      <c r="O93" s="80" t="s">
        <v>383</v>
      </c>
      <c r="P93" s="82">
        <v>44460.83443287037</v>
      </c>
      <c r="Q93" s="80" t="s">
        <v>425</v>
      </c>
      <c r="R93" s="80"/>
      <c r="S93" s="80"/>
      <c r="T93" s="85" t="s">
        <v>498</v>
      </c>
      <c r="U93" s="83" t="str">
        <f>HYPERLINK("https://pbs.twimg.com/media/E_1U1pPVEAImP5O.jpg")</f>
        <v>https://pbs.twimg.com/media/E_1U1pPVEAImP5O.jpg</v>
      </c>
      <c r="V93" s="83" t="str">
        <f>HYPERLINK("https://pbs.twimg.com/media/E_1U1pPVEAImP5O.jpg")</f>
        <v>https://pbs.twimg.com/media/E_1U1pPVEAImP5O.jpg</v>
      </c>
      <c r="W93" s="82">
        <v>44460.83443287037</v>
      </c>
      <c r="X93" s="88">
        <v>44460</v>
      </c>
      <c r="Y93" s="85" t="s">
        <v>607</v>
      </c>
      <c r="Z93" s="83" t="str">
        <f>HYPERLINK("https://twitter.com/isela_mr/status/1440405869129134083")</f>
        <v>https://twitter.com/isela_mr/status/1440405869129134083</v>
      </c>
      <c r="AA93" s="80"/>
      <c r="AB93" s="80"/>
      <c r="AC93" s="85" t="s">
        <v>780</v>
      </c>
      <c r="AD93" s="80"/>
      <c r="AE93" s="80" t="b">
        <v>0</v>
      </c>
      <c r="AF93" s="80">
        <v>0</v>
      </c>
      <c r="AG93" s="85" t="s">
        <v>871</v>
      </c>
      <c r="AH93" s="80" t="b">
        <v>0</v>
      </c>
      <c r="AI93" s="80" t="s">
        <v>882</v>
      </c>
      <c r="AJ93" s="80"/>
      <c r="AK93" s="85" t="s">
        <v>871</v>
      </c>
      <c r="AL93" s="80" t="b">
        <v>0</v>
      </c>
      <c r="AM93" s="80">
        <v>36</v>
      </c>
      <c r="AN93" s="85" t="s">
        <v>830</v>
      </c>
      <c r="AO93" s="85" t="s">
        <v>889</v>
      </c>
      <c r="AP93" s="80" t="b">
        <v>0</v>
      </c>
      <c r="AQ93" s="85" t="s">
        <v>830</v>
      </c>
      <c r="AR93" s="80" t="s">
        <v>178</v>
      </c>
      <c r="AS93" s="80">
        <v>0</v>
      </c>
      <c r="AT93" s="80">
        <v>0</v>
      </c>
      <c r="AU93" s="80"/>
      <c r="AV93" s="80"/>
      <c r="AW93" s="80"/>
      <c r="AX93" s="80"/>
      <c r="AY93" s="80"/>
      <c r="AZ93" s="80"/>
      <c r="BA93" s="80"/>
      <c r="BB93" s="80"/>
      <c r="BC93">
        <v>1</v>
      </c>
      <c r="BD93" s="79" t="str">
        <f>REPLACE(INDEX(GroupVertices[Group],MATCH(Edges35[[#This Row],[Vertex 1]],GroupVertices[Vertex],0)),1,1,"")</f>
        <v>1</v>
      </c>
      <c r="BE93" s="79" t="str">
        <f>REPLACE(INDEX(GroupVertices[Group],MATCH(Edges35[[#This Row],[Vertex 2]],GroupVertices[Vertex],0)),1,1,"")</f>
        <v>1</v>
      </c>
      <c r="BF93" s="49">
        <v>0</v>
      </c>
      <c r="BG93" s="50">
        <v>0</v>
      </c>
      <c r="BH93" s="49">
        <v>0</v>
      </c>
      <c r="BI93" s="50">
        <v>0</v>
      </c>
      <c r="BJ93" s="49">
        <v>0</v>
      </c>
      <c r="BK93" s="50">
        <v>0</v>
      </c>
      <c r="BL93" s="49">
        <v>38</v>
      </c>
      <c r="BM93" s="50">
        <v>100</v>
      </c>
      <c r="BN93" s="49">
        <v>38</v>
      </c>
    </row>
    <row r="94" spans="1:66" ht="15">
      <c r="A94" s="65" t="s">
        <v>287</v>
      </c>
      <c r="B94" s="65" t="s">
        <v>332</v>
      </c>
      <c r="C94" s="66" t="s">
        <v>2647</v>
      </c>
      <c r="D94" s="67">
        <v>5</v>
      </c>
      <c r="E94" s="68"/>
      <c r="F94" s="69">
        <v>40</v>
      </c>
      <c r="G94" s="66"/>
      <c r="H94" s="70"/>
      <c r="I94" s="71"/>
      <c r="J94" s="71"/>
      <c r="K94" s="35" t="s">
        <v>65</v>
      </c>
      <c r="L94" s="78">
        <v>155</v>
      </c>
      <c r="M94" s="78"/>
      <c r="N94" s="73"/>
      <c r="O94" s="80" t="s">
        <v>383</v>
      </c>
      <c r="P94" s="82">
        <v>44460.83493055555</v>
      </c>
      <c r="Q94" s="80" t="s">
        <v>425</v>
      </c>
      <c r="R94" s="80"/>
      <c r="S94" s="80"/>
      <c r="T94" s="85" t="s">
        <v>498</v>
      </c>
      <c r="U94" s="83" t="str">
        <f>HYPERLINK("https://pbs.twimg.com/media/E_1U1pPVEAImP5O.jpg")</f>
        <v>https://pbs.twimg.com/media/E_1U1pPVEAImP5O.jpg</v>
      </c>
      <c r="V94" s="83" t="str">
        <f>HYPERLINK("https://pbs.twimg.com/media/E_1U1pPVEAImP5O.jpg")</f>
        <v>https://pbs.twimg.com/media/E_1U1pPVEAImP5O.jpg</v>
      </c>
      <c r="W94" s="82">
        <v>44460.83493055555</v>
      </c>
      <c r="X94" s="88">
        <v>44460</v>
      </c>
      <c r="Y94" s="85" t="s">
        <v>608</v>
      </c>
      <c r="Z94" s="83" t="str">
        <f>HYPERLINK("https://twitter.com/acquadragon/status/1440406051233226753")</f>
        <v>https://twitter.com/acquadragon/status/1440406051233226753</v>
      </c>
      <c r="AA94" s="80"/>
      <c r="AB94" s="80"/>
      <c r="AC94" s="85" t="s">
        <v>781</v>
      </c>
      <c r="AD94" s="80"/>
      <c r="AE94" s="80" t="b">
        <v>0</v>
      </c>
      <c r="AF94" s="80">
        <v>0</v>
      </c>
      <c r="AG94" s="85" t="s">
        <v>871</v>
      </c>
      <c r="AH94" s="80" t="b">
        <v>0</v>
      </c>
      <c r="AI94" s="80" t="s">
        <v>882</v>
      </c>
      <c r="AJ94" s="80"/>
      <c r="AK94" s="85" t="s">
        <v>871</v>
      </c>
      <c r="AL94" s="80" t="b">
        <v>0</v>
      </c>
      <c r="AM94" s="80">
        <v>36</v>
      </c>
      <c r="AN94" s="85" t="s">
        <v>830</v>
      </c>
      <c r="AO94" s="85" t="s">
        <v>890</v>
      </c>
      <c r="AP94" s="80" t="b">
        <v>0</v>
      </c>
      <c r="AQ94" s="85" t="s">
        <v>830</v>
      </c>
      <c r="AR94" s="80" t="s">
        <v>178</v>
      </c>
      <c r="AS94" s="80">
        <v>0</v>
      </c>
      <c r="AT94" s="80">
        <v>0</v>
      </c>
      <c r="AU94" s="80"/>
      <c r="AV94" s="80"/>
      <c r="AW94" s="80"/>
      <c r="AX94" s="80"/>
      <c r="AY94" s="80"/>
      <c r="AZ94" s="80"/>
      <c r="BA94" s="80"/>
      <c r="BB94" s="80"/>
      <c r="BC94">
        <v>1</v>
      </c>
      <c r="BD94" s="79" t="str">
        <f>REPLACE(INDEX(GroupVertices[Group],MATCH(Edges35[[#This Row],[Vertex 1]],GroupVertices[Vertex],0)),1,1,"")</f>
        <v>1</v>
      </c>
      <c r="BE94" s="79" t="str">
        <f>REPLACE(INDEX(GroupVertices[Group],MATCH(Edges35[[#This Row],[Vertex 2]],GroupVertices[Vertex],0)),1,1,"")</f>
        <v>1</v>
      </c>
      <c r="BF94" s="49">
        <v>0</v>
      </c>
      <c r="BG94" s="50">
        <v>0</v>
      </c>
      <c r="BH94" s="49">
        <v>0</v>
      </c>
      <c r="BI94" s="50">
        <v>0</v>
      </c>
      <c r="BJ94" s="49">
        <v>0</v>
      </c>
      <c r="BK94" s="50">
        <v>0</v>
      </c>
      <c r="BL94" s="49">
        <v>38</v>
      </c>
      <c r="BM94" s="50">
        <v>100</v>
      </c>
      <c r="BN94" s="49">
        <v>38</v>
      </c>
    </row>
    <row r="95" spans="1:66" ht="15">
      <c r="A95" s="65" t="s">
        <v>288</v>
      </c>
      <c r="B95" s="65" t="s">
        <v>332</v>
      </c>
      <c r="C95" s="66" t="s">
        <v>2647</v>
      </c>
      <c r="D95" s="67">
        <v>5</v>
      </c>
      <c r="E95" s="68"/>
      <c r="F95" s="69">
        <v>40</v>
      </c>
      <c r="G95" s="66"/>
      <c r="H95" s="70"/>
      <c r="I95" s="71"/>
      <c r="J95" s="71"/>
      <c r="K95" s="35" t="s">
        <v>65</v>
      </c>
      <c r="L95" s="78">
        <v>156</v>
      </c>
      <c r="M95" s="78"/>
      <c r="N95" s="73"/>
      <c r="O95" s="80" t="s">
        <v>383</v>
      </c>
      <c r="P95" s="82">
        <v>44460.838738425926</v>
      </c>
      <c r="Q95" s="80" t="s">
        <v>425</v>
      </c>
      <c r="R95" s="80"/>
      <c r="S95" s="80"/>
      <c r="T95" s="85" t="s">
        <v>498</v>
      </c>
      <c r="U95" s="83" t="str">
        <f>HYPERLINK("https://pbs.twimg.com/media/E_1U1pPVEAImP5O.jpg")</f>
        <v>https://pbs.twimg.com/media/E_1U1pPVEAImP5O.jpg</v>
      </c>
      <c r="V95" s="83" t="str">
        <f>HYPERLINK("https://pbs.twimg.com/media/E_1U1pPVEAImP5O.jpg")</f>
        <v>https://pbs.twimg.com/media/E_1U1pPVEAImP5O.jpg</v>
      </c>
      <c r="W95" s="82">
        <v>44460.838738425926</v>
      </c>
      <c r="X95" s="88">
        <v>44460</v>
      </c>
      <c r="Y95" s="85" t="s">
        <v>609</v>
      </c>
      <c r="Z95" s="83" t="str">
        <f>HYPERLINK("https://twitter.com/pasillasmmtv/status/1440407431310311430")</f>
        <v>https://twitter.com/pasillasmmtv/status/1440407431310311430</v>
      </c>
      <c r="AA95" s="80"/>
      <c r="AB95" s="80"/>
      <c r="AC95" s="85" t="s">
        <v>782</v>
      </c>
      <c r="AD95" s="80"/>
      <c r="AE95" s="80" t="b">
        <v>0</v>
      </c>
      <c r="AF95" s="80">
        <v>0</v>
      </c>
      <c r="AG95" s="85" t="s">
        <v>871</v>
      </c>
      <c r="AH95" s="80" t="b">
        <v>0</v>
      </c>
      <c r="AI95" s="80" t="s">
        <v>882</v>
      </c>
      <c r="AJ95" s="80"/>
      <c r="AK95" s="85" t="s">
        <v>871</v>
      </c>
      <c r="AL95" s="80" t="b">
        <v>0</v>
      </c>
      <c r="AM95" s="80">
        <v>36</v>
      </c>
      <c r="AN95" s="85" t="s">
        <v>830</v>
      </c>
      <c r="AO95" s="85" t="s">
        <v>891</v>
      </c>
      <c r="AP95" s="80" t="b">
        <v>0</v>
      </c>
      <c r="AQ95" s="85" t="s">
        <v>830</v>
      </c>
      <c r="AR95" s="80" t="s">
        <v>178</v>
      </c>
      <c r="AS95" s="80">
        <v>0</v>
      </c>
      <c r="AT95" s="80">
        <v>0</v>
      </c>
      <c r="AU95" s="80"/>
      <c r="AV95" s="80"/>
      <c r="AW95" s="80"/>
      <c r="AX95" s="80"/>
      <c r="AY95" s="80"/>
      <c r="AZ95" s="80"/>
      <c r="BA95" s="80"/>
      <c r="BB95" s="80"/>
      <c r="BC95">
        <v>1</v>
      </c>
      <c r="BD95" s="79" t="str">
        <f>REPLACE(INDEX(GroupVertices[Group],MATCH(Edges35[[#This Row],[Vertex 1]],GroupVertices[Vertex],0)),1,1,"")</f>
        <v>1</v>
      </c>
      <c r="BE95" s="79" t="str">
        <f>REPLACE(INDEX(GroupVertices[Group],MATCH(Edges35[[#This Row],[Vertex 2]],GroupVertices[Vertex],0)),1,1,"")</f>
        <v>1</v>
      </c>
      <c r="BF95" s="49">
        <v>0</v>
      </c>
      <c r="BG95" s="50">
        <v>0</v>
      </c>
      <c r="BH95" s="49">
        <v>0</v>
      </c>
      <c r="BI95" s="50">
        <v>0</v>
      </c>
      <c r="BJ95" s="49">
        <v>0</v>
      </c>
      <c r="BK95" s="50">
        <v>0</v>
      </c>
      <c r="BL95" s="49">
        <v>38</v>
      </c>
      <c r="BM95" s="50">
        <v>100</v>
      </c>
      <c r="BN95" s="49">
        <v>38</v>
      </c>
    </row>
    <row r="96" spans="1:66" ht="15">
      <c r="A96" s="65" t="s">
        <v>289</v>
      </c>
      <c r="B96" s="65" t="s">
        <v>332</v>
      </c>
      <c r="C96" s="66" t="s">
        <v>2647</v>
      </c>
      <c r="D96" s="67">
        <v>5</v>
      </c>
      <c r="E96" s="68"/>
      <c r="F96" s="69">
        <v>40</v>
      </c>
      <c r="G96" s="66"/>
      <c r="H96" s="70"/>
      <c r="I96" s="71"/>
      <c r="J96" s="71"/>
      <c r="K96" s="35" t="s">
        <v>65</v>
      </c>
      <c r="L96" s="78">
        <v>157</v>
      </c>
      <c r="M96" s="78"/>
      <c r="N96" s="73"/>
      <c r="O96" s="80" t="s">
        <v>383</v>
      </c>
      <c r="P96" s="82">
        <v>44460.83902777778</v>
      </c>
      <c r="Q96" s="80" t="s">
        <v>425</v>
      </c>
      <c r="R96" s="80"/>
      <c r="S96" s="80"/>
      <c r="T96" s="85" t="s">
        <v>498</v>
      </c>
      <c r="U96" s="83" t="str">
        <f>HYPERLINK("https://pbs.twimg.com/media/E_1U1pPVEAImP5O.jpg")</f>
        <v>https://pbs.twimg.com/media/E_1U1pPVEAImP5O.jpg</v>
      </c>
      <c r="V96" s="83" t="str">
        <f>HYPERLINK("https://pbs.twimg.com/media/E_1U1pPVEAImP5O.jpg")</f>
        <v>https://pbs.twimg.com/media/E_1U1pPVEAImP5O.jpg</v>
      </c>
      <c r="W96" s="82">
        <v>44460.83902777778</v>
      </c>
      <c r="X96" s="88">
        <v>44460</v>
      </c>
      <c r="Y96" s="85" t="s">
        <v>610</v>
      </c>
      <c r="Z96" s="83" t="str">
        <f>HYPERLINK("https://twitter.com/gallofuego/status/1440407536390205441")</f>
        <v>https://twitter.com/gallofuego/status/1440407536390205441</v>
      </c>
      <c r="AA96" s="80"/>
      <c r="AB96" s="80"/>
      <c r="AC96" s="85" t="s">
        <v>783</v>
      </c>
      <c r="AD96" s="80"/>
      <c r="AE96" s="80" t="b">
        <v>0</v>
      </c>
      <c r="AF96" s="80">
        <v>0</v>
      </c>
      <c r="AG96" s="85" t="s">
        <v>871</v>
      </c>
      <c r="AH96" s="80" t="b">
        <v>0</v>
      </c>
      <c r="AI96" s="80" t="s">
        <v>882</v>
      </c>
      <c r="AJ96" s="80"/>
      <c r="AK96" s="85" t="s">
        <v>871</v>
      </c>
      <c r="AL96" s="80" t="b">
        <v>0</v>
      </c>
      <c r="AM96" s="80">
        <v>36</v>
      </c>
      <c r="AN96" s="85" t="s">
        <v>830</v>
      </c>
      <c r="AO96" s="85" t="s">
        <v>889</v>
      </c>
      <c r="AP96" s="80" t="b">
        <v>0</v>
      </c>
      <c r="AQ96" s="85" t="s">
        <v>830</v>
      </c>
      <c r="AR96" s="80" t="s">
        <v>178</v>
      </c>
      <c r="AS96" s="80">
        <v>0</v>
      </c>
      <c r="AT96" s="80">
        <v>0</v>
      </c>
      <c r="AU96" s="80"/>
      <c r="AV96" s="80"/>
      <c r="AW96" s="80"/>
      <c r="AX96" s="80"/>
      <c r="AY96" s="80"/>
      <c r="AZ96" s="80"/>
      <c r="BA96" s="80"/>
      <c r="BB96" s="80"/>
      <c r="BC96">
        <v>1</v>
      </c>
      <c r="BD96" s="79" t="str">
        <f>REPLACE(INDEX(GroupVertices[Group],MATCH(Edges35[[#This Row],[Vertex 1]],GroupVertices[Vertex],0)),1,1,"")</f>
        <v>1</v>
      </c>
      <c r="BE96" s="79" t="str">
        <f>REPLACE(INDEX(GroupVertices[Group],MATCH(Edges35[[#This Row],[Vertex 2]],GroupVertices[Vertex],0)),1,1,"")</f>
        <v>1</v>
      </c>
      <c r="BF96" s="49">
        <v>0</v>
      </c>
      <c r="BG96" s="50">
        <v>0</v>
      </c>
      <c r="BH96" s="49">
        <v>0</v>
      </c>
      <c r="BI96" s="50">
        <v>0</v>
      </c>
      <c r="BJ96" s="49">
        <v>0</v>
      </c>
      <c r="BK96" s="50">
        <v>0</v>
      </c>
      <c r="BL96" s="49">
        <v>38</v>
      </c>
      <c r="BM96" s="50">
        <v>100</v>
      </c>
      <c r="BN96" s="49">
        <v>38</v>
      </c>
    </row>
    <row r="97" spans="1:66" ht="15">
      <c r="A97" s="65" t="s">
        <v>290</v>
      </c>
      <c r="B97" s="65" t="s">
        <v>332</v>
      </c>
      <c r="C97" s="66" t="s">
        <v>2647</v>
      </c>
      <c r="D97" s="67">
        <v>5</v>
      </c>
      <c r="E97" s="68"/>
      <c r="F97" s="69">
        <v>40</v>
      </c>
      <c r="G97" s="66"/>
      <c r="H97" s="70"/>
      <c r="I97" s="71"/>
      <c r="J97" s="71"/>
      <c r="K97" s="35" t="s">
        <v>65</v>
      </c>
      <c r="L97" s="78">
        <v>158</v>
      </c>
      <c r="M97" s="78"/>
      <c r="N97" s="73"/>
      <c r="O97" s="80" t="s">
        <v>383</v>
      </c>
      <c r="P97" s="82">
        <v>44460.8396875</v>
      </c>
      <c r="Q97" s="80" t="s">
        <v>425</v>
      </c>
      <c r="R97" s="80"/>
      <c r="S97" s="80"/>
      <c r="T97" s="85" t="s">
        <v>498</v>
      </c>
      <c r="U97" s="83" t="str">
        <f>HYPERLINK("https://pbs.twimg.com/media/E_1U1pPVEAImP5O.jpg")</f>
        <v>https://pbs.twimg.com/media/E_1U1pPVEAImP5O.jpg</v>
      </c>
      <c r="V97" s="83" t="str">
        <f>HYPERLINK("https://pbs.twimg.com/media/E_1U1pPVEAImP5O.jpg")</f>
        <v>https://pbs.twimg.com/media/E_1U1pPVEAImP5O.jpg</v>
      </c>
      <c r="W97" s="82">
        <v>44460.8396875</v>
      </c>
      <c r="X97" s="88">
        <v>44460</v>
      </c>
      <c r="Y97" s="85" t="s">
        <v>611</v>
      </c>
      <c r="Z97" s="83" t="str">
        <f>HYPERLINK("https://twitter.com/loveyogurtlowfa/status/1440407772533723147")</f>
        <v>https://twitter.com/loveyogurtlowfa/status/1440407772533723147</v>
      </c>
      <c r="AA97" s="80"/>
      <c r="AB97" s="80"/>
      <c r="AC97" s="85" t="s">
        <v>784</v>
      </c>
      <c r="AD97" s="80"/>
      <c r="AE97" s="80" t="b">
        <v>0</v>
      </c>
      <c r="AF97" s="80">
        <v>0</v>
      </c>
      <c r="AG97" s="85" t="s">
        <v>871</v>
      </c>
      <c r="AH97" s="80" t="b">
        <v>0</v>
      </c>
      <c r="AI97" s="80" t="s">
        <v>882</v>
      </c>
      <c r="AJ97" s="80"/>
      <c r="AK97" s="85" t="s">
        <v>871</v>
      </c>
      <c r="AL97" s="80" t="b">
        <v>0</v>
      </c>
      <c r="AM97" s="80">
        <v>36</v>
      </c>
      <c r="AN97" s="85" t="s">
        <v>830</v>
      </c>
      <c r="AO97" s="85" t="s">
        <v>890</v>
      </c>
      <c r="AP97" s="80" t="b">
        <v>0</v>
      </c>
      <c r="AQ97" s="85" t="s">
        <v>830</v>
      </c>
      <c r="AR97" s="80" t="s">
        <v>178</v>
      </c>
      <c r="AS97" s="80">
        <v>0</v>
      </c>
      <c r="AT97" s="80">
        <v>0</v>
      </c>
      <c r="AU97" s="80"/>
      <c r="AV97" s="80"/>
      <c r="AW97" s="80"/>
      <c r="AX97" s="80"/>
      <c r="AY97" s="80"/>
      <c r="AZ97" s="80"/>
      <c r="BA97" s="80"/>
      <c r="BB97" s="80"/>
      <c r="BC97">
        <v>1</v>
      </c>
      <c r="BD97" s="79" t="str">
        <f>REPLACE(INDEX(GroupVertices[Group],MATCH(Edges35[[#This Row],[Vertex 1]],GroupVertices[Vertex],0)),1,1,"")</f>
        <v>1</v>
      </c>
      <c r="BE97" s="79" t="str">
        <f>REPLACE(INDEX(GroupVertices[Group],MATCH(Edges35[[#This Row],[Vertex 2]],GroupVertices[Vertex],0)),1,1,"")</f>
        <v>1</v>
      </c>
      <c r="BF97" s="49">
        <v>0</v>
      </c>
      <c r="BG97" s="50">
        <v>0</v>
      </c>
      <c r="BH97" s="49">
        <v>0</v>
      </c>
      <c r="BI97" s="50">
        <v>0</v>
      </c>
      <c r="BJ97" s="49">
        <v>0</v>
      </c>
      <c r="BK97" s="50">
        <v>0</v>
      </c>
      <c r="BL97" s="49">
        <v>38</v>
      </c>
      <c r="BM97" s="50">
        <v>100</v>
      </c>
      <c r="BN97" s="49">
        <v>38</v>
      </c>
    </row>
    <row r="98" spans="1:66" ht="15">
      <c r="A98" s="65" t="s">
        <v>291</v>
      </c>
      <c r="B98" s="65" t="s">
        <v>332</v>
      </c>
      <c r="C98" s="66" t="s">
        <v>2647</v>
      </c>
      <c r="D98" s="67">
        <v>5</v>
      </c>
      <c r="E98" s="68"/>
      <c r="F98" s="69">
        <v>40</v>
      </c>
      <c r="G98" s="66"/>
      <c r="H98" s="70"/>
      <c r="I98" s="71"/>
      <c r="J98" s="71"/>
      <c r="K98" s="35" t="s">
        <v>65</v>
      </c>
      <c r="L98" s="78">
        <v>159</v>
      </c>
      <c r="M98" s="78"/>
      <c r="N98" s="73"/>
      <c r="O98" s="80" t="s">
        <v>383</v>
      </c>
      <c r="P98" s="82">
        <v>44460.84690972222</v>
      </c>
      <c r="Q98" s="80" t="s">
        <v>425</v>
      </c>
      <c r="R98" s="80"/>
      <c r="S98" s="80"/>
      <c r="T98" s="85" t="s">
        <v>498</v>
      </c>
      <c r="U98" s="83" t="str">
        <f>HYPERLINK("https://pbs.twimg.com/media/E_1U1pPVEAImP5O.jpg")</f>
        <v>https://pbs.twimg.com/media/E_1U1pPVEAImP5O.jpg</v>
      </c>
      <c r="V98" s="83" t="str">
        <f>HYPERLINK("https://pbs.twimg.com/media/E_1U1pPVEAImP5O.jpg")</f>
        <v>https://pbs.twimg.com/media/E_1U1pPVEAImP5O.jpg</v>
      </c>
      <c r="W98" s="82">
        <v>44460.84690972222</v>
      </c>
      <c r="X98" s="88">
        <v>44460</v>
      </c>
      <c r="Y98" s="85" t="s">
        <v>612</v>
      </c>
      <c r="Z98" s="83" t="str">
        <f>HYPERLINK("https://twitter.com/minyon23625591/status/1440410389808697347")</f>
        <v>https://twitter.com/minyon23625591/status/1440410389808697347</v>
      </c>
      <c r="AA98" s="80"/>
      <c r="AB98" s="80"/>
      <c r="AC98" s="85" t="s">
        <v>785</v>
      </c>
      <c r="AD98" s="80"/>
      <c r="AE98" s="80" t="b">
        <v>0</v>
      </c>
      <c r="AF98" s="80">
        <v>0</v>
      </c>
      <c r="AG98" s="85" t="s">
        <v>871</v>
      </c>
      <c r="AH98" s="80" t="b">
        <v>0</v>
      </c>
      <c r="AI98" s="80" t="s">
        <v>882</v>
      </c>
      <c r="AJ98" s="80"/>
      <c r="AK98" s="85" t="s">
        <v>871</v>
      </c>
      <c r="AL98" s="80" t="b">
        <v>0</v>
      </c>
      <c r="AM98" s="80">
        <v>36</v>
      </c>
      <c r="AN98" s="85" t="s">
        <v>830</v>
      </c>
      <c r="AO98" s="85" t="s">
        <v>890</v>
      </c>
      <c r="AP98" s="80" t="b">
        <v>0</v>
      </c>
      <c r="AQ98" s="85" t="s">
        <v>830</v>
      </c>
      <c r="AR98" s="80" t="s">
        <v>178</v>
      </c>
      <c r="AS98" s="80">
        <v>0</v>
      </c>
      <c r="AT98" s="80">
        <v>0</v>
      </c>
      <c r="AU98" s="80"/>
      <c r="AV98" s="80"/>
      <c r="AW98" s="80"/>
      <c r="AX98" s="80"/>
      <c r="AY98" s="80"/>
      <c r="AZ98" s="80"/>
      <c r="BA98" s="80"/>
      <c r="BB98" s="80"/>
      <c r="BC98">
        <v>1</v>
      </c>
      <c r="BD98" s="79" t="str">
        <f>REPLACE(INDEX(GroupVertices[Group],MATCH(Edges35[[#This Row],[Vertex 1]],GroupVertices[Vertex],0)),1,1,"")</f>
        <v>1</v>
      </c>
      <c r="BE98" s="79" t="str">
        <f>REPLACE(INDEX(GroupVertices[Group],MATCH(Edges35[[#This Row],[Vertex 2]],GroupVertices[Vertex],0)),1,1,"")</f>
        <v>1</v>
      </c>
      <c r="BF98" s="49">
        <v>0</v>
      </c>
      <c r="BG98" s="50">
        <v>0</v>
      </c>
      <c r="BH98" s="49">
        <v>0</v>
      </c>
      <c r="BI98" s="50">
        <v>0</v>
      </c>
      <c r="BJ98" s="49">
        <v>0</v>
      </c>
      <c r="BK98" s="50">
        <v>0</v>
      </c>
      <c r="BL98" s="49">
        <v>38</v>
      </c>
      <c r="BM98" s="50">
        <v>100</v>
      </c>
      <c r="BN98" s="49">
        <v>38</v>
      </c>
    </row>
    <row r="99" spans="1:66" ht="15">
      <c r="A99" s="65" t="s">
        <v>292</v>
      </c>
      <c r="B99" s="65" t="s">
        <v>332</v>
      </c>
      <c r="C99" s="66" t="s">
        <v>2647</v>
      </c>
      <c r="D99" s="67">
        <v>5</v>
      </c>
      <c r="E99" s="68"/>
      <c r="F99" s="69">
        <v>40</v>
      </c>
      <c r="G99" s="66"/>
      <c r="H99" s="70"/>
      <c r="I99" s="71"/>
      <c r="J99" s="71"/>
      <c r="K99" s="35" t="s">
        <v>65</v>
      </c>
      <c r="L99" s="78">
        <v>160</v>
      </c>
      <c r="M99" s="78"/>
      <c r="N99" s="73"/>
      <c r="O99" s="80" t="s">
        <v>383</v>
      </c>
      <c r="P99" s="82">
        <v>44460.85246527778</v>
      </c>
      <c r="Q99" s="80" t="s">
        <v>425</v>
      </c>
      <c r="R99" s="80"/>
      <c r="S99" s="80"/>
      <c r="T99" s="85" t="s">
        <v>498</v>
      </c>
      <c r="U99" s="83" t="str">
        <f>HYPERLINK("https://pbs.twimg.com/media/E_1U1pPVEAImP5O.jpg")</f>
        <v>https://pbs.twimg.com/media/E_1U1pPVEAImP5O.jpg</v>
      </c>
      <c r="V99" s="83" t="str">
        <f>HYPERLINK("https://pbs.twimg.com/media/E_1U1pPVEAImP5O.jpg")</f>
        <v>https://pbs.twimg.com/media/E_1U1pPVEAImP5O.jpg</v>
      </c>
      <c r="W99" s="82">
        <v>44460.85246527778</v>
      </c>
      <c r="X99" s="88">
        <v>44460</v>
      </c>
      <c r="Y99" s="85" t="s">
        <v>613</v>
      </c>
      <c r="Z99" s="83" t="str">
        <f>HYPERLINK("https://twitter.com/jlgc0505/status/1440412406002245646")</f>
        <v>https://twitter.com/jlgc0505/status/1440412406002245646</v>
      </c>
      <c r="AA99" s="80"/>
      <c r="AB99" s="80"/>
      <c r="AC99" s="85" t="s">
        <v>786</v>
      </c>
      <c r="AD99" s="80"/>
      <c r="AE99" s="80" t="b">
        <v>0</v>
      </c>
      <c r="AF99" s="80">
        <v>0</v>
      </c>
      <c r="AG99" s="85" t="s">
        <v>871</v>
      </c>
      <c r="AH99" s="80" t="b">
        <v>0</v>
      </c>
      <c r="AI99" s="80" t="s">
        <v>882</v>
      </c>
      <c r="AJ99" s="80"/>
      <c r="AK99" s="85" t="s">
        <v>871</v>
      </c>
      <c r="AL99" s="80" t="b">
        <v>0</v>
      </c>
      <c r="AM99" s="80">
        <v>36</v>
      </c>
      <c r="AN99" s="85" t="s">
        <v>830</v>
      </c>
      <c r="AO99" s="85" t="s">
        <v>889</v>
      </c>
      <c r="AP99" s="80" t="b">
        <v>0</v>
      </c>
      <c r="AQ99" s="85" t="s">
        <v>830</v>
      </c>
      <c r="AR99" s="80" t="s">
        <v>178</v>
      </c>
      <c r="AS99" s="80">
        <v>0</v>
      </c>
      <c r="AT99" s="80">
        <v>0</v>
      </c>
      <c r="AU99" s="80"/>
      <c r="AV99" s="80"/>
      <c r="AW99" s="80"/>
      <c r="AX99" s="80"/>
      <c r="AY99" s="80"/>
      <c r="AZ99" s="80"/>
      <c r="BA99" s="80"/>
      <c r="BB99" s="80"/>
      <c r="BC99">
        <v>1</v>
      </c>
      <c r="BD99" s="79" t="str">
        <f>REPLACE(INDEX(GroupVertices[Group],MATCH(Edges35[[#This Row],[Vertex 1]],GroupVertices[Vertex],0)),1,1,"")</f>
        <v>1</v>
      </c>
      <c r="BE99" s="79" t="str">
        <f>REPLACE(INDEX(GroupVertices[Group],MATCH(Edges35[[#This Row],[Vertex 2]],GroupVertices[Vertex],0)),1,1,"")</f>
        <v>1</v>
      </c>
      <c r="BF99" s="49">
        <v>0</v>
      </c>
      <c r="BG99" s="50">
        <v>0</v>
      </c>
      <c r="BH99" s="49">
        <v>0</v>
      </c>
      <c r="BI99" s="50">
        <v>0</v>
      </c>
      <c r="BJ99" s="49">
        <v>0</v>
      </c>
      <c r="BK99" s="50">
        <v>0</v>
      </c>
      <c r="BL99" s="49">
        <v>38</v>
      </c>
      <c r="BM99" s="50">
        <v>100</v>
      </c>
      <c r="BN99" s="49">
        <v>38</v>
      </c>
    </row>
    <row r="100" spans="1:66" ht="15">
      <c r="A100" s="65" t="s">
        <v>293</v>
      </c>
      <c r="B100" s="65" t="s">
        <v>332</v>
      </c>
      <c r="C100" s="66" t="s">
        <v>2647</v>
      </c>
      <c r="D100" s="67">
        <v>5</v>
      </c>
      <c r="E100" s="68"/>
      <c r="F100" s="69">
        <v>40</v>
      </c>
      <c r="G100" s="66"/>
      <c r="H100" s="70"/>
      <c r="I100" s="71"/>
      <c r="J100" s="71"/>
      <c r="K100" s="35" t="s">
        <v>65</v>
      </c>
      <c r="L100" s="78">
        <v>161</v>
      </c>
      <c r="M100" s="78"/>
      <c r="N100" s="73"/>
      <c r="O100" s="80" t="s">
        <v>383</v>
      </c>
      <c r="P100" s="82">
        <v>44460.85398148148</v>
      </c>
      <c r="Q100" s="80" t="s">
        <v>425</v>
      </c>
      <c r="R100" s="80"/>
      <c r="S100" s="80"/>
      <c r="T100" s="85" t="s">
        <v>498</v>
      </c>
      <c r="U100" s="83" t="str">
        <f>HYPERLINK("https://pbs.twimg.com/media/E_1U1pPVEAImP5O.jpg")</f>
        <v>https://pbs.twimg.com/media/E_1U1pPVEAImP5O.jpg</v>
      </c>
      <c r="V100" s="83" t="str">
        <f>HYPERLINK("https://pbs.twimg.com/media/E_1U1pPVEAImP5O.jpg")</f>
        <v>https://pbs.twimg.com/media/E_1U1pPVEAImP5O.jpg</v>
      </c>
      <c r="W100" s="82">
        <v>44460.85398148148</v>
      </c>
      <c r="X100" s="88">
        <v>44460</v>
      </c>
      <c r="Y100" s="85" t="s">
        <v>614</v>
      </c>
      <c r="Z100" s="83" t="str">
        <f>HYPERLINK("https://twitter.com/apoloniovaldez/status/1440412955930099715")</f>
        <v>https://twitter.com/apoloniovaldez/status/1440412955930099715</v>
      </c>
      <c r="AA100" s="80"/>
      <c r="AB100" s="80"/>
      <c r="AC100" s="85" t="s">
        <v>787</v>
      </c>
      <c r="AD100" s="80"/>
      <c r="AE100" s="80" t="b">
        <v>0</v>
      </c>
      <c r="AF100" s="80">
        <v>0</v>
      </c>
      <c r="AG100" s="85" t="s">
        <v>871</v>
      </c>
      <c r="AH100" s="80" t="b">
        <v>0</v>
      </c>
      <c r="AI100" s="80" t="s">
        <v>882</v>
      </c>
      <c r="AJ100" s="80"/>
      <c r="AK100" s="85" t="s">
        <v>871</v>
      </c>
      <c r="AL100" s="80" t="b">
        <v>0</v>
      </c>
      <c r="AM100" s="80">
        <v>36</v>
      </c>
      <c r="AN100" s="85" t="s">
        <v>830</v>
      </c>
      <c r="AO100" s="85" t="s">
        <v>890</v>
      </c>
      <c r="AP100" s="80" t="b">
        <v>0</v>
      </c>
      <c r="AQ100" s="85" t="s">
        <v>830</v>
      </c>
      <c r="AR100" s="80" t="s">
        <v>178</v>
      </c>
      <c r="AS100" s="80">
        <v>0</v>
      </c>
      <c r="AT100" s="80">
        <v>0</v>
      </c>
      <c r="AU100" s="80"/>
      <c r="AV100" s="80"/>
      <c r="AW100" s="80"/>
      <c r="AX100" s="80"/>
      <c r="AY100" s="80"/>
      <c r="AZ100" s="80"/>
      <c r="BA100" s="80"/>
      <c r="BB100" s="80"/>
      <c r="BC100">
        <v>1</v>
      </c>
      <c r="BD100" s="79" t="str">
        <f>REPLACE(INDEX(GroupVertices[Group],MATCH(Edges35[[#This Row],[Vertex 1]],GroupVertices[Vertex],0)),1,1,"")</f>
        <v>1</v>
      </c>
      <c r="BE100" s="79" t="str">
        <f>REPLACE(INDEX(GroupVertices[Group],MATCH(Edges35[[#This Row],[Vertex 2]],GroupVertices[Vertex],0)),1,1,"")</f>
        <v>1</v>
      </c>
      <c r="BF100" s="49">
        <v>0</v>
      </c>
      <c r="BG100" s="50">
        <v>0</v>
      </c>
      <c r="BH100" s="49">
        <v>0</v>
      </c>
      <c r="BI100" s="50">
        <v>0</v>
      </c>
      <c r="BJ100" s="49">
        <v>0</v>
      </c>
      <c r="BK100" s="50">
        <v>0</v>
      </c>
      <c r="BL100" s="49">
        <v>38</v>
      </c>
      <c r="BM100" s="50">
        <v>100</v>
      </c>
      <c r="BN100" s="49">
        <v>38</v>
      </c>
    </row>
    <row r="101" spans="1:66" ht="15">
      <c r="A101" s="65" t="s">
        <v>294</v>
      </c>
      <c r="B101" s="65" t="s">
        <v>332</v>
      </c>
      <c r="C101" s="66" t="s">
        <v>2647</v>
      </c>
      <c r="D101" s="67">
        <v>5</v>
      </c>
      <c r="E101" s="68"/>
      <c r="F101" s="69">
        <v>40</v>
      </c>
      <c r="G101" s="66"/>
      <c r="H101" s="70"/>
      <c r="I101" s="71"/>
      <c r="J101" s="71"/>
      <c r="K101" s="35" t="s">
        <v>65</v>
      </c>
      <c r="L101" s="78">
        <v>162</v>
      </c>
      <c r="M101" s="78"/>
      <c r="N101" s="73"/>
      <c r="O101" s="80" t="s">
        <v>383</v>
      </c>
      <c r="P101" s="82">
        <v>44460.85497685185</v>
      </c>
      <c r="Q101" s="80" t="s">
        <v>425</v>
      </c>
      <c r="R101" s="80"/>
      <c r="S101" s="80"/>
      <c r="T101" s="85" t="s">
        <v>498</v>
      </c>
      <c r="U101" s="83" t="str">
        <f>HYPERLINK("https://pbs.twimg.com/media/E_1U1pPVEAImP5O.jpg")</f>
        <v>https://pbs.twimg.com/media/E_1U1pPVEAImP5O.jpg</v>
      </c>
      <c r="V101" s="83" t="str">
        <f>HYPERLINK("https://pbs.twimg.com/media/E_1U1pPVEAImP5O.jpg")</f>
        <v>https://pbs.twimg.com/media/E_1U1pPVEAImP5O.jpg</v>
      </c>
      <c r="W101" s="82">
        <v>44460.85497685185</v>
      </c>
      <c r="X101" s="88">
        <v>44460</v>
      </c>
      <c r="Y101" s="85" t="s">
        <v>615</v>
      </c>
      <c r="Z101" s="83" t="str">
        <f>HYPERLINK("https://twitter.com/jorge2t23/status/1440413316212408329")</f>
        <v>https://twitter.com/jorge2t23/status/1440413316212408329</v>
      </c>
      <c r="AA101" s="80"/>
      <c r="AB101" s="80"/>
      <c r="AC101" s="85" t="s">
        <v>788</v>
      </c>
      <c r="AD101" s="80"/>
      <c r="AE101" s="80" t="b">
        <v>0</v>
      </c>
      <c r="AF101" s="80">
        <v>0</v>
      </c>
      <c r="AG101" s="85" t="s">
        <v>871</v>
      </c>
      <c r="AH101" s="80" t="b">
        <v>0</v>
      </c>
      <c r="AI101" s="80" t="s">
        <v>882</v>
      </c>
      <c r="AJ101" s="80"/>
      <c r="AK101" s="85" t="s">
        <v>871</v>
      </c>
      <c r="AL101" s="80" t="b">
        <v>0</v>
      </c>
      <c r="AM101" s="80">
        <v>36</v>
      </c>
      <c r="AN101" s="85" t="s">
        <v>830</v>
      </c>
      <c r="AO101" s="85" t="s">
        <v>889</v>
      </c>
      <c r="AP101" s="80" t="b">
        <v>0</v>
      </c>
      <c r="AQ101" s="85" t="s">
        <v>830</v>
      </c>
      <c r="AR101" s="80" t="s">
        <v>178</v>
      </c>
      <c r="AS101" s="80">
        <v>0</v>
      </c>
      <c r="AT101" s="80">
        <v>0</v>
      </c>
      <c r="AU101" s="80"/>
      <c r="AV101" s="80"/>
      <c r="AW101" s="80"/>
      <c r="AX101" s="80"/>
      <c r="AY101" s="80"/>
      <c r="AZ101" s="80"/>
      <c r="BA101" s="80"/>
      <c r="BB101" s="80"/>
      <c r="BC101">
        <v>1</v>
      </c>
      <c r="BD101" s="79" t="str">
        <f>REPLACE(INDEX(GroupVertices[Group],MATCH(Edges35[[#This Row],[Vertex 1]],GroupVertices[Vertex],0)),1,1,"")</f>
        <v>1</v>
      </c>
      <c r="BE101" s="79" t="str">
        <f>REPLACE(INDEX(GroupVertices[Group],MATCH(Edges35[[#This Row],[Vertex 2]],GroupVertices[Vertex],0)),1,1,"")</f>
        <v>1</v>
      </c>
      <c r="BF101" s="49">
        <v>0</v>
      </c>
      <c r="BG101" s="50">
        <v>0</v>
      </c>
      <c r="BH101" s="49">
        <v>0</v>
      </c>
      <c r="BI101" s="50">
        <v>0</v>
      </c>
      <c r="BJ101" s="49">
        <v>0</v>
      </c>
      <c r="BK101" s="50">
        <v>0</v>
      </c>
      <c r="BL101" s="49">
        <v>38</v>
      </c>
      <c r="BM101" s="50">
        <v>100</v>
      </c>
      <c r="BN101" s="49">
        <v>38</v>
      </c>
    </row>
    <row r="102" spans="1:66" ht="15">
      <c r="A102" s="65" t="s">
        <v>295</v>
      </c>
      <c r="B102" s="65" t="s">
        <v>376</v>
      </c>
      <c r="C102" s="66" t="s">
        <v>2647</v>
      </c>
      <c r="D102" s="67">
        <v>5</v>
      </c>
      <c r="E102" s="68"/>
      <c r="F102" s="69">
        <v>40</v>
      </c>
      <c r="G102" s="66"/>
      <c r="H102" s="70"/>
      <c r="I102" s="71"/>
      <c r="J102" s="71"/>
      <c r="K102" s="35" t="s">
        <v>65</v>
      </c>
      <c r="L102" s="78">
        <v>163</v>
      </c>
      <c r="M102" s="78"/>
      <c r="N102" s="73"/>
      <c r="O102" s="80" t="s">
        <v>382</v>
      </c>
      <c r="P102" s="82">
        <v>44460.86079861111</v>
      </c>
      <c r="Q102" s="80" t="s">
        <v>426</v>
      </c>
      <c r="R102" s="80"/>
      <c r="S102" s="80"/>
      <c r="T102" s="85" t="s">
        <v>499</v>
      </c>
      <c r="U102" s="83" t="str">
        <f>HYPERLINK("https://pbs.twimg.com/media/E_1Ow97UUAYV0Is.jpg")</f>
        <v>https://pbs.twimg.com/media/E_1Ow97UUAYV0Is.jpg</v>
      </c>
      <c r="V102" s="83" t="str">
        <f>HYPERLINK("https://pbs.twimg.com/media/E_1Ow97UUAYV0Is.jpg")</f>
        <v>https://pbs.twimg.com/media/E_1Ow97UUAYV0Is.jpg</v>
      </c>
      <c r="W102" s="82">
        <v>44460.86079861111</v>
      </c>
      <c r="X102" s="88">
        <v>44460</v>
      </c>
      <c r="Y102" s="85" t="s">
        <v>616</v>
      </c>
      <c r="Z102" s="83" t="str">
        <f>HYPERLINK("https://twitter.com/el7vicio/status/1440415426370949124")</f>
        <v>https://twitter.com/el7vicio/status/1440415426370949124</v>
      </c>
      <c r="AA102" s="80"/>
      <c r="AB102" s="80"/>
      <c r="AC102" s="85" t="s">
        <v>789</v>
      </c>
      <c r="AD102" s="80"/>
      <c r="AE102" s="80" t="b">
        <v>0</v>
      </c>
      <c r="AF102" s="80">
        <v>0</v>
      </c>
      <c r="AG102" s="85" t="s">
        <v>871</v>
      </c>
      <c r="AH102" s="80" t="b">
        <v>0</v>
      </c>
      <c r="AI102" s="80" t="s">
        <v>882</v>
      </c>
      <c r="AJ102" s="80"/>
      <c r="AK102" s="85" t="s">
        <v>871</v>
      </c>
      <c r="AL102" s="80" t="b">
        <v>0</v>
      </c>
      <c r="AM102" s="80">
        <v>3</v>
      </c>
      <c r="AN102" s="85" t="s">
        <v>857</v>
      </c>
      <c r="AO102" s="85" t="s">
        <v>890</v>
      </c>
      <c r="AP102" s="80" t="b">
        <v>0</v>
      </c>
      <c r="AQ102" s="85" t="s">
        <v>857</v>
      </c>
      <c r="AR102" s="80" t="s">
        <v>178</v>
      </c>
      <c r="AS102" s="80">
        <v>0</v>
      </c>
      <c r="AT102" s="80">
        <v>0</v>
      </c>
      <c r="AU102" s="80"/>
      <c r="AV102" s="80"/>
      <c r="AW102" s="80"/>
      <c r="AX102" s="80"/>
      <c r="AY102" s="80"/>
      <c r="AZ102" s="80"/>
      <c r="BA102" s="80"/>
      <c r="BB102" s="80"/>
      <c r="BC102">
        <v>1</v>
      </c>
      <c r="BD102" s="79" t="str">
        <f>REPLACE(INDEX(GroupVertices[Group],MATCH(Edges35[[#This Row],[Vertex 1]],GroupVertices[Vertex],0)),1,1,"")</f>
        <v>7</v>
      </c>
      <c r="BE102" s="79" t="str">
        <f>REPLACE(INDEX(GroupVertices[Group],MATCH(Edges35[[#This Row],[Vertex 2]],GroupVertices[Vertex],0)),1,1,"")</f>
        <v>7</v>
      </c>
      <c r="BF102" s="49"/>
      <c r="BG102" s="50"/>
      <c r="BH102" s="49"/>
      <c r="BI102" s="50"/>
      <c r="BJ102" s="49"/>
      <c r="BK102" s="50"/>
      <c r="BL102" s="49"/>
      <c r="BM102" s="50"/>
      <c r="BN102" s="49"/>
    </row>
    <row r="103" spans="1:66" ht="15">
      <c r="A103" s="65" t="s">
        <v>296</v>
      </c>
      <c r="B103" s="65" t="s">
        <v>296</v>
      </c>
      <c r="C103" s="66" t="s">
        <v>2647</v>
      </c>
      <c r="D103" s="67">
        <v>5</v>
      </c>
      <c r="E103" s="68"/>
      <c r="F103" s="69">
        <v>40</v>
      </c>
      <c r="G103" s="66"/>
      <c r="H103" s="70"/>
      <c r="I103" s="71"/>
      <c r="J103" s="71"/>
      <c r="K103" s="35" t="s">
        <v>65</v>
      </c>
      <c r="L103" s="78">
        <v>165</v>
      </c>
      <c r="M103" s="78"/>
      <c r="N103" s="73"/>
      <c r="O103" s="80" t="s">
        <v>178</v>
      </c>
      <c r="P103" s="82">
        <v>44460.86170138889</v>
      </c>
      <c r="Q103" s="80" t="s">
        <v>427</v>
      </c>
      <c r="R103" s="80"/>
      <c r="S103" s="80"/>
      <c r="T103" s="85" t="s">
        <v>500</v>
      </c>
      <c r="U103" s="80"/>
      <c r="V103" s="83" t="str">
        <f>HYPERLINK("https://pbs.twimg.com/profile_images/830271639027798016/zsgYnpWH_normal.jpg")</f>
        <v>https://pbs.twimg.com/profile_images/830271639027798016/zsgYnpWH_normal.jpg</v>
      </c>
      <c r="W103" s="82">
        <v>44460.86170138889</v>
      </c>
      <c r="X103" s="88">
        <v>44460</v>
      </c>
      <c r="Y103" s="85" t="s">
        <v>617</v>
      </c>
      <c r="Z103" s="83" t="str">
        <f>HYPERLINK("https://twitter.com/jorgeberna/status/1440415752335466511")</f>
        <v>https://twitter.com/jorgeberna/status/1440415752335466511</v>
      </c>
      <c r="AA103" s="80"/>
      <c r="AB103" s="80"/>
      <c r="AC103" s="85" t="s">
        <v>790</v>
      </c>
      <c r="AD103" s="80"/>
      <c r="AE103" s="80" t="b">
        <v>0</v>
      </c>
      <c r="AF103" s="80">
        <v>1</v>
      </c>
      <c r="AG103" s="85" t="s">
        <v>871</v>
      </c>
      <c r="AH103" s="80" t="b">
        <v>0</v>
      </c>
      <c r="AI103" s="80" t="s">
        <v>882</v>
      </c>
      <c r="AJ103" s="80"/>
      <c r="AK103" s="85" t="s">
        <v>871</v>
      </c>
      <c r="AL103" s="80" t="b">
        <v>0</v>
      </c>
      <c r="AM103" s="80">
        <v>0</v>
      </c>
      <c r="AN103" s="85" t="s">
        <v>871</v>
      </c>
      <c r="AO103" s="85" t="s">
        <v>890</v>
      </c>
      <c r="AP103" s="80" t="b">
        <v>0</v>
      </c>
      <c r="AQ103" s="85" t="s">
        <v>790</v>
      </c>
      <c r="AR103" s="80" t="s">
        <v>178</v>
      </c>
      <c r="AS103" s="80">
        <v>0</v>
      </c>
      <c r="AT103" s="80">
        <v>0</v>
      </c>
      <c r="AU103" s="80"/>
      <c r="AV103" s="80"/>
      <c r="AW103" s="80"/>
      <c r="AX103" s="80"/>
      <c r="AY103" s="80"/>
      <c r="AZ103" s="80"/>
      <c r="BA103" s="80"/>
      <c r="BB103" s="80"/>
      <c r="BC103">
        <v>1</v>
      </c>
      <c r="BD103" s="79" t="str">
        <f>REPLACE(INDEX(GroupVertices[Group],MATCH(Edges35[[#This Row],[Vertex 1]],GroupVertices[Vertex],0)),1,1,"")</f>
        <v>4</v>
      </c>
      <c r="BE103" s="79" t="str">
        <f>REPLACE(INDEX(GroupVertices[Group],MATCH(Edges35[[#This Row],[Vertex 2]],GroupVertices[Vertex],0)),1,1,"")</f>
        <v>4</v>
      </c>
      <c r="BF103" s="49">
        <v>0</v>
      </c>
      <c r="BG103" s="50">
        <v>0</v>
      </c>
      <c r="BH103" s="49">
        <v>0</v>
      </c>
      <c r="BI103" s="50">
        <v>0</v>
      </c>
      <c r="BJ103" s="49">
        <v>0</v>
      </c>
      <c r="BK103" s="50">
        <v>0</v>
      </c>
      <c r="BL103" s="49">
        <v>28</v>
      </c>
      <c r="BM103" s="50">
        <v>100</v>
      </c>
      <c r="BN103" s="49">
        <v>28</v>
      </c>
    </row>
    <row r="104" spans="1:66" ht="15">
      <c r="A104" s="65" t="s">
        <v>297</v>
      </c>
      <c r="B104" s="65" t="s">
        <v>332</v>
      </c>
      <c r="C104" s="66" t="s">
        <v>2647</v>
      </c>
      <c r="D104" s="67">
        <v>5</v>
      </c>
      <c r="E104" s="68"/>
      <c r="F104" s="69">
        <v>40</v>
      </c>
      <c r="G104" s="66"/>
      <c r="H104" s="70"/>
      <c r="I104" s="71"/>
      <c r="J104" s="71"/>
      <c r="K104" s="35" t="s">
        <v>65</v>
      </c>
      <c r="L104" s="78">
        <v>166</v>
      </c>
      <c r="M104" s="78"/>
      <c r="N104" s="73"/>
      <c r="O104" s="80" t="s">
        <v>383</v>
      </c>
      <c r="P104" s="82">
        <v>44460.86759259259</v>
      </c>
      <c r="Q104" s="80" t="s">
        <v>425</v>
      </c>
      <c r="R104" s="80"/>
      <c r="S104" s="80"/>
      <c r="T104" s="85" t="s">
        <v>498</v>
      </c>
      <c r="U104" s="83" t="str">
        <f>HYPERLINK("https://pbs.twimg.com/media/E_1U1pPVEAImP5O.jpg")</f>
        <v>https://pbs.twimg.com/media/E_1U1pPVEAImP5O.jpg</v>
      </c>
      <c r="V104" s="83" t="str">
        <f>HYPERLINK("https://pbs.twimg.com/media/E_1U1pPVEAImP5O.jpg")</f>
        <v>https://pbs.twimg.com/media/E_1U1pPVEAImP5O.jpg</v>
      </c>
      <c r="W104" s="82">
        <v>44460.86759259259</v>
      </c>
      <c r="X104" s="88">
        <v>44460</v>
      </c>
      <c r="Y104" s="85" t="s">
        <v>618</v>
      </c>
      <c r="Z104" s="83" t="str">
        <f>HYPERLINK("https://twitter.com/janethsot/status/1440417885805965312")</f>
        <v>https://twitter.com/janethsot/status/1440417885805965312</v>
      </c>
      <c r="AA104" s="80"/>
      <c r="AB104" s="80"/>
      <c r="AC104" s="85" t="s">
        <v>791</v>
      </c>
      <c r="AD104" s="80"/>
      <c r="AE104" s="80" t="b">
        <v>0</v>
      </c>
      <c r="AF104" s="80">
        <v>0</v>
      </c>
      <c r="AG104" s="85" t="s">
        <v>871</v>
      </c>
      <c r="AH104" s="80" t="b">
        <v>0</v>
      </c>
      <c r="AI104" s="80" t="s">
        <v>882</v>
      </c>
      <c r="AJ104" s="80"/>
      <c r="AK104" s="85" t="s">
        <v>871</v>
      </c>
      <c r="AL104" s="80" t="b">
        <v>0</v>
      </c>
      <c r="AM104" s="80">
        <v>36</v>
      </c>
      <c r="AN104" s="85" t="s">
        <v>830</v>
      </c>
      <c r="AO104" s="85" t="s">
        <v>889</v>
      </c>
      <c r="AP104" s="80" t="b">
        <v>0</v>
      </c>
      <c r="AQ104" s="85" t="s">
        <v>830</v>
      </c>
      <c r="AR104" s="80" t="s">
        <v>178</v>
      </c>
      <c r="AS104" s="80">
        <v>0</v>
      </c>
      <c r="AT104" s="80">
        <v>0</v>
      </c>
      <c r="AU104" s="80"/>
      <c r="AV104" s="80"/>
      <c r="AW104" s="80"/>
      <c r="AX104" s="80"/>
      <c r="AY104" s="80"/>
      <c r="AZ104" s="80"/>
      <c r="BA104" s="80"/>
      <c r="BB104" s="80"/>
      <c r="BC104">
        <v>1</v>
      </c>
      <c r="BD104" s="79" t="str">
        <f>REPLACE(INDEX(GroupVertices[Group],MATCH(Edges35[[#This Row],[Vertex 1]],GroupVertices[Vertex],0)),1,1,"")</f>
        <v>1</v>
      </c>
      <c r="BE104" s="79" t="str">
        <f>REPLACE(INDEX(GroupVertices[Group],MATCH(Edges35[[#This Row],[Vertex 2]],GroupVertices[Vertex],0)),1,1,"")</f>
        <v>1</v>
      </c>
      <c r="BF104" s="49">
        <v>0</v>
      </c>
      <c r="BG104" s="50">
        <v>0</v>
      </c>
      <c r="BH104" s="49">
        <v>0</v>
      </c>
      <c r="BI104" s="50">
        <v>0</v>
      </c>
      <c r="BJ104" s="49">
        <v>0</v>
      </c>
      <c r="BK104" s="50">
        <v>0</v>
      </c>
      <c r="BL104" s="49">
        <v>38</v>
      </c>
      <c r="BM104" s="50">
        <v>100</v>
      </c>
      <c r="BN104" s="49">
        <v>38</v>
      </c>
    </row>
    <row r="105" spans="1:66" ht="15">
      <c r="A105" s="65" t="s">
        <v>298</v>
      </c>
      <c r="B105" s="65" t="s">
        <v>332</v>
      </c>
      <c r="C105" s="66" t="s">
        <v>2647</v>
      </c>
      <c r="D105" s="67">
        <v>5</v>
      </c>
      <c r="E105" s="68"/>
      <c r="F105" s="69">
        <v>40</v>
      </c>
      <c r="G105" s="66"/>
      <c r="H105" s="70"/>
      <c r="I105" s="71"/>
      <c r="J105" s="71"/>
      <c r="K105" s="35" t="s">
        <v>65</v>
      </c>
      <c r="L105" s="78">
        <v>167</v>
      </c>
      <c r="M105" s="78"/>
      <c r="N105" s="73"/>
      <c r="O105" s="80" t="s">
        <v>383</v>
      </c>
      <c r="P105" s="82">
        <v>44460.88575231482</v>
      </c>
      <c r="Q105" s="80" t="s">
        <v>425</v>
      </c>
      <c r="R105" s="80"/>
      <c r="S105" s="80"/>
      <c r="T105" s="85" t="s">
        <v>498</v>
      </c>
      <c r="U105" s="83" t="str">
        <f>HYPERLINK("https://pbs.twimg.com/media/E_1U1pPVEAImP5O.jpg")</f>
        <v>https://pbs.twimg.com/media/E_1U1pPVEAImP5O.jpg</v>
      </c>
      <c r="V105" s="83" t="str">
        <f>HYPERLINK("https://pbs.twimg.com/media/E_1U1pPVEAImP5O.jpg")</f>
        <v>https://pbs.twimg.com/media/E_1U1pPVEAImP5O.jpg</v>
      </c>
      <c r="W105" s="82">
        <v>44460.88575231482</v>
      </c>
      <c r="X105" s="88">
        <v>44460</v>
      </c>
      <c r="Y105" s="85" t="s">
        <v>619</v>
      </c>
      <c r="Z105" s="83" t="str">
        <f>HYPERLINK("https://twitter.com/javierazua7/status/1440424468191481858")</f>
        <v>https://twitter.com/javierazua7/status/1440424468191481858</v>
      </c>
      <c r="AA105" s="80"/>
      <c r="AB105" s="80"/>
      <c r="AC105" s="85" t="s">
        <v>792</v>
      </c>
      <c r="AD105" s="80"/>
      <c r="AE105" s="80" t="b">
        <v>0</v>
      </c>
      <c r="AF105" s="80">
        <v>0</v>
      </c>
      <c r="AG105" s="85" t="s">
        <v>871</v>
      </c>
      <c r="AH105" s="80" t="b">
        <v>0</v>
      </c>
      <c r="AI105" s="80" t="s">
        <v>882</v>
      </c>
      <c r="AJ105" s="80"/>
      <c r="AK105" s="85" t="s">
        <v>871</v>
      </c>
      <c r="AL105" s="80" t="b">
        <v>0</v>
      </c>
      <c r="AM105" s="80">
        <v>36</v>
      </c>
      <c r="AN105" s="85" t="s">
        <v>830</v>
      </c>
      <c r="AO105" s="85" t="s">
        <v>889</v>
      </c>
      <c r="AP105" s="80" t="b">
        <v>0</v>
      </c>
      <c r="AQ105" s="85" t="s">
        <v>830</v>
      </c>
      <c r="AR105" s="80" t="s">
        <v>178</v>
      </c>
      <c r="AS105" s="80">
        <v>0</v>
      </c>
      <c r="AT105" s="80">
        <v>0</v>
      </c>
      <c r="AU105" s="80"/>
      <c r="AV105" s="80"/>
      <c r="AW105" s="80"/>
      <c r="AX105" s="80"/>
      <c r="AY105" s="80"/>
      <c r="AZ105" s="80"/>
      <c r="BA105" s="80"/>
      <c r="BB105" s="80"/>
      <c r="BC105">
        <v>1</v>
      </c>
      <c r="BD105" s="79" t="str">
        <f>REPLACE(INDEX(GroupVertices[Group],MATCH(Edges35[[#This Row],[Vertex 1]],GroupVertices[Vertex],0)),1,1,"")</f>
        <v>1</v>
      </c>
      <c r="BE105" s="79" t="str">
        <f>REPLACE(INDEX(GroupVertices[Group],MATCH(Edges35[[#This Row],[Vertex 2]],GroupVertices[Vertex],0)),1,1,"")</f>
        <v>1</v>
      </c>
      <c r="BF105" s="49">
        <v>0</v>
      </c>
      <c r="BG105" s="50">
        <v>0</v>
      </c>
      <c r="BH105" s="49">
        <v>0</v>
      </c>
      <c r="BI105" s="50">
        <v>0</v>
      </c>
      <c r="BJ105" s="49">
        <v>0</v>
      </c>
      <c r="BK105" s="50">
        <v>0</v>
      </c>
      <c r="BL105" s="49">
        <v>38</v>
      </c>
      <c r="BM105" s="50">
        <v>100</v>
      </c>
      <c r="BN105" s="49">
        <v>38</v>
      </c>
    </row>
    <row r="106" spans="1:66" ht="15">
      <c r="A106" s="65" t="s">
        <v>269</v>
      </c>
      <c r="B106" s="65" t="s">
        <v>269</v>
      </c>
      <c r="C106" s="66" t="s">
        <v>2648</v>
      </c>
      <c r="D106" s="67">
        <v>10</v>
      </c>
      <c r="E106" s="68"/>
      <c r="F106" s="69">
        <v>20</v>
      </c>
      <c r="G106" s="66"/>
      <c r="H106" s="70"/>
      <c r="I106" s="71"/>
      <c r="J106" s="71"/>
      <c r="K106" s="35" t="s">
        <v>65</v>
      </c>
      <c r="L106" s="78">
        <v>168</v>
      </c>
      <c r="M106" s="78"/>
      <c r="N106" s="73"/>
      <c r="O106" s="80" t="s">
        <v>178</v>
      </c>
      <c r="P106" s="82">
        <v>44456.51936342593</v>
      </c>
      <c r="Q106" s="80" t="s">
        <v>389</v>
      </c>
      <c r="R106" s="83" t="str">
        <f>HYPERLINK("https://www.diariodelsur.com.mx/local/activa-guardia-nacional-busqueda-de-migrantes-en-taxis-7222717.html")</f>
        <v>https://www.diariodelsur.com.mx/local/activa-guardia-nacional-busqueda-de-migrantes-en-taxis-7222717.html</v>
      </c>
      <c r="S106" s="80" t="s">
        <v>451</v>
      </c>
      <c r="T106" s="85" t="s">
        <v>470</v>
      </c>
      <c r="U106" s="80"/>
      <c r="V106" s="83" t="str">
        <f>HYPERLINK("https://pbs.twimg.com/profile_images/1290604044021637121/mkF_MKL3_normal.jpg")</f>
        <v>https://pbs.twimg.com/profile_images/1290604044021637121/mkF_MKL3_normal.jpg</v>
      </c>
      <c r="W106" s="82">
        <v>44456.51936342593</v>
      </c>
      <c r="X106" s="88">
        <v>44456</v>
      </c>
      <c r="Y106" s="85" t="s">
        <v>620</v>
      </c>
      <c r="Z106" s="83" t="str">
        <f>HYPERLINK("https://twitter.com/chrispeverieri/status/1438842141804056579")</f>
        <v>https://twitter.com/chrispeverieri/status/1438842141804056579</v>
      </c>
      <c r="AA106" s="80"/>
      <c r="AB106" s="80"/>
      <c r="AC106" s="85" t="s">
        <v>793</v>
      </c>
      <c r="AD106" s="80"/>
      <c r="AE106" s="80" t="b">
        <v>0</v>
      </c>
      <c r="AF106" s="80">
        <v>5</v>
      </c>
      <c r="AG106" s="85" t="s">
        <v>871</v>
      </c>
      <c r="AH106" s="80" t="b">
        <v>0</v>
      </c>
      <c r="AI106" s="80" t="s">
        <v>883</v>
      </c>
      <c r="AJ106" s="80"/>
      <c r="AK106" s="85" t="s">
        <v>871</v>
      </c>
      <c r="AL106" s="80" t="b">
        <v>0</v>
      </c>
      <c r="AM106" s="80">
        <v>4</v>
      </c>
      <c r="AN106" s="85" t="s">
        <v>871</v>
      </c>
      <c r="AO106" s="85" t="s">
        <v>890</v>
      </c>
      <c r="AP106" s="80" t="b">
        <v>0</v>
      </c>
      <c r="AQ106" s="85" t="s">
        <v>793</v>
      </c>
      <c r="AR106" s="80" t="s">
        <v>178</v>
      </c>
      <c r="AS106" s="80">
        <v>0</v>
      </c>
      <c r="AT106" s="80">
        <v>0</v>
      </c>
      <c r="AU106" s="80"/>
      <c r="AV106" s="80"/>
      <c r="AW106" s="80"/>
      <c r="AX106" s="80"/>
      <c r="AY106" s="80"/>
      <c r="AZ106" s="80"/>
      <c r="BA106" s="80"/>
      <c r="BB106" s="80"/>
      <c r="BC106">
        <v>9</v>
      </c>
      <c r="BD106" s="79" t="str">
        <f>REPLACE(INDEX(GroupVertices[Group],MATCH(Edges35[[#This Row],[Vertex 1]],GroupVertices[Vertex],0)),1,1,"")</f>
        <v>3</v>
      </c>
      <c r="BE106" s="79" t="str">
        <f>REPLACE(INDEX(GroupVertices[Group],MATCH(Edges35[[#This Row],[Vertex 2]],GroupVertices[Vertex],0)),1,1,"")</f>
        <v>3</v>
      </c>
      <c r="BF106" s="49">
        <v>1</v>
      </c>
      <c r="BG106" s="50">
        <v>2.5</v>
      </c>
      <c r="BH106" s="49">
        <v>0</v>
      </c>
      <c r="BI106" s="50">
        <v>0</v>
      </c>
      <c r="BJ106" s="49">
        <v>0</v>
      </c>
      <c r="BK106" s="50">
        <v>0</v>
      </c>
      <c r="BL106" s="49">
        <v>39</v>
      </c>
      <c r="BM106" s="50">
        <v>97.5</v>
      </c>
      <c r="BN106" s="49">
        <v>40</v>
      </c>
    </row>
    <row r="107" spans="1:66" ht="15">
      <c r="A107" s="65" t="s">
        <v>269</v>
      </c>
      <c r="B107" s="65" t="s">
        <v>269</v>
      </c>
      <c r="C107" s="66" t="s">
        <v>2648</v>
      </c>
      <c r="D107" s="67">
        <v>10</v>
      </c>
      <c r="E107" s="68"/>
      <c r="F107" s="69">
        <v>20</v>
      </c>
      <c r="G107" s="66"/>
      <c r="H107" s="70"/>
      <c r="I107" s="71"/>
      <c r="J107" s="71"/>
      <c r="K107" s="35" t="s">
        <v>65</v>
      </c>
      <c r="L107" s="78">
        <v>169</v>
      </c>
      <c r="M107" s="78"/>
      <c r="N107" s="73"/>
      <c r="O107" s="80" t="s">
        <v>178</v>
      </c>
      <c r="P107" s="82">
        <v>44456.87774305556</v>
      </c>
      <c r="Q107" s="80" t="s">
        <v>393</v>
      </c>
      <c r="R107" s="83" t="str">
        <f>HYPERLINK("https://movimientomigrantemesoamericano.org/2021/09/16/se-desborda-flujo-migratorio/")</f>
        <v>https://movimientomigrantemesoamericano.org/2021/09/16/se-desborda-flujo-migratorio/</v>
      </c>
      <c r="S107" s="80" t="s">
        <v>453</v>
      </c>
      <c r="T107" s="85" t="s">
        <v>474</v>
      </c>
      <c r="U107" s="80"/>
      <c r="V107" s="83" t="str">
        <f>HYPERLINK("https://pbs.twimg.com/profile_images/1290604044021637121/mkF_MKL3_normal.jpg")</f>
        <v>https://pbs.twimg.com/profile_images/1290604044021637121/mkF_MKL3_normal.jpg</v>
      </c>
      <c r="W107" s="82">
        <v>44456.87774305556</v>
      </c>
      <c r="X107" s="88">
        <v>44456</v>
      </c>
      <c r="Y107" s="85" t="s">
        <v>621</v>
      </c>
      <c r="Z107" s="83" t="str">
        <f>HYPERLINK("https://twitter.com/chrispeverieri/status/1438972013033529344")</f>
        <v>https://twitter.com/chrispeverieri/status/1438972013033529344</v>
      </c>
      <c r="AA107" s="80"/>
      <c r="AB107" s="80"/>
      <c r="AC107" s="85" t="s">
        <v>794</v>
      </c>
      <c r="AD107" s="80"/>
      <c r="AE107" s="80" t="b">
        <v>0</v>
      </c>
      <c r="AF107" s="80">
        <v>2</v>
      </c>
      <c r="AG107" s="85" t="s">
        <v>871</v>
      </c>
      <c r="AH107" s="80" t="b">
        <v>0</v>
      </c>
      <c r="AI107" s="80" t="s">
        <v>883</v>
      </c>
      <c r="AJ107" s="80"/>
      <c r="AK107" s="85" t="s">
        <v>871</v>
      </c>
      <c r="AL107" s="80" t="b">
        <v>0</v>
      </c>
      <c r="AM107" s="80">
        <v>2</v>
      </c>
      <c r="AN107" s="85" t="s">
        <v>871</v>
      </c>
      <c r="AO107" s="85" t="s">
        <v>890</v>
      </c>
      <c r="AP107" s="80" t="b">
        <v>0</v>
      </c>
      <c r="AQ107" s="85" t="s">
        <v>794</v>
      </c>
      <c r="AR107" s="80" t="s">
        <v>178</v>
      </c>
      <c r="AS107" s="80">
        <v>0</v>
      </c>
      <c r="AT107" s="80">
        <v>0</v>
      </c>
      <c r="AU107" s="80"/>
      <c r="AV107" s="80"/>
      <c r="AW107" s="80"/>
      <c r="AX107" s="80"/>
      <c r="AY107" s="80"/>
      <c r="AZ107" s="80"/>
      <c r="BA107" s="80"/>
      <c r="BB107" s="80"/>
      <c r="BC107">
        <v>9</v>
      </c>
      <c r="BD107" s="79" t="str">
        <f>REPLACE(INDEX(GroupVertices[Group],MATCH(Edges35[[#This Row],[Vertex 1]],GroupVertices[Vertex],0)),1,1,"")</f>
        <v>3</v>
      </c>
      <c r="BE107" s="79" t="str">
        <f>REPLACE(INDEX(GroupVertices[Group],MATCH(Edges35[[#This Row],[Vertex 2]],GroupVertices[Vertex],0)),1,1,"")</f>
        <v>3</v>
      </c>
      <c r="BF107" s="49">
        <v>0</v>
      </c>
      <c r="BG107" s="50">
        <v>0</v>
      </c>
      <c r="BH107" s="49">
        <v>0</v>
      </c>
      <c r="BI107" s="50">
        <v>0</v>
      </c>
      <c r="BJ107" s="49">
        <v>0</v>
      </c>
      <c r="BK107" s="50">
        <v>0</v>
      </c>
      <c r="BL107" s="49">
        <v>29</v>
      </c>
      <c r="BM107" s="50">
        <v>100</v>
      </c>
      <c r="BN107" s="49">
        <v>29</v>
      </c>
    </row>
    <row r="108" spans="1:66" ht="15">
      <c r="A108" s="65" t="s">
        <v>269</v>
      </c>
      <c r="B108" s="65" t="s">
        <v>269</v>
      </c>
      <c r="C108" s="66" t="s">
        <v>2648</v>
      </c>
      <c r="D108" s="67">
        <v>10</v>
      </c>
      <c r="E108" s="68"/>
      <c r="F108" s="69">
        <v>20</v>
      </c>
      <c r="G108" s="66"/>
      <c r="H108" s="70"/>
      <c r="I108" s="71"/>
      <c r="J108" s="71"/>
      <c r="K108" s="35" t="s">
        <v>65</v>
      </c>
      <c r="L108" s="78">
        <v>170</v>
      </c>
      <c r="M108" s="78"/>
      <c r="N108" s="73"/>
      <c r="O108" s="80" t="s">
        <v>178</v>
      </c>
      <c r="P108" s="82">
        <v>44460.499444444446</v>
      </c>
      <c r="Q108" s="80" t="s">
        <v>420</v>
      </c>
      <c r="R108" s="83" t="str">
        <f>HYPERLINK("https://www.diariodelsur.com.mx/local/migrantes-intentan-salir-de-chiapas-con-rumbo-a-veracruz-7237222.html")</f>
        <v>https://www.diariodelsur.com.mx/local/migrantes-intentan-salir-de-chiapas-con-rumbo-a-veracruz-7237222.html</v>
      </c>
      <c r="S108" s="80" t="s">
        <v>451</v>
      </c>
      <c r="T108" s="85" t="s">
        <v>493</v>
      </c>
      <c r="U108" s="80"/>
      <c r="V108" s="83" t="str">
        <f>HYPERLINK("https://pbs.twimg.com/profile_images/1290604044021637121/mkF_MKL3_normal.jpg")</f>
        <v>https://pbs.twimg.com/profile_images/1290604044021637121/mkF_MKL3_normal.jpg</v>
      </c>
      <c r="W108" s="82">
        <v>44460.499444444446</v>
      </c>
      <c r="X108" s="88">
        <v>44460</v>
      </c>
      <c r="Y108" s="85" t="s">
        <v>622</v>
      </c>
      <c r="Z108" s="83" t="str">
        <f>HYPERLINK("https://twitter.com/chrispeverieri/status/1440284475644993555")</f>
        <v>https://twitter.com/chrispeverieri/status/1440284475644993555</v>
      </c>
      <c r="AA108" s="80"/>
      <c r="AB108" s="80"/>
      <c r="AC108" s="85" t="s">
        <v>795</v>
      </c>
      <c r="AD108" s="80"/>
      <c r="AE108" s="80" t="b">
        <v>0</v>
      </c>
      <c r="AF108" s="80">
        <v>3</v>
      </c>
      <c r="AG108" s="85" t="s">
        <v>871</v>
      </c>
      <c r="AH108" s="80" t="b">
        <v>0</v>
      </c>
      <c r="AI108" s="80" t="s">
        <v>883</v>
      </c>
      <c r="AJ108" s="80"/>
      <c r="AK108" s="85" t="s">
        <v>871</v>
      </c>
      <c r="AL108" s="80" t="b">
        <v>0</v>
      </c>
      <c r="AM108" s="80">
        <v>3</v>
      </c>
      <c r="AN108" s="85" t="s">
        <v>871</v>
      </c>
      <c r="AO108" s="85" t="s">
        <v>890</v>
      </c>
      <c r="AP108" s="80" t="b">
        <v>0</v>
      </c>
      <c r="AQ108" s="85" t="s">
        <v>795</v>
      </c>
      <c r="AR108" s="80" t="s">
        <v>178</v>
      </c>
      <c r="AS108" s="80">
        <v>0</v>
      </c>
      <c r="AT108" s="80">
        <v>0</v>
      </c>
      <c r="AU108" s="80"/>
      <c r="AV108" s="80"/>
      <c r="AW108" s="80"/>
      <c r="AX108" s="80"/>
      <c r="AY108" s="80"/>
      <c r="AZ108" s="80"/>
      <c r="BA108" s="80"/>
      <c r="BB108" s="80"/>
      <c r="BC108">
        <v>9</v>
      </c>
      <c r="BD108" s="79" t="str">
        <f>REPLACE(INDEX(GroupVertices[Group],MATCH(Edges35[[#This Row],[Vertex 1]],GroupVertices[Vertex],0)),1,1,"")</f>
        <v>3</v>
      </c>
      <c r="BE108" s="79" t="str">
        <f>REPLACE(INDEX(GroupVertices[Group],MATCH(Edges35[[#This Row],[Vertex 2]],GroupVertices[Vertex],0)),1,1,"")</f>
        <v>3</v>
      </c>
      <c r="BF108" s="49">
        <v>0</v>
      </c>
      <c r="BG108" s="50">
        <v>0</v>
      </c>
      <c r="BH108" s="49">
        <v>0</v>
      </c>
      <c r="BI108" s="50">
        <v>0</v>
      </c>
      <c r="BJ108" s="49">
        <v>0</v>
      </c>
      <c r="BK108" s="50">
        <v>0</v>
      </c>
      <c r="BL108" s="49">
        <v>35</v>
      </c>
      <c r="BM108" s="50">
        <v>100</v>
      </c>
      <c r="BN108" s="49">
        <v>35</v>
      </c>
    </row>
    <row r="109" spans="1:66" ht="15">
      <c r="A109" s="65" t="s">
        <v>299</v>
      </c>
      <c r="B109" s="65" t="s">
        <v>269</v>
      </c>
      <c r="C109" s="66" t="s">
        <v>2647</v>
      </c>
      <c r="D109" s="67">
        <v>5</v>
      </c>
      <c r="E109" s="68"/>
      <c r="F109" s="69">
        <v>40</v>
      </c>
      <c r="G109" s="66"/>
      <c r="H109" s="70"/>
      <c r="I109" s="71"/>
      <c r="J109" s="71"/>
      <c r="K109" s="35" t="s">
        <v>65</v>
      </c>
      <c r="L109" s="78">
        <v>171</v>
      </c>
      <c r="M109" s="78"/>
      <c r="N109" s="73"/>
      <c r="O109" s="80" t="s">
        <v>383</v>
      </c>
      <c r="P109" s="82">
        <v>44460.89082175926</v>
      </c>
      <c r="Q109" s="80" t="s">
        <v>420</v>
      </c>
      <c r="R109" s="83" t="str">
        <f>HYPERLINK("https://www.diariodelsur.com.mx/local/migrantes-intentan-salir-de-chiapas-con-rumbo-a-veracruz-7237222.html")</f>
        <v>https://www.diariodelsur.com.mx/local/migrantes-intentan-salir-de-chiapas-con-rumbo-a-veracruz-7237222.html</v>
      </c>
      <c r="S109" s="80" t="s">
        <v>451</v>
      </c>
      <c r="T109" s="85" t="s">
        <v>493</v>
      </c>
      <c r="U109" s="80"/>
      <c r="V109" s="83" t="str">
        <f>HYPERLINK("https://pbs.twimg.com/profile_images/2370229040/catrina504_normal.jpg")</f>
        <v>https://pbs.twimg.com/profile_images/2370229040/catrina504_normal.jpg</v>
      </c>
      <c r="W109" s="82">
        <v>44460.89082175926</v>
      </c>
      <c r="X109" s="88">
        <v>44460</v>
      </c>
      <c r="Y109" s="85" t="s">
        <v>623</v>
      </c>
      <c r="Z109" s="83" t="str">
        <f>HYPERLINK("https://twitter.com/selvita_sil/status/1440426302670921730")</f>
        <v>https://twitter.com/selvita_sil/status/1440426302670921730</v>
      </c>
      <c r="AA109" s="80"/>
      <c r="AB109" s="80"/>
      <c r="AC109" s="85" t="s">
        <v>796</v>
      </c>
      <c r="AD109" s="80"/>
      <c r="AE109" s="80" t="b">
        <v>0</v>
      </c>
      <c r="AF109" s="80">
        <v>0</v>
      </c>
      <c r="AG109" s="85" t="s">
        <v>871</v>
      </c>
      <c r="AH109" s="80" t="b">
        <v>0</v>
      </c>
      <c r="AI109" s="80" t="s">
        <v>883</v>
      </c>
      <c r="AJ109" s="80"/>
      <c r="AK109" s="85" t="s">
        <v>871</v>
      </c>
      <c r="AL109" s="80" t="b">
        <v>0</v>
      </c>
      <c r="AM109" s="80">
        <v>3</v>
      </c>
      <c r="AN109" s="85" t="s">
        <v>795</v>
      </c>
      <c r="AO109" s="85" t="s">
        <v>890</v>
      </c>
      <c r="AP109" s="80" t="b">
        <v>0</v>
      </c>
      <c r="AQ109" s="85" t="s">
        <v>795</v>
      </c>
      <c r="AR109" s="80" t="s">
        <v>178</v>
      </c>
      <c r="AS109" s="80">
        <v>0</v>
      </c>
      <c r="AT109" s="80">
        <v>0</v>
      </c>
      <c r="AU109" s="80"/>
      <c r="AV109" s="80"/>
      <c r="AW109" s="80"/>
      <c r="AX109" s="80"/>
      <c r="AY109" s="80"/>
      <c r="AZ109" s="80"/>
      <c r="BA109" s="80"/>
      <c r="BB109" s="80"/>
      <c r="BC109">
        <v>1</v>
      </c>
      <c r="BD109" s="79" t="str">
        <f>REPLACE(INDEX(GroupVertices[Group],MATCH(Edges35[[#This Row],[Vertex 1]],GroupVertices[Vertex],0)),1,1,"")</f>
        <v>3</v>
      </c>
      <c r="BE109" s="79" t="str">
        <f>REPLACE(INDEX(GroupVertices[Group],MATCH(Edges35[[#This Row],[Vertex 2]],GroupVertices[Vertex],0)),1,1,"")</f>
        <v>3</v>
      </c>
      <c r="BF109" s="49">
        <v>0</v>
      </c>
      <c r="BG109" s="50">
        <v>0</v>
      </c>
      <c r="BH109" s="49">
        <v>0</v>
      </c>
      <c r="BI109" s="50">
        <v>0</v>
      </c>
      <c r="BJ109" s="49">
        <v>0</v>
      </c>
      <c r="BK109" s="50">
        <v>0</v>
      </c>
      <c r="BL109" s="49">
        <v>35</v>
      </c>
      <c r="BM109" s="50">
        <v>100</v>
      </c>
      <c r="BN109" s="49">
        <v>35</v>
      </c>
    </row>
    <row r="110" spans="1:66" ht="15">
      <c r="A110" s="65" t="s">
        <v>300</v>
      </c>
      <c r="B110" s="65" t="s">
        <v>332</v>
      </c>
      <c r="C110" s="66" t="s">
        <v>2647</v>
      </c>
      <c r="D110" s="67">
        <v>5</v>
      </c>
      <c r="E110" s="68"/>
      <c r="F110" s="69">
        <v>40</v>
      </c>
      <c r="G110" s="66"/>
      <c r="H110" s="70"/>
      <c r="I110" s="71"/>
      <c r="J110" s="71"/>
      <c r="K110" s="35" t="s">
        <v>65</v>
      </c>
      <c r="L110" s="78">
        <v>172</v>
      </c>
      <c r="M110" s="78"/>
      <c r="N110" s="73"/>
      <c r="O110" s="80" t="s">
        <v>383</v>
      </c>
      <c r="P110" s="82">
        <v>44460.89671296296</v>
      </c>
      <c r="Q110" s="80" t="s">
        <v>425</v>
      </c>
      <c r="R110" s="80"/>
      <c r="S110" s="80"/>
      <c r="T110" s="85" t="s">
        <v>498</v>
      </c>
      <c r="U110" s="83" t="str">
        <f>HYPERLINK("https://pbs.twimg.com/media/E_1U1pPVEAImP5O.jpg")</f>
        <v>https://pbs.twimg.com/media/E_1U1pPVEAImP5O.jpg</v>
      </c>
      <c r="V110" s="83" t="str">
        <f>HYPERLINK("https://pbs.twimg.com/media/E_1U1pPVEAImP5O.jpg")</f>
        <v>https://pbs.twimg.com/media/E_1U1pPVEAImP5O.jpg</v>
      </c>
      <c r="W110" s="82">
        <v>44460.89671296296</v>
      </c>
      <c r="X110" s="88">
        <v>44460</v>
      </c>
      <c r="Y110" s="85" t="s">
        <v>624</v>
      </c>
      <c r="Z110" s="83" t="str">
        <f>HYPERLINK("https://twitter.com/gabhiy_oh/status/1440428439522070548")</f>
        <v>https://twitter.com/gabhiy_oh/status/1440428439522070548</v>
      </c>
      <c r="AA110" s="80"/>
      <c r="AB110" s="80"/>
      <c r="AC110" s="85" t="s">
        <v>797</v>
      </c>
      <c r="AD110" s="80"/>
      <c r="AE110" s="80" t="b">
        <v>0</v>
      </c>
      <c r="AF110" s="80">
        <v>0</v>
      </c>
      <c r="AG110" s="85" t="s">
        <v>871</v>
      </c>
      <c r="AH110" s="80" t="b">
        <v>0</v>
      </c>
      <c r="AI110" s="80" t="s">
        <v>882</v>
      </c>
      <c r="AJ110" s="80"/>
      <c r="AK110" s="85" t="s">
        <v>871</v>
      </c>
      <c r="AL110" s="80" t="b">
        <v>0</v>
      </c>
      <c r="AM110" s="80">
        <v>36</v>
      </c>
      <c r="AN110" s="85" t="s">
        <v>830</v>
      </c>
      <c r="AO110" s="85" t="s">
        <v>889</v>
      </c>
      <c r="AP110" s="80" t="b">
        <v>0</v>
      </c>
      <c r="AQ110" s="85" t="s">
        <v>830</v>
      </c>
      <c r="AR110" s="80" t="s">
        <v>178</v>
      </c>
      <c r="AS110" s="80">
        <v>0</v>
      </c>
      <c r="AT110" s="80">
        <v>0</v>
      </c>
      <c r="AU110" s="80"/>
      <c r="AV110" s="80"/>
      <c r="AW110" s="80"/>
      <c r="AX110" s="80"/>
      <c r="AY110" s="80"/>
      <c r="AZ110" s="80"/>
      <c r="BA110" s="80"/>
      <c r="BB110" s="80"/>
      <c r="BC110">
        <v>1</v>
      </c>
      <c r="BD110" s="79" t="str">
        <f>REPLACE(INDEX(GroupVertices[Group],MATCH(Edges35[[#This Row],[Vertex 1]],GroupVertices[Vertex],0)),1,1,"")</f>
        <v>1</v>
      </c>
      <c r="BE110" s="79" t="str">
        <f>REPLACE(INDEX(GroupVertices[Group],MATCH(Edges35[[#This Row],[Vertex 2]],GroupVertices[Vertex],0)),1,1,"")</f>
        <v>1</v>
      </c>
      <c r="BF110" s="49">
        <v>0</v>
      </c>
      <c r="BG110" s="50">
        <v>0</v>
      </c>
      <c r="BH110" s="49">
        <v>0</v>
      </c>
      <c r="BI110" s="50">
        <v>0</v>
      </c>
      <c r="BJ110" s="49">
        <v>0</v>
      </c>
      <c r="BK110" s="50">
        <v>0</v>
      </c>
      <c r="BL110" s="49">
        <v>38</v>
      </c>
      <c r="BM110" s="50">
        <v>100</v>
      </c>
      <c r="BN110" s="49">
        <v>38</v>
      </c>
    </row>
    <row r="111" spans="1:66" ht="15">
      <c r="A111" s="65" t="s">
        <v>301</v>
      </c>
      <c r="B111" s="65" t="s">
        <v>332</v>
      </c>
      <c r="C111" s="66" t="s">
        <v>2647</v>
      </c>
      <c r="D111" s="67">
        <v>5</v>
      </c>
      <c r="E111" s="68"/>
      <c r="F111" s="69">
        <v>40</v>
      </c>
      <c r="G111" s="66"/>
      <c r="H111" s="70"/>
      <c r="I111" s="71"/>
      <c r="J111" s="71"/>
      <c r="K111" s="35" t="s">
        <v>65</v>
      </c>
      <c r="L111" s="78">
        <v>173</v>
      </c>
      <c r="M111" s="78"/>
      <c r="N111" s="73"/>
      <c r="O111" s="80" t="s">
        <v>383</v>
      </c>
      <c r="P111" s="82">
        <v>44460.92391203704</v>
      </c>
      <c r="Q111" s="80" t="s">
        <v>425</v>
      </c>
      <c r="R111" s="80"/>
      <c r="S111" s="80"/>
      <c r="T111" s="85" t="s">
        <v>498</v>
      </c>
      <c r="U111" s="83" t="str">
        <f>HYPERLINK("https://pbs.twimg.com/media/E_1U1pPVEAImP5O.jpg")</f>
        <v>https://pbs.twimg.com/media/E_1U1pPVEAImP5O.jpg</v>
      </c>
      <c r="V111" s="83" t="str">
        <f>HYPERLINK("https://pbs.twimg.com/media/E_1U1pPVEAImP5O.jpg")</f>
        <v>https://pbs.twimg.com/media/E_1U1pPVEAImP5O.jpg</v>
      </c>
      <c r="W111" s="82">
        <v>44460.92391203704</v>
      </c>
      <c r="X111" s="88">
        <v>44460</v>
      </c>
      <c r="Y111" s="85" t="s">
        <v>625</v>
      </c>
      <c r="Z111" s="83" t="str">
        <f>HYPERLINK("https://twitter.com/agustin60803348/status/1440438296014843912")</f>
        <v>https://twitter.com/agustin60803348/status/1440438296014843912</v>
      </c>
      <c r="AA111" s="80"/>
      <c r="AB111" s="80"/>
      <c r="AC111" s="85" t="s">
        <v>798</v>
      </c>
      <c r="AD111" s="80"/>
      <c r="AE111" s="80" t="b">
        <v>0</v>
      </c>
      <c r="AF111" s="80">
        <v>0</v>
      </c>
      <c r="AG111" s="85" t="s">
        <v>871</v>
      </c>
      <c r="AH111" s="80" t="b">
        <v>0</v>
      </c>
      <c r="AI111" s="80" t="s">
        <v>882</v>
      </c>
      <c r="AJ111" s="80"/>
      <c r="AK111" s="85" t="s">
        <v>871</v>
      </c>
      <c r="AL111" s="80" t="b">
        <v>0</v>
      </c>
      <c r="AM111" s="80">
        <v>36</v>
      </c>
      <c r="AN111" s="85" t="s">
        <v>830</v>
      </c>
      <c r="AO111" s="85" t="s">
        <v>889</v>
      </c>
      <c r="AP111" s="80" t="b">
        <v>0</v>
      </c>
      <c r="AQ111" s="85" t="s">
        <v>830</v>
      </c>
      <c r="AR111" s="80" t="s">
        <v>178</v>
      </c>
      <c r="AS111" s="80">
        <v>0</v>
      </c>
      <c r="AT111" s="80">
        <v>0</v>
      </c>
      <c r="AU111" s="80"/>
      <c r="AV111" s="80"/>
      <c r="AW111" s="80"/>
      <c r="AX111" s="80"/>
      <c r="AY111" s="80"/>
      <c r="AZ111" s="80"/>
      <c r="BA111" s="80"/>
      <c r="BB111" s="80"/>
      <c r="BC111">
        <v>1</v>
      </c>
      <c r="BD111" s="79" t="str">
        <f>REPLACE(INDEX(GroupVertices[Group],MATCH(Edges35[[#This Row],[Vertex 1]],GroupVertices[Vertex],0)),1,1,"")</f>
        <v>1</v>
      </c>
      <c r="BE111" s="79" t="str">
        <f>REPLACE(INDEX(GroupVertices[Group],MATCH(Edges35[[#This Row],[Vertex 2]],GroupVertices[Vertex],0)),1,1,"")</f>
        <v>1</v>
      </c>
      <c r="BF111" s="49">
        <v>0</v>
      </c>
      <c r="BG111" s="50">
        <v>0</v>
      </c>
      <c r="BH111" s="49">
        <v>0</v>
      </c>
      <c r="BI111" s="50">
        <v>0</v>
      </c>
      <c r="BJ111" s="49">
        <v>0</v>
      </c>
      <c r="BK111" s="50">
        <v>0</v>
      </c>
      <c r="BL111" s="49">
        <v>38</v>
      </c>
      <c r="BM111" s="50">
        <v>100</v>
      </c>
      <c r="BN111" s="49">
        <v>38</v>
      </c>
    </row>
    <row r="112" spans="1:66" ht="15">
      <c r="A112" s="65" t="s">
        <v>302</v>
      </c>
      <c r="B112" s="65" t="s">
        <v>332</v>
      </c>
      <c r="C112" s="66" t="s">
        <v>2647</v>
      </c>
      <c r="D112" s="67">
        <v>5</v>
      </c>
      <c r="E112" s="68"/>
      <c r="F112" s="69">
        <v>40</v>
      </c>
      <c r="G112" s="66"/>
      <c r="H112" s="70"/>
      <c r="I112" s="71"/>
      <c r="J112" s="71"/>
      <c r="K112" s="35" t="s">
        <v>65</v>
      </c>
      <c r="L112" s="78">
        <v>174</v>
      </c>
      <c r="M112" s="78"/>
      <c r="N112" s="73"/>
      <c r="O112" s="80" t="s">
        <v>383</v>
      </c>
      <c r="P112" s="82">
        <v>44460.93454861111</v>
      </c>
      <c r="Q112" s="80" t="s">
        <v>425</v>
      </c>
      <c r="R112" s="80"/>
      <c r="S112" s="80"/>
      <c r="T112" s="85" t="s">
        <v>498</v>
      </c>
      <c r="U112" s="83" t="str">
        <f>HYPERLINK("https://pbs.twimg.com/media/E_1U1pPVEAImP5O.jpg")</f>
        <v>https://pbs.twimg.com/media/E_1U1pPVEAImP5O.jpg</v>
      </c>
      <c r="V112" s="83" t="str">
        <f>HYPERLINK("https://pbs.twimg.com/media/E_1U1pPVEAImP5O.jpg")</f>
        <v>https://pbs.twimg.com/media/E_1U1pPVEAImP5O.jpg</v>
      </c>
      <c r="W112" s="82">
        <v>44460.93454861111</v>
      </c>
      <c r="X112" s="88">
        <v>44460</v>
      </c>
      <c r="Y112" s="85" t="s">
        <v>626</v>
      </c>
      <c r="Z112" s="83" t="str">
        <f>HYPERLINK("https://twitter.com/tigre_ttn2/status/1440442149976219656")</f>
        <v>https://twitter.com/tigre_ttn2/status/1440442149976219656</v>
      </c>
      <c r="AA112" s="80"/>
      <c r="AB112" s="80"/>
      <c r="AC112" s="85" t="s">
        <v>799</v>
      </c>
      <c r="AD112" s="80"/>
      <c r="AE112" s="80" t="b">
        <v>0</v>
      </c>
      <c r="AF112" s="80">
        <v>0</v>
      </c>
      <c r="AG112" s="85" t="s">
        <v>871</v>
      </c>
      <c r="AH112" s="80" t="b">
        <v>0</v>
      </c>
      <c r="AI112" s="80" t="s">
        <v>882</v>
      </c>
      <c r="AJ112" s="80"/>
      <c r="AK112" s="85" t="s">
        <v>871</v>
      </c>
      <c r="AL112" s="80" t="b">
        <v>0</v>
      </c>
      <c r="AM112" s="80">
        <v>36</v>
      </c>
      <c r="AN112" s="85" t="s">
        <v>830</v>
      </c>
      <c r="AO112" s="85" t="s">
        <v>889</v>
      </c>
      <c r="AP112" s="80" t="b">
        <v>0</v>
      </c>
      <c r="AQ112" s="85" t="s">
        <v>830</v>
      </c>
      <c r="AR112" s="80" t="s">
        <v>178</v>
      </c>
      <c r="AS112" s="80">
        <v>0</v>
      </c>
      <c r="AT112" s="80">
        <v>0</v>
      </c>
      <c r="AU112" s="80"/>
      <c r="AV112" s="80"/>
      <c r="AW112" s="80"/>
      <c r="AX112" s="80"/>
      <c r="AY112" s="80"/>
      <c r="AZ112" s="80"/>
      <c r="BA112" s="80"/>
      <c r="BB112" s="80"/>
      <c r="BC112">
        <v>1</v>
      </c>
      <c r="BD112" s="79" t="str">
        <f>REPLACE(INDEX(GroupVertices[Group],MATCH(Edges35[[#This Row],[Vertex 1]],GroupVertices[Vertex],0)),1,1,"")</f>
        <v>1</v>
      </c>
      <c r="BE112" s="79" t="str">
        <f>REPLACE(INDEX(GroupVertices[Group],MATCH(Edges35[[#This Row],[Vertex 2]],GroupVertices[Vertex],0)),1,1,"")</f>
        <v>1</v>
      </c>
      <c r="BF112" s="49">
        <v>0</v>
      </c>
      <c r="BG112" s="50">
        <v>0</v>
      </c>
      <c r="BH112" s="49">
        <v>0</v>
      </c>
      <c r="BI112" s="50">
        <v>0</v>
      </c>
      <c r="BJ112" s="49">
        <v>0</v>
      </c>
      <c r="BK112" s="50">
        <v>0</v>
      </c>
      <c r="BL112" s="49">
        <v>38</v>
      </c>
      <c r="BM112" s="50">
        <v>100</v>
      </c>
      <c r="BN112" s="49">
        <v>38</v>
      </c>
    </row>
    <row r="113" spans="1:66" ht="15">
      <c r="A113" s="65" t="s">
        <v>303</v>
      </c>
      <c r="B113" s="65" t="s">
        <v>332</v>
      </c>
      <c r="C113" s="66" t="s">
        <v>2647</v>
      </c>
      <c r="D113" s="67">
        <v>5</v>
      </c>
      <c r="E113" s="68"/>
      <c r="F113" s="69">
        <v>40</v>
      </c>
      <c r="G113" s="66"/>
      <c r="H113" s="70"/>
      <c r="I113" s="71"/>
      <c r="J113" s="71"/>
      <c r="K113" s="35" t="s">
        <v>65</v>
      </c>
      <c r="L113" s="78">
        <v>175</v>
      </c>
      <c r="M113" s="78"/>
      <c r="N113" s="73"/>
      <c r="O113" s="80" t="s">
        <v>383</v>
      </c>
      <c r="P113" s="82">
        <v>44460.934583333335</v>
      </c>
      <c r="Q113" s="80" t="s">
        <v>425</v>
      </c>
      <c r="R113" s="80"/>
      <c r="S113" s="80"/>
      <c r="T113" s="85" t="s">
        <v>498</v>
      </c>
      <c r="U113" s="83" t="str">
        <f>HYPERLINK("https://pbs.twimg.com/media/E_1U1pPVEAImP5O.jpg")</f>
        <v>https://pbs.twimg.com/media/E_1U1pPVEAImP5O.jpg</v>
      </c>
      <c r="V113" s="83" t="str">
        <f>HYPERLINK("https://pbs.twimg.com/media/E_1U1pPVEAImP5O.jpg")</f>
        <v>https://pbs.twimg.com/media/E_1U1pPVEAImP5O.jpg</v>
      </c>
      <c r="W113" s="82">
        <v>44460.934583333335</v>
      </c>
      <c r="X113" s="88">
        <v>44460</v>
      </c>
      <c r="Y113" s="85" t="s">
        <v>627</v>
      </c>
      <c r="Z113" s="83" t="str">
        <f>HYPERLINK("https://twitter.com/digitalixmx/status/1440442161950953472")</f>
        <v>https://twitter.com/digitalixmx/status/1440442161950953472</v>
      </c>
      <c r="AA113" s="80"/>
      <c r="AB113" s="80"/>
      <c r="AC113" s="85" t="s">
        <v>800</v>
      </c>
      <c r="AD113" s="80"/>
      <c r="AE113" s="80" t="b">
        <v>0</v>
      </c>
      <c r="AF113" s="80">
        <v>0</v>
      </c>
      <c r="AG113" s="85" t="s">
        <v>871</v>
      </c>
      <c r="AH113" s="80" t="b">
        <v>0</v>
      </c>
      <c r="AI113" s="80" t="s">
        <v>882</v>
      </c>
      <c r="AJ113" s="80"/>
      <c r="AK113" s="85" t="s">
        <v>871</v>
      </c>
      <c r="AL113" s="80" t="b">
        <v>0</v>
      </c>
      <c r="AM113" s="80">
        <v>36</v>
      </c>
      <c r="AN113" s="85" t="s">
        <v>830</v>
      </c>
      <c r="AO113" s="85" t="s">
        <v>895</v>
      </c>
      <c r="AP113" s="80" t="b">
        <v>0</v>
      </c>
      <c r="AQ113" s="85" t="s">
        <v>830</v>
      </c>
      <c r="AR113" s="80" t="s">
        <v>178</v>
      </c>
      <c r="AS113" s="80">
        <v>0</v>
      </c>
      <c r="AT113" s="80">
        <v>0</v>
      </c>
      <c r="AU113" s="80"/>
      <c r="AV113" s="80"/>
      <c r="AW113" s="80"/>
      <c r="AX113" s="80"/>
      <c r="AY113" s="80"/>
      <c r="AZ113" s="80"/>
      <c r="BA113" s="80"/>
      <c r="BB113" s="80"/>
      <c r="BC113">
        <v>1</v>
      </c>
      <c r="BD113" s="79" t="str">
        <f>REPLACE(INDEX(GroupVertices[Group],MATCH(Edges35[[#This Row],[Vertex 1]],GroupVertices[Vertex],0)),1,1,"")</f>
        <v>1</v>
      </c>
      <c r="BE113" s="79" t="str">
        <f>REPLACE(INDEX(GroupVertices[Group],MATCH(Edges35[[#This Row],[Vertex 2]],GroupVertices[Vertex],0)),1,1,"")</f>
        <v>1</v>
      </c>
      <c r="BF113" s="49">
        <v>0</v>
      </c>
      <c r="BG113" s="50">
        <v>0</v>
      </c>
      <c r="BH113" s="49">
        <v>0</v>
      </c>
      <c r="BI113" s="50">
        <v>0</v>
      </c>
      <c r="BJ113" s="49">
        <v>0</v>
      </c>
      <c r="BK113" s="50">
        <v>0</v>
      </c>
      <c r="BL113" s="49">
        <v>38</v>
      </c>
      <c r="BM113" s="50">
        <v>100</v>
      </c>
      <c r="BN113" s="49">
        <v>38</v>
      </c>
    </row>
    <row r="114" spans="1:66" ht="15">
      <c r="A114" s="65" t="s">
        <v>304</v>
      </c>
      <c r="B114" s="65" t="s">
        <v>332</v>
      </c>
      <c r="C114" s="66" t="s">
        <v>2647</v>
      </c>
      <c r="D114" s="67">
        <v>5</v>
      </c>
      <c r="E114" s="68"/>
      <c r="F114" s="69">
        <v>40</v>
      </c>
      <c r="G114" s="66"/>
      <c r="H114" s="70"/>
      <c r="I114" s="71"/>
      <c r="J114" s="71"/>
      <c r="K114" s="35" t="s">
        <v>65</v>
      </c>
      <c r="L114" s="78">
        <v>176</v>
      </c>
      <c r="M114" s="78"/>
      <c r="N114" s="73"/>
      <c r="O114" s="80" t="s">
        <v>383</v>
      </c>
      <c r="P114" s="82">
        <v>44460.9350462963</v>
      </c>
      <c r="Q114" s="80" t="s">
        <v>425</v>
      </c>
      <c r="R114" s="80"/>
      <c r="S114" s="80"/>
      <c r="T114" s="85" t="s">
        <v>498</v>
      </c>
      <c r="U114" s="83" t="str">
        <f>HYPERLINK("https://pbs.twimg.com/media/E_1U1pPVEAImP5O.jpg")</f>
        <v>https://pbs.twimg.com/media/E_1U1pPVEAImP5O.jpg</v>
      </c>
      <c r="V114" s="83" t="str">
        <f>HYPERLINK("https://pbs.twimg.com/media/E_1U1pPVEAImP5O.jpg")</f>
        <v>https://pbs.twimg.com/media/E_1U1pPVEAImP5O.jpg</v>
      </c>
      <c r="W114" s="82">
        <v>44460.9350462963</v>
      </c>
      <c r="X114" s="88">
        <v>44460</v>
      </c>
      <c r="Y114" s="85" t="s">
        <v>628</v>
      </c>
      <c r="Z114" s="83" t="str">
        <f>HYPERLINK("https://twitter.com/maragua15777373/status/1440442330717118473")</f>
        <v>https://twitter.com/maragua15777373/status/1440442330717118473</v>
      </c>
      <c r="AA114" s="80"/>
      <c r="AB114" s="80"/>
      <c r="AC114" s="85" t="s">
        <v>801</v>
      </c>
      <c r="AD114" s="80"/>
      <c r="AE114" s="80" t="b">
        <v>0</v>
      </c>
      <c r="AF114" s="80">
        <v>0</v>
      </c>
      <c r="AG114" s="85" t="s">
        <v>871</v>
      </c>
      <c r="AH114" s="80" t="b">
        <v>0</v>
      </c>
      <c r="AI114" s="80" t="s">
        <v>882</v>
      </c>
      <c r="AJ114" s="80"/>
      <c r="AK114" s="85" t="s">
        <v>871</v>
      </c>
      <c r="AL114" s="80" t="b">
        <v>0</v>
      </c>
      <c r="AM114" s="80">
        <v>36</v>
      </c>
      <c r="AN114" s="85" t="s">
        <v>830</v>
      </c>
      <c r="AO114" s="85" t="s">
        <v>889</v>
      </c>
      <c r="AP114" s="80" t="b">
        <v>0</v>
      </c>
      <c r="AQ114" s="85" t="s">
        <v>830</v>
      </c>
      <c r="AR114" s="80" t="s">
        <v>178</v>
      </c>
      <c r="AS114" s="80">
        <v>0</v>
      </c>
      <c r="AT114" s="80">
        <v>0</v>
      </c>
      <c r="AU114" s="80"/>
      <c r="AV114" s="80"/>
      <c r="AW114" s="80"/>
      <c r="AX114" s="80"/>
      <c r="AY114" s="80"/>
      <c r="AZ114" s="80"/>
      <c r="BA114" s="80"/>
      <c r="BB114" s="80"/>
      <c r="BC114">
        <v>1</v>
      </c>
      <c r="BD114" s="79" t="str">
        <f>REPLACE(INDEX(GroupVertices[Group],MATCH(Edges35[[#This Row],[Vertex 1]],GroupVertices[Vertex],0)),1,1,"")</f>
        <v>1</v>
      </c>
      <c r="BE114" s="79" t="str">
        <f>REPLACE(INDEX(GroupVertices[Group],MATCH(Edges35[[#This Row],[Vertex 2]],GroupVertices[Vertex],0)),1,1,"")</f>
        <v>1</v>
      </c>
      <c r="BF114" s="49">
        <v>0</v>
      </c>
      <c r="BG114" s="50">
        <v>0</v>
      </c>
      <c r="BH114" s="49">
        <v>0</v>
      </c>
      <c r="BI114" s="50">
        <v>0</v>
      </c>
      <c r="BJ114" s="49">
        <v>0</v>
      </c>
      <c r="BK114" s="50">
        <v>0</v>
      </c>
      <c r="BL114" s="49">
        <v>38</v>
      </c>
      <c r="BM114" s="50">
        <v>100</v>
      </c>
      <c r="BN114" s="49">
        <v>38</v>
      </c>
    </row>
    <row r="115" spans="1:66" ht="15">
      <c r="A115" s="65" t="s">
        <v>305</v>
      </c>
      <c r="B115" s="65" t="s">
        <v>332</v>
      </c>
      <c r="C115" s="66" t="s">
        <v>2647</v>
      </c>
      <c r="D115" s="67">
        <v>5</v>
      </c>
      <c r="E115" s="68"/>
      <c r="F115" s="69">
        <v>40</v>
      </c>
      <c r="G115" s="66"/>
      <c r="H115" s="70"/>
      <c r="I115" s="71"/>
      <c r="J115" s="71"/>
      <c r="K115" s="35" t="s">
        <v>65</v>
      </c>
      <c r="L115" s="78">
        <v>177</v>
      </c>
      <c r="M115" s="78"/>
      <c r="N115" s="73"/>
      <c r="O115" s="80" t="s">
        <v>383</v>
      </c>
      <c r="P115" s="82">
        <v>44460.93771990741</v>
      </c>
      <c r="Q115" s="80" t="s">
        <v>425</v>
      </c>
      <c r="R115" s="80"/>
      <c r="S115" s="80"/>
      <c r="T115" s="85" t="s">
        <v>498</v>
      </c>
      <c r="U115" s="83" t="str">
        <f>HYPERLINK("https://pbs.twimg.com/media/E_1U1pPVEAImP5O.jpg")</f>
        <v>https://pbs.twimg.com/media/E_1U1pPVEAImP5O.jpg</v>
      </c>
      <c r="V115" s="83" t="str">
        <f>HYPERLINK("https://pbs.twimg.com/media/E_1U1pPVEAImP5O.jpg")</f>
        <v>https://pbs.twimg.com/media/E_1U1pPVEAImP5O.jpg</v>
      </c>
      <c r="W115" s="82">
        <v>44460.93771990741</v>
      </c>
      <c r="X115" s="88">
        <v>44460</v>
      </c>
      <c r="Y115" s="85" t="s">
        <v>629</v>
      </c>
      <c r="Z115" s="83" t="str">
        <f>HYPERLINK("https://twitter.com/feregio74/status/1440443299249078273")</f>
        <v>https://twitter.com/feregio74/status/1440443299249078273</v>
      </c>
      <c r="AA115" s="80"/>
      <c r="AB115" s="80"/>
      <c r="AC115" s="85" t="s">
        <v>802</v>
      </c>
      <c r="AD115" s="80"/>
      <c r="AE115" s="80" t="b">
        <v>0</v>
      </c>
      <c r="AF115" s="80">
        <v>0</v>
      </c>
      <c r="AG115" s="85" t="s">
        <v>871</v>
      </c>
      <c r="AH115" s="80" t="b">
        <v>0</v>
      </c>
      <c r="AI115" s="80" t="s">
        <v>882</v>
      </c>
      <c r="AJ115" s="80"/>
      <c r="AK115" s="85" t="s">
        <v>871</v>
      </c>
      <c r="AL115" s="80" t="b">
        <v>0</v>
      </c>
      <c r="AM115" s="80">
        <v>36</v>
      </c>
      <c r="AN115" s="85" t="s">
        <v>830</v>
      </c>
      <c r="AO115" s="85" t="s">
        <v>889</v>
      </c>
      <c r="AP115" s="80" t="b">
        <v>0</v>
      </c>
      <c r="AQ115" s="85" t="s">
        <v>830</v>
      </c>
      <c r="AR115" s="80" t="s">
        <v>178</v>
      </c>
      <c r="AS115" s="80">
        <v>0</v>
      </c>
      <c r="AT115" s="80">
        <v>0</v>
      </c>
      <c r="AU115" s="80"/>
      <c r="AV115" s="80"/>
      <c r="AW115" s="80"/>
      <c r="AX115" s="80"/>
      <c r="AY115" s="80"/>
      <c r="AZ115" s="80"/>
      <c r="BA115" s="80"/>
      <c r="BB115" s="80"/>
      <c r="BC115">
        <v>1</v>
      </c>
      <c r="BD115" s="79" t="str">
        <f>REPLACE(INDEX(GroupVertices[Group],MATCH(Edges35[[#This Row],[Vertex 1]],GroupVertices[Vertex],0)),1,1,"")</f>
        <v>1</v>
      </c>
      <c r="BE115" s="79" t="str">
        <f>REPLACE(INDEX(GroupVertices[Group],MATCH(Edges35[[#This Row],[Vertex 2]],GroupVertices[Vertex],0)),1,1,"")</f>
        <v>1</v>
      </c>
      <c r="BF115" s="49">
        <v>0</v>
      </c>
      <c r="BG115" s="50">
        <v>0</v>
      </c>
      <c r="BH115" s="49">
        <v>0</v>
      </c>
      <c r="BI115" s="50">
        <v>0</v>
      </c>
      <c r="BJ115" s="49">
        <v>0</v>
      </c>
      <c r="BK115" s="50">
        <v>0</v>
      </c>
      <c r="BL115" s="49">
        <v>38</v>
      </c>
      <c r="BM115" s="50">
        <v>100</v>
      </c>
      <c r="BN115" s="49">
        <v>38</v>
      </c>
    </row>
    <row r="116" spans="1:66" ht="15">
      <c r="A116" s="65" t="s">
        <v>306</v>
      </c>
      <c r="B116" s="65" t="s">
        <v>332</v>
      </c>
      <c r="C116" s="66" t="s">
        <v>2647</v>
      </c>
      <c r="D116" s="67">
        <v>5</v>
      </c>
      <c r="E116" s="68"/>
      <c r="F116" s="69">
        <v>40</v>
      </c>
      <c r="G116" s="66"/>
      <c r="H116" s="70"/>
      <c r="I116" s="71"/>
      <c r="J116" s="71"/>
      <c r="K116" s="35" t="s">
        <v>65</v>
      </c>
      <c r="L116" s="78">
        <v>178</v>
      </c>
      <c r="M116" s="78"/>
      <c r="N116" s="73"/>
      <c r="O116" s="80" t="s">
        <v>383</v>
      </c>
      <c r="P116" s="82">
        <v>44460.93851851852</v>
      </c>
      <c r="Q116" s="80" t="s">
        <v>425</v>
      </c>
      <c r="R116" s="80"/>
      <c r="S116" s="80"/>
      <c r="T116" s="85" t="s">
        <v>498</v>
      </c>
      <c r="U116" s="83" t="str">
        <f>HYPERLINK("https://pbs.twimg.com/media/E_1U1pPVEAImP5O.jpg")</f>
        <v>https://pbs.twimg.com/media/E_1U1pPVEAImP5O.jpg</v>
      </c>
      <c r="V116" s="83" t="str">
        <f>HYPERLINK("https://pbs.twimg.com/media/E_1U1pPVEAImP5O.jpg")</f>
        <v>https://pbs.twimg.com/media/E_1U1pPVEAImP5O.jpg</v>
      </c>
      <c r="W116" s="82">
        <v>44460.93851851852</v>
      </c>
      <c r="X116" s="88">
        <v>44460</v>
      </c>
      <c r="Y116" s="85" t="s">
        <v>630</v>
      </c>
      <c r="Z116" s="83" t="str">
        <f>HYPERLINK("https://twitter.com/alexcarreonmty/status/1440443590899953667")</f>
        <v>https://twitter.com/alexcarreonmty/status/1440443590899953667</v>
      </c>
      <c r="AA116" s="80"/>
      <c r="AB116" s="80"/>
      <c r="AC116" s="85" t="s">
        <v>803</v>
      </c>
      <c r="AD116" s="80"/>
      <c r="AE116" s="80" t="b">
        <v>0</v>
      </c>
      <c r="AF116" s="80">
        <v>0</v>
      </c>
      <c r="AG116" s="85" t="s">
        <v>871</v>
      </c>
      <c r="AH116" s="80" t="b">
        <v>0</v>
      </c>
      <c r="AI116" s="80" t="s">
        <v>882</v>
      </c>
      <c r="AJ116" s="80"/>
      <c r="AK116" s="85" t="s">
        <v>871</v>
      </c>
      <c r="AL116" s="80" t="b">
        <v>0</v>
      </c>
      <c r="AM116" s="80">
        <v>36</v>
      </c>
      <c r="AN116" s="85" t="s">
        <v>830</v>
      </c>
      <c r="AO116" s="85" t="s">
        <v>889</v>
      </c>
      <c r="AP116" s="80" t="b">
        <v>0</v>
      </c>
      <c r="AQ116" s="85" t="s">
        <v>830</v>
      </c>
      <c r="AR116" s="80" t="s">
        <v>178</v>
      </c>
      <c r="AS116" s="80">
        <v>0</v>
      </c>
      <c r="AT116" s="80">
        <v>0</v>
      </c>
      <c r="AU116" s="80"/>
      <c r="AV116" s="80"/>
      <c r="AW116" s="80"/>
      <c r="AX116" s="80"/>
      <c r="AY116" s="80"/>
      <c r="AZ116" s="80"/>
      <c r="BA116" s="80"/>
      <c r="BB116" s="80"/>
      <c r="BC116">
        <v>1</v>
      </c>
      <c r="BD116" s="79" t="str">
        <f>REPLACE(INDEX(GroupVertices[Group],MATCH(Edges35[[#This Row],[Vertex 1]],GroupVertices[Vertex],0)),1,1,"")</f>
        <v>1</v>
      </c>
      <c r="BE116" s="79" t="str">
        <f>REPLACE(INDEX(GroupVertices[Group],MATCH(Edges35[[#This Row],[Vertex 2]],GroupVertices[Vertex],0)),1,1,"")</f>
        <v>1</v>
      </c>
      <c r="BF116" s="49">
        <v>0</v>
      </c>
      <c r="BG116" s="50">
        <v>0</v>
      </c>
      <c r="BH116" s="49">
        <v>0</v>
      </c>
      <c r="BI116" s="50">
        <v>0</v>
      </c>
      <c r="BJ116" s="49">
        <v>0</v>
      </c>
      <c r="BK116" s="50">
        <v>0</v>
      </c>
      <c r="BL116" s="49">
        <v>38</v>
      </c>
      <c r="BM116" s="50">
        <v>100</v>
      </c>
      <c r="BN116" s="49">
        <v>38</v>
      </c>
    </row>
    <row r="117" spans="1:66" ht="15">
      <c r="A117" s="65" t="s">
        <v>307</v>
      </c>
      <c r="B117" s="65" t="s">
        <v>368</v>
      </c>
      <c r="C117" s="66" t="s">
        <v>2647</v>
      </c>
      <c r="D117" s="67">
        <v>5</v>
      </c>
      <c r="E117" s="68"/>
      <c r="F117" s="69">
        <v>40</v>
      </c>
      <c r="G117" s="66"/>
      <c r="H117" s="70"/>
      <c r="I117" s="71"/>
      <c r="J117" s="71"/>
      <c r="K117" s="35" t="s">
        <v>65</v>
      </c>
      <c r="L117" s="78">
        <v>179</v>
      </c>
      <c r="M117" s="78"/>
      <c r="N117" s="73"/>
      <c r="O117" s="80" t="s">
        <v>382</v>
      </c>
      <c r="P117" s="82">
        <v>44460.94159722222</v>
      </c>
      <c r="Q117" s="80" t="s">
        <v>428</v>
      </c>
      <c r="R117" s="83" t="str">
        <f>HYPERLINK("https://www.ejecentral.com.mx/inm-lleva-a-120-migrantes-a-chiapas-haitianos-siguen-llegando-al-norte/")</f>
        <v>https://www.ejecentral.com.mx/inm-lleva-a-120-migrantes-a-chiapas-haitianos-siguen-llegando-al-norte/</v>
      </c>
      <c r="S117" s="80" t="s">
        <v>451</v>
      </c>
      <c r="T117" s="85" t="s">
        <v>501</v>
      </c>
      <c r="U117" s="80"/>
      <c r="V117" s="83" t="str">
        <f>HYPERLINK("https://pbs.twimg.com/profile_images/1284062633193361408/tq3LZYSY_normal.jpg")</f>
        <v>https://pbs.twimg.com/profile_images/1284062633193361408/tq3LZYSY_normal.jpg</v>
      </c>
      <c r="W117" s="82">
        <v>44460.94159722222</v>
      </c>
      <c r="X117" s="88">
        <v>44460</v>
      </c>
      <c r="Y117" s="85" t="s">
        <v>631</v>
      </c>
      <c r="Z117" s="83" t="str">
        <f>HYPERLINK("https://twitter.com/gosimai/status/1440444705360072719")</f>
        <v>https://twitter.com/gosimai/status/1440444705360072719</v>
      </c>
      <c r="AA117" s="80"/>
      <c r="AB117" s="80"/>
      <c r="AC117" s="85" t="s">
        <v>804</v>
      </c>
      <c r="AD117" s="80"/>
      <c r="AE117" s="80" t="b">
        <v>0</v>
      </c>
      <c r="AF117" s="80">
        <v>0</v>
      </c>
      <c r="AG117" s="85" t="s">
        <v>871</v>
      </c>
      <c r="AH117" s="80" t="b">
        <v>0</v>
      </c>
      <c r="AI117" s="80" t="s">
        <v>882</v>
      </c>
      <c r="AJ117" s="80"/>
      <c r="AK117" s="85" t="s">
        <v>871</v>
      </c>
      <c r="AL117" s="80" t="b">
        <v>0</v>
      </c>
      <c r="AM117" s="80">
        <v>1</v>
      </c>
      <c r="AN117" s="85" t="s">
        <v>822</v>
      </c>
      <c r="AO117" s="85" t="s">
        <v>891</v>
      </c>
      <c r="AP117" s="80" t="b">
        <v>0</v>
      </c>
      <c r="AQ117" s="85" t="s">
        <v>822</v>
      </c>
      <c r="AR117" s="80" t="s">
        <v>178</v>
      </c>
      <c r="AS117" s="80">
        <v>0</v>
      </c>
      <c r="AT117" s="80">
        <v>0</v>
      </c>
      <c r="AU117" s="80"/>
      <c r="AV117" s="80"/>
      <c r="AW117" s="80"/>
      <c r="AX117" s="80"/>
      <c r="AY117" s="80"/>
      <c r="AZ117" s="80"/>
      <c r="BA117" s="80"/>
      <c r="BB117" s="80"/>
      <c r="BC117">
        <v>1</v>
      </c>
      <c r="BD117" s="79" t="str">
        <f>REPLACE(INDEX(GroupVertices[Group],MATCH(Edges35[[#This Row],[Vertex 1]],GroupVertices[Vertex],0)),1,1,"")</f>
        <v>2</v>
      </c>
      <c r="BE117" s="79" t="str">
        <f>REPLACE(INDEX(GroupVertices[Group],MATCH(Edges35[[#This Row],[Vertex 2]],GroupVertices[Vertex],0)),1,1,"")</f>
        <v>2</v>
      </c>
      <c r="BF117" s="49"/>
      <c r="BG117" s="50"/>
      <c r="BH117" s="49"/>
      <c r="BI117" s="50"/>
      <c r="BJ117" s="49"/>
      <c r="BK117" s="50"/>
      <c r="BL117" s="49"/>
      <c r="BM117" s="50"/>
      <c r="BN117" s="49"/>
    </row>
    <row r="118" spans="1:66" ht="15">
      <c r="A118" s="65" t="s">
        <v>308</v>
      </c>
      <c r="B118" s="65" t="s">
        <v>332</v>
      </c>
      <c r="C118" s="66" t="s">
        <v>2647</v>
      </c>
      <c r="D118" s="67">
        <v>5</v>
      </c>
      <c r="E118" s="68"/>
      <c r="F118" s="69">
        <v>40</v>
      </c>
      <c r="G118" s="66"/>
      <c r="H118" s="70"/>
      <c r="I118" s="71"/>
      <c r="J118" s="71"/>
      <c r="K118" s="35" t="s">
        <v>65</v>
      </c>
      <c r="L118" s="78">
        <v>181</v>
      </c>
      <c r="M118" s="78"/>
      <c r="N118" s="73"/>
      <c r="O118" s="80" t="s">
        <v>383</v>
      </c>
      <c r="P118" s="82">
        <v>44460.94211805556</v>
      </c>
      <c r="Q118" s="80" t="s">
        <v>425</v>
      </c>
      <c r="R118" s="80"/>
      <c r="S118" s="80"/>
      <c r="T118" s="85" t="s">
        <v>498</v>
      </c>
      <c r="U118" s="83" t="str">
        <f>HYPERLINK("https://pbs.twimg.com/media/E_1U1pPVEAImP5O.jpg")</f>
        <v>https://pbs.twimg.com/media/E_1U1pPVEAImP5O.jpg</v>
      </c>
      <c r="V118" s="83" t="str">
        <f>HYPERLINK("https://pbs.twimg.com/media/E_1U1pPVEAImP5O.jpg")</f>
        <v>https://pbs.twimg.com/media/E_1U1pPVEAImP5O.jpg</v>
      </c>
      <c r="W118" s="82">
        <v>44460.94211805556</v>
      </c>
      <c r="X118" s="88">
        <v>44460</v>
      </c>
      <c r="Y118" s="85" t="s">
        <v>632</v>
      </c>
      <c r="Z118" s="83" t="str">
        <f>HYPERLINK("https://twitter.com/samantha_ortg/status/1440444892719706119")</f>
        <v>https://twitter.com/samantha_ortg/status/1440444892719706119</v>
      </c>
      <c r="AA118" s="80"/>
      <c r="AB118" s="80"/>
      <c r="AC118" s="85" t="s">
        <v>805</v>
      </c>
      <c r="AD118" s="80"/>
      <c r="AE118" s="80" t="b">
        <v>0</v>
      </c>
      <c r="AF118" s="80">
        <v>0</v>
      </c>
      <c r="AG118" s="85" t="s">
        <v>871</v>
      </c>
      <c r="AH118" s="80" t="b">
        <v>0</v>
      </c>
      <c r="AI118" s="80" t="s">
        <v>882</v>
      </c>
      <c r="AJ118" s="80"/>
      <c r="AK118" s="85" t="s">
        <v>871</v>
      </c>
      <c r="AL118" s="80" t="b">
        <v>0</v>
      </c>
      <c r="AM118" s="80">
        <v>36</v>
      </c>
      <c r="AN118" s="85" t="s">
        <v>830</v>
      </c>
      <c r="AO118" s="85" t="s">
        <v>889</v>
      </c>
      <c r="AP118" s="80" t="b">
        <v>0</v>
      </c>
      <c r="AQ118" s="85" t="s">
        <v>830</v>
      </c>
      <c r="AR118" s="80" t="s">
        <v>178</v>
      </c>
      <c r="AS118" s="80">
        <v>0</v>
      </c>
      <c r="AT118" s="80">
        <v>0</v>
      </c>
      <c r="AU118" s="80"/>
      <c r="AV118" s="80"/>
      <c r="AW118" s="80"/>
      <c r="AX118" s="80"/>
      <c r="AY118" s="80"/>
      <c r="AZ118" s="80"/>
      <c r="BA118" s="80"/>
      <c r="BB118" s="80"/>
      <c r="BC118">
        <v>1</v>
      </c>
      <c r="BD118" s="79" t="str">
        <f>REPLACE(INDEX(GroupVertices[Group],MATCH(Edges35[[#This Row],[Vertex 1]],GroupVertices[Vertex],0)),1,1,"")</f>
        <v>1</v>
      </c>
      <c r="BE118" s="79" t="str">
        <f>REPLACE(INDEX(GroupVertices[Group],MATCH(Edges35[[#This Row],[Vertex 2]],GroupVertices[Vertex],0)),1,1,"")</f>
        <v>1</v>
      </c>
      <c r="BF118" s="49">
        <v>0</v>
      </c>
      <c r="BG118" s="50">
        <v>0</v>
      </c>
      <c r="BH118" s="49">
        <v>0</v>
      </c>
      <c r="BI118" s="50">
        <v>0</v>
      </c>
      <c r="BJ118" s="49">
        <v>0</v>
      </c>
      <c r="BK118" s="50">
        <v>0</v>
      </c>
      <c r="BL118" s="49">
        <v>38</v>
      </c>
      <c r="BM118" s="50">
        <v>100</v>
      </c>
      <c r="BN118" s="49">
        <v>38</v>
      </c>
    </row>
    <row r="119" spans="1:66" ht="15">
      <c r="A119" s="65" t="s">
        <v>309</v>
      </c>
      <c r="B119" s="65" t="s">
        <v>332</v>
      </c>
      <c r="C119" s="66" t="s">
        <v>2647</v>
      </c>
      <c r="D119" s="67">
        <v>5</v>
      </c>
      <c r="E119" s="68"/>
      <c r="F119" s="69">
        <v>40</v>
      </c>
      <c r="G119" s="66"/>
      <c r="H119" s="70"/>
      <c r="I119" s="71"/>
      <c r="J119" s="71"/>
      <c r="K119" s="35" t="s">
        <v>65</v>
      </c>
      <c r="L119" s="78">
        <v>182</v>
      </c>
      <c r="M119" s="78"/>
      <c r="N119" s="73"/>
      <c r="O119" s="80" t="s">
        <v>383</v>
      </c>
      <c r="P119" s="82">
        <v>44460.96512731481</v>
      </c>
      <c r="Q119" s="80" t="s">
        <v>425</v>
      </c>
      <c r="R119" s="80"/>
      <c r="S119" s="80"/>
      <c r="T119" s="85" t="s">
        <v>498</v>
      </c>
      <c r="U119" s="83" t="str">
        <f>HYPERLINK("https://pbs.twimg.com/media/E_1U1pPVEAImP5O.jpg")</f>
        <v>https://pbs.twimg.com/media/E_1U1pPVEAImP5O.jpg</v>
      </c>
      <c r="V119" s="83" t="str">
        <f>HYPERLINK("https://pbs.twimg.com/media/E_1U1pPVEAImP5O.jpg")</f>
        <v>https://pbs.twimg.com/media/E_1U1pPVEAImP5O.jpg</v>
      </c>
      <c r="W119" s="82">
        <v>44460.96512731481</v>
      </c>
      <c r="X119" s="88">
        <v>44460</v>
      </c>
      <c r="Y119" s="85" t="s">
        <v>633</v>
      </c>
      <c r="Z119" s="83" t="str">
        <f>HYPERLINK("https://twitter.com/alitasibarita/status/1440453231499362318")</f>
        <v>https://twitter.com/alitasibarita/status/1440453231499362318</v>
      </c>
      <c r="AA119" s="80"/>
      <c r="AB119" s="80"/>
      <c r="AC119" s="85" t="s">
        <v>806</v>
      </c>
      <c r="AD119" s="80"/>
      <c r="AE119" s="80" t="b">
        <v>0</v>
      </c>
      <c r="AF119" s="80">
        <v>0</v>
      </c>
      <c r="AG119" s="85" t="s">
        <v>871</v>
      </c>
      <c r="AH119" s="80" t="b">
        <v>0</v>
      </c>
      <c r="AI119" s="80" t="s">
        <v>882</v>
      </c>
      <c r="AJ119" s="80"/>
      <c r="AK119" s="85" t="s">
        <v>871</v>
      </c>
      <c r="AL119" s="80" t="b">
        <v>0</v>
      </c>
      <c r="AM119" s="80">
        <v>36</v>
      </c>
      <c r="AN119" s="85" t="s">
        <v>830</v>
      </c>
      <c r="AO119" s="85" t="s">
        <v>890</v>
      </c>
      <c r="AP119" s="80" t="b">
        <v>0</v>
      </c>
      <c r="AQ119" s="85" t="s">
        <v>830</v>
      </c>
      <c r="AR119" s="80" t="s">
        <v>178</v>
      </c>
      <c r="AS119" s="80">
        <v>0</v>
      </c>
      <c r="AT119" s="80">
        <v>0</v>
      </c>
      <c r="AU119" s="80"/>
      <c r="AV119" s="80"/>
      <c r="AW119" s="80"/>
      <c r="AX119" s="80"/>
      <c r="AY119" s="80"/>
      <c r="AZ119" s="80"/>
      <c r="BA119" s="80"/>
      <c r="BB119" s="80"/>
      <c r="BC119">
        <v>1</v>
      </c>
      <c r="BD119" s="79" t="str">
        <f>REPLACE(INDEX(GroupVertices[Group],MATCH(Edges35[[#This Row],[Vertex 1]],GroupVertices[Vertex],0)),1,1,"")</f>
        <v>1</v>
      </c>
      <c r="BE119" s="79" t="str">
        <f>REPLACE(INDEX(GroupVertices[Group],MATCH(Edges35[[#This Row],[Vertex 2]],GroupVertices[Vertex],0)),1,1,"")</f>
        <v>1</v>
      </c>
      <c r="BF119" s="49">
        <v>0</v>
      </c>
      <c r="BG119" s="50">
        <v>0</v>
      </c>
      <c r="BH119" s="49">
        <v>0</v>
      </c>
      <c r="BI119" s="50">
        <v>0</v>
      </c>
      <c r="BJ119" s="49">
        <v>0</v>
      </c>
      <c r="BK119" s="50">
        <v>0</v>
      </c>
      <c r="BL119" s="49">
        <v>38</v>
      </c>
      <c r="BM119" s="50">
        <v>100</v>
      </c>
      <c r="BN119" s="49">
        <v>38</v>
      </c>
    </row>
    <row r="120" spans="1:66" ht="15">
      <c r="A120" s="65" t="s">
        <v>310</v>
      </c>
      <c r="B120" s="65" t="s">
        <v>332</v>
      </c>
      <c r="C120" s="66" t="s">
        <v>2647</v>
      </c>
      <c r="D120" s="67">
        <v>5</v>
      </c>
      <c r="E120" s="68"/>
      <c r="F120" s="69">
        <v>40</v>
      </c>
      <c r="G120" s="66"/>
      <c r="H120" s="70"/>
      <c r="I120" s="71"/>
      <c r="J120" s="71"/>
      <c r="K120" s="35" t="s">
        <v>65</v>
      </c>
      <c r="L120" s="78">
        <v>183</v>
      </c>
      <c r="M120" s="78"/>
      <c r="N120" s="73"/>
      <c r="O120" s="80" t="s">
        <v>383</v>
      </c>
      <c r="P120" s="82">
        <v>44460.987442129626</v>
      </c>
      <c r="Q120" s="80" t="s">
        <v>425</v>
      </c>
      <c r="R120" s="80"/>
      <c r="S120" s="80"/>
      <c r="T120" s="85" t="s">
        <v>498</v>
      </c>
      <c r="U120" s="83" t="str">
        <f>HYPERLINK("https://pbs.twimg.com/media/E_1U1pPVEAImP5O.jpg")</f>
        <v>https://pbs.twimg.com/media/E_1U1pPVEAImP5O.jpg</v>
      </c>
      <c r="V120" s="83" t="str">
        <f>HYPERLINK("https://pbs.twimg.com/media/E_1U1pPVEAImP5O.jpg")</f>
        <v>https://pbs.twimg.com/media/E_1U1pPVEAImP5O.jpg</v>
      </c>
      <c r="W120" s="82">
        <v>44460.987442129626</v>
      </c>
      <c r="X120" s="88">
        <v>44460</v>
      </c>
      <c r="Y120" s="85" t="s">
        <v>634</v>
      </c>
      <c r="Z120" s="83" t="str">
        <f>HYPERLINK("https://twitter.com/mikk_hdz/status/1440461318704693263")</f>
        <v>https://twitter.com/mikk_hdz/status/1440461318704693263</v>
      </c>
      <c r="AA120" s="80"/>
      <c r="AB120" s="80"/>
      <c r="AC120" s="85" t="s">
        <v>807</v>
      </c>
      <c r="AD120" s="80"/>
      <c r="AE120" s="80" t="b">
        <v>0</v>
      </c>
      <c r="AF120" s="80">
        <v>0</v>
      </c>
      <c r="AG120" s="85" t="s">
        <v>871</v>
      </c>
      <c r="AH120" s="80" t="b">
        <v>0</v>
      </c>
      <c r="AI120" s="80" t="s">
        <v>882</v>
      </c>
      <c r="AJ120" s="80"/>
      <c r="AK120" s="85" t="s">
        <v>871</v>
      </c>
      <c r="AL120" s="80" t="b">
        <v>0</v>
      </c>
      <c r="AM120" s="80">
        <v>36</v>
      </c>
      <c r="AN120" s="85" t="s">
        <v>830</v>
      </c>
      <c r="AO120" s="85" t="s">
        <v>889</v>
      </c>
      <c r="AP120" s="80" t="b">
        <v>0</v>
      </c>
      <c r="AQ120" s="85" t="s">
        <v>830</v>
      </c>
      <c r="AR120" s="80" t="s">
        <v>178</v>
      </c>
      <c r="AS120" s="80">
        <v>0</v>
      </c>
      <c r="AT120" s="80">
        <v>0</v>
      </c>
      <c r="AU120" s="80"/>
      <c r="AV120" s="80"/>
      <c r="AW120" s="80"/>
      <c r="AX120" s="80"/>
      <c r="AY120" s="80"/>
      <c r="AZ120" s="80"/>
      <c r="BA120" s="80"/>
      <c r="BB120" s="80"/>
      <c r="BC120">
        <v>1</v>
      </c>
      <c r="BD120" s="79" t="str">
        <f>REPLACE(INDEX(GroupVertices[Group],MATCH(Edges35[[#This Row],[Vertex 1]],GroupVertices[Vertex],0)),1,1,"")</f>
        <v>1</v>
      </c>
      <c r="BE120" s="79" t="str">
        <f>REPLACE(INDEX(GroupVertices[Group],MATCH(Edges35[[#This Row],[Vertex 2]],GroupVertices[Vertex],0)),1,1,"")</f>
        <v>1</v>
      </c>
      <c r="BF120" s="49">
        <v>0</v>
      </c>
      <c r="BG120" s="50">
        <v>0</v>
      </c>
      <c r="BH120" s="49">
        <v>0</v>
      </c>
      <c r="BI120" s="50">
        <v>0</v>
      </c>
      <c r="BJ120" s="49">
        <v>0</v>
      </c>
      <c r="BK120" s="50">
        <v>0</v>
      </c>
      <c r="BL120" s="49">
        <v>38</v>
      </c>
      <c r="BM120" s="50">
        <v>100</v>
      </c>
      <c r="BN120" s="49">
        <v>38</v>
      </c>
    </row>
    <row r="121" spans="1:66" ht="15">
      <c r="A121" s="65" t="s">
        <v>311</v>
      </c>
      <c r="B121" s="65" t="s">
        <v>332</v>
      </c>
      <c r="C121" s="66" t="s">
        <v>2647</v>
      </c>
      <c r="D121" s="67">
        <v>5</v>
      </c>
      <c r="E121" s="68"/>
      <c r="F121" s="69">
        <v>40</v>
      </c>
      <c r="G121" s="66"/>
      <c r="H121" s="70"/>
      <c r="I121" s="71"/>
      <c r="J121" s="71"/>
      <c r="K121" s="35" t="s">
        <v>65</v>
      </c>
      <c r="L121" s="78">
        <v>184</v>
      </c>
      <c r="M121" s="78"/>
      <c r="N121" s="73"/>
      <c r="O121" s="80" t="s">
        <v>383</v>
      </c>
      <c r="P121" s="82">
        <v>44461.00412037037</v>
      </c>
      <c r="Q121" s="80" t="s">
        <v>425</v>
      </c>
      <c r="R121" s="80"/>
      <c r="S121" s="80"/>
      <c r="T121" s="85" t="s">
        <v>498</v>
      </c>
      <c r="U121" s="83" t="str">
        <f>HYPERLINK("https://pbs.twimg.com/media/E_1U1pPVEAImP5O.jpg")</f>
        <v>https://pbs.twimg.com/media/E_1U1pPVEAImP5O.jpg</v>
      </c>
      <c r="V121" s="83" t="str">
        <f>HYPERLINK("https://pbs.twimg.com/media/E_1U1pPVEAImP5O.jpg")</f>
        <v>https://pbs.twimg.com/media/E_1U1pPVEAImP5O.jpg</v>
      </c>
      <c r="W121" s="82">
        <v>44461.00412037037</v>
      </c>
      <c r="X121" s="88">
        <v>44461</v>
      </c>
      <c r="Y121" s="85" t="s">
        <v>635</v>
      </c>
      <c r="Z121" s="83" t="str">
        <f>HYPERLINK("https://twitter.com/jesuscuatra/status/1440467362105348097")</f>
        <v>https://twitter.com/jesuscuatra/status/1440467362105348097</v>
      </c>
      <c r="AA121" s="80"/>
      <c r="AB121" s="80"/>
      <c r="AC121" s="85" t="s">
        <v>808</v>
      </c>
      <c r="AD121" s="80"/>
      <c r="AE121" s="80" t="b">
        <v>0</v>
      </c>
      <c r="AF121" s="80">
        <v>0</v>
      </c>
      <c r="AG121" s="85" t="s">
        <v>871</v>
      </c>
      <c r="AH121" s="80" t="b">
        <v>0</v>
      </c>
      <c r="AI121" s="80" t="s">
        <v>882</v>
      </c>
      <c r="AJ121" s="80"/>
      <c r="AK121" s="85" t="s">
        <v>871</v>
      </c>
      <c r="AL121" s="80" t="b">
        <v>0</v>
      </c>
      <c r="AM121" s="80">
        <v>36</v>
      </c>
      <c r="AN121" s="85" t="s">
        <v>830</v>
      </c>
      <c r="AO121" s="85" t="s">
        <v>889</v>
      </c>
      <c r="AP121" s="80" t="b">
        <v>0</v>
      </c>
      <c r="AQ121" s="85" t="s">
        <v>830</v>
      </c>
      <c r="AR121" s="80" t="s">
        <v>178</v>
      </c>
      <c r="AS121" s="80">
        <v>0</v>
      </c>
      <c r="AT121" s="80">
        <v>0</v>
      </c>
      <c r="AU121" s="80"/>
      <c r="AV121" s="80"/>
      <c r="AW121" s="80"/>
      <c r="AX121" s="80"/>
      <c r="AY121" s="80"/>
      <c r="AZ121" s="80"/>
      <c r="BA121" s="80"/>
      <c r="BB121" s="80"/>
      <c r="BC121">
        <v>1</v>
      </c>
      <c r="BD121" s="79" t="str">
        <f>REPLACE(INDEX(GroupVertices[Group],MATCH(Edges35[[#This Row],[Vertex 1]],GroupVertices[Vertex],0)),1,1,"")</f>
        <v>1</v>
      </c>
      <c r="BE121" s="79" t="str">
        <f>REPLACE(INDEX(GroupVertices[Group],MATCH(Edges35[[#This Row],[Vertex 2]],GroupVertices[Vertex],0)),1,1,"")</f>
        <v>1</v>
      </c>
      <c r="BF121" s="49">
        <v>0</v>
      </c>
      <c r="BG121" s="50">
        <v>0</v>
      </c>
      <c r="BH121" s="49">
        <v>0</v>
      </c>
      <c r="BI121" s="50">
        <v>0</v>
      </c>
      <c r="BJ121" s="49">
        <v>0</v>
      </c>
      <c r="BK121" s="50">
        <v>0</v>
      </c>
      <c r="BL121" s="49">
        <v>38</v>
      </c>
      <c r="BM121" s="50">
        <v>100</v>
      </c>
      <c r="BN121" s="49">
        <v>38</v>
      </c>
    </row>
    <row r="122" spans="1:66" ht="15">
      <c r="A122" s="65" t="s">
        <v>312</v>
      </c>
      <c r="B122" s="65" t="s">
        <v>332</v>
      </c>
      <c r="C122" s="66" t="s">
        <v>2647</v>
      </c>
      <c r="D122" s="67">
        <v>5</v>
      </c>
      <c r="E122" s="68"/>
      <c r="F122" s="69">
        <v>40</v>
      </c>
      <c r="G122" s="66"/>
      <c r="H122" s="70"/>
      <c r="I122" s="71"/>
      <c r="J122" s="71"/>
      <c r="K122" s="35" t="s">
        <v>65</v>
      </c>
      <c r="L122" s="78">
        <v>185</v>
      </c>
      <c r="M122" s="78"/>
      <c r="N122" s="73"/>
      <c r="O122" s="80" t="s">
        <v>383</v>
      </c>
      <c r="P122" s="82">
        <v>44461.009791666664</v>
      </c>
      <c r="Q122" s="80" t="s">
        <v>425</v>
      </c>
      <c r="R122" s="80"/>
      <c r="S122" s="80"/>
      <c r="T122" s="85" t="s">
        <v>498</v>
      </c>
      <c r="U122" s="83" t="str">
        <f>HYPERLINK("https://pbs.twimg.com/media/E_1U1pPVEAImP5O.jpg")</f>
        <v>https://pbs.twimg.com/media/E_1U1pPVEAImP5O.jpg</v>
      </c>
      <c r="V122" s="83" t="str">
        <f>HYPERLINK("https://pbs.twimg.com/media/E_1U1pPVEAImP5O.jpg")</f>
        <v>https://pbs.twimg.com/media/E_1U1pPVEAImP5O.jpg</v>
      </c>
      <c r="W122" s="82">
        <v>44461.009791666664</v>
      </c>
      <c r="X122" s="88">
        <v>44461</v>
      </c>
      <c r="Y122" s="85" t="s">
        <v>636</v>
      </c>
      <c r="Z122" s="83" t="str">
        <f>HYPERLINK("https://twitter.com/uca97mx/status/1440469417977024519")</f>
        <v>https://twitter.com/uca97mx/status/1440469417977024519</v>
      </c>
      <c r="AA122" s="80"/>
      <c r="AB122" s="80"/>
      <c r="AC122" s="85" t="s">
        <v>809</v>
      </c>
      <c r="AD122" s="80"/>
      <c r="AE122" s="80" t="b">
        <v>0</v>
      </c>
      <c r="AF122" s="80">
        <v>0</v>
      </c>
      <c r="AG122" s="85" t="s">
        <v>871</v>
      </c>
      <c r="AH122" s="80" t="b">
        <v>0</v>
      </c>
      <c r="AI122" s="80" t="s">
        <v>882</v>
      </c>
      <c r="AJ122" s="80"/>
      <c r="AK122" s="85" t="s">
        <v>871</v>
      </c>
      <c r="AL122" s="80" t="b">
        <v>0</v>
      </c>
      <c r="AM122" s="80">
        <v>36</v>
      </c>
      <c r="AN122" s="85" t="s">
        <v>830</v>
      </c>
      <c r="AO122" s="85" t="s">
        <v>891</v>
      </c>
      <c r="AP122" s="80" t="b">
        <v>0</v>
      </c>
      <c r="AQ122" s="85" t="s">
        <v>830</v>
      </c>
      <c r="AR122" s="80" t="s">
        <v>178</v>
      </c>
      <c r="AS122" s="80">
        <v>0</v>
      </c>
      <c r="AT122" s="80">
        <v>0</v>
      </c>
      <c r="AU122" s="80"/>
      <c r="AV122" s="80"/>
      <c r="AW122" s="80"/>
      <c r="AX122" s="80"/>
      <c r="AY122" s="80"/>
      <c r="AZ122" s="80"/>
      <c r="BA122" s="80"/>
      <c r="BB122" s="80"/>
      <c r="BC122">
        <v>1</v>
      </c>
      <c r="BD122" s="79" t="str">
        <f>REPLACE(INDEX(GroupVertices[Group],MATCH(Edges35[[#This Row],[Vertex 1]],GroupVertices[Vertex],0)),1,1,"")</f>
        <v>1</v>
      </c>
      <c r="BE122" s="79" t="str">
        <f>REPLACE(INDEX(GroupVertices[Group],MATCH(Edges35[[#This Row],[Vertex 2]],GroupVertices[Vertex],0)),1,1,"")</f>
        <v>1</v>
      </c>
      <c r="BF122" s="49">
        <v>0</v>
      </c>
      <c r="BG122" s="50">
        <v>0</v>
      </c>
      <c r="BH122" s="49">
        <v>0</v>
      </c>
      <c r="BI122" s="50">
        <v>0</v>
      </c>
      <c r="BJ122" s="49">
        <v>0</v>
      </c>
      <c r="BK122" s="50">
        <v>0</v>
      </c>
      <c r="BL122" s="49">
        <v>38</v>
      </c>
      <c r="BM122" s="50">
        <v>100</v>
      </c>
      <c r="BN122" s="49">
        <v>38</v>
      </c>
    </row>
    <row r="123" spans="1:66" ht="15">
      <c r="A123" s="65" t="s">
        <v>313</v>
      </c>
      <c r="B123" s="65" t="s">
        <v>368</v>
      </c>
      <c r="C123" s="66" t="s">
        <v>2647</v>
      </c>
      <c r="D123" s="67">
        <v>5</v>
      </c>
      <c r="E123" s="68"/>
      <c r="F123" s="69">
        <v>40</v>
      </c>
      <c r="G123" s="66"/>
      <c r="H123" s="70"/>
      <c r="I123" s="71"/>
      <c r="J123" s="71"/>
      <c r="K123" s="35" t="s">
        <v>65</v>
      </c>
      <c r="L123" s="78">
        <v>186</v>
      </c>
      <c r="M123" s="78"/>
      <c r="N123" s="73"/>
      <c r="O123" s="80" t="s">
        <v>382</v>
      </c>
      <c r="P123" s="82">
        <v>44461.02579861111</v>
      </c>
      <c r="Q123" s="80" t="s">
        <v>423</v>
      </c>
      <c r="R123" s="83" t="str">
        <f>HYPERLINK("https://www.jornada.com.mx/notas/2021/09/21/estados/inm-envia-por-avion-a-120-haitianos-a-chiapas-desde-coahuila/")</f>
        <v>https://www.jornada.com.mx/notas/2021/09/21/estados/inm-envia-por-avion-a-120-haitianos-a-chiapas-desde-coahuila/</v>
      </c>
      <c r="S123" s="80" t="s">
        <v>451</v>
      </c>
      <c r="T123" s="85" t="s">
        <v>496</v>
      </c>
      <c r="U123" s="80"/>
      <c r="V123" s="83" t="str">
        <f>HYPERLINK("https://pbs.twimg.com/profile_images/992220591993344000/6xxLmGxD_normal.jpg")</f>
        <v>https://pbs.twimg.com/profile_images/992220591993344000/6xxLmGxD_normal.jpg</v>
      </c>
      <c r="W123" s="82">
        <v>44461.02579861111</v>
      </c>
      <c r="X123" s="88">
        <v>44461</v>
      </c>
      <c r="Y123" s="85" t="s">
        <v>637</v>
      </c>
      <c r="Z123" s="83" t="str">
        <f>HYPERLINK("https://twitter.com/comunicador2022/status/1440475219672530947")</f>
        <v>https://twitter.com/comunicador2022/status/1440475219672530947</v>
      </c>
      <c r="AA123" s="80"/>
      <c r="AB123" s="80"/>
      <c r="AC123" s="85" t="s">
        <v>810</v>
      </c>
      <c r="AD123" s="80"/>
      <c r="AE123" s="80" t="b">
        <v>0</v>
      </c>
      <c r="AF123" s="80">
        <v>0</v>
      </c>
      <c r="AG123" s="85" t="s">
        <v>871</v>
      </c>
      <c r="AH123" s="80" t="b">
        <v>0</v>
      </c>
      <c r="AI123" s="80" t="s">
        <v>882</v>
      </c>
      <c r="AJ123" s="80"/>
      <c r="AK123" s="85" t="s">
        <v>871</v>
      </c>
      <c r="AL123" s="80" t="b">
        <v>0</v>
      </c>
      <c r="AM123" s="80">
        <v>6</v>
      </c>
      <c r="AN123" s="85" t="s">
        <v>811</v>
      </c>
      <c r="AO123" s="85" t="s">
        <v>889</v>
      </c>
      <c r="AP123" s="80" t="b">
        <v>0</v>
      </c>
      <c r="AQ123" s="85" t="s">
        <v>811</v>
      </c>
      <c r="AR123" s="80" t="s">
        <v>178</v>
      </c>
      <c r="AS123" s="80">
        <v>0</v>
      </c>
      <c r="AT123" s="80">
        <v>0</v>
      </c>
      <c r="AU123" s="80"/>
      <c r="AV123" s="80"/>
      <c r="AW123" s="80"/>
      <c r="AX123" s="80"/>
      <c r="AY123" s="80"/>
      <c r="AZ123" s="80"/>
      <c r="BA123" s="80"/>
      <c r="BB123" s="80"/>
      <c r="BC123">
        <v>1</v>
      </c>
      <c r="BD123" s="79" t="str">
        <f>REPLACE(INDEX(GroupVertices[Group],MATCH(Edges35[[#This Row],[Vertex 1]],GroupVertices[Vertex],0)),1,1,"")</f>
        <v>2</v>
      </c>
      <c r="BE123" s="79" t="str">
        <f>REPLACE(INDEX(GroupVertices[Group],MATCH(Edges35[[#This Row],[Vertex 2]],GroupVertices[Vertex],0)),1,1,"")</f>
        <v>2</v>
      </c>
      <c r="BF123" s="49"/>
      <c r="BG123" s="50"/>
      <c r="BH123" s="49"/>
      <c r="BI123" s="50"/>
      <c r="BJ123" s="49"/>
      <c r="BK123" s="50"/>
      <c r="BL123" s="49"/>
      <c r="BM123" s="50"/>
      <c r="BN123" s="49"/>
    </row>
    <row r="124" spans="1:66" ht="15">
      <c r="A124" s="65" t="s">
        <v>314</v>
      </c>
      <c r="B124" s="65" t="s">
        <v>368</v>
      </c>
      <c r="C124" s="66" t="s">
        <v>2647</v>
      </c>
      <c r="D124" s="67">
        <v>5</v>
      </c>
      <c r="E124" s="68"/>
      <c r="F124" s="69">
        <v>40</v>
      </c>
      <c r="G124" s="66"/>
      <c r="H124" s="70"/>
      <c r="I124" s="71"/>
      <c r="J124" s="71"/>
      <c r="K124" s="35" t="s">
        <v>65</v>
      </c>
      <c r="L124" s="78">
        <v>188</v>
      </c>
      <c r="M124" s="78"/>
      <c r="N124" s="73"/>
      <c r="O124" s="80" t="s">
        <v>384</v>
      </c>
      <c r="P124" s="82">
        <v>44460.794270833336</v>
      </c>
      <c r="Q124" s="80" t="s">
        <v>423</v>
      </c>
      <c r="R124" s="83" t="str">
        <f>HYPERLINK("https://www.jornada.com.mx/notas/2021/09/21/estados/inm-envia-por-avion-a-120-haitianos-a-chiapas-desde-coahuila/")</f>
        <v>https://www.jornada.com.mx/notas/2021/09/21/estados/inm-envia-por-avion-a-120-haitianos-a-chiapas-desde-coahuila/</v>
      </c>
      <c r="S124" s="80" t="s">
        <v>451</v>
      </c>
      <c r="T124" s="85" t="s">
        <v>496</v>
      </c>
      <c r="U124" s="80"/>
      <c r="V124" s="83" t="str">
        <f>HYPERLINK("https://pbs.twimg.com/profile_images/588503723002834944/95acWEsy_normal.jpg")</f>
        <v>https://pbs.twimg.com/profile_images/588503723002834944/95acWEsy_normal.jpg</v>
      </c>
      <c r="W124" s="82">
        <v>44460.794270833336</v>
      </c>
      <c r="X124" s="88">
        <v>44460</v>
      </c>
      <c r="Y124" s="85" t="s">
        <v>638</v>
      </c>
      <c r="Z124" s="83" t="str">
        <f>HYPERLINK("https://twitter.com/lajornadaonline/status/1440391314235822089")</f>
        <v>https://twitter.com/lajornadaonline/status/1440391314235822089</v>
      </c>
      <c r="AA124" s="80"/>
      <c r="AB124" s="80"/>
      <c r="AC124" s="85" t="s">
        <v>811</v>
      </c>
      <c r="AD124" s="80"/>
      <c r="AE124" s="80" t="b">
        <v>0</v>
      </c>
      <c r="AF124" s="80">
        <v>19</v>
      </c>
      <c r="AG124" s="85" t="s">
        <v>871</v>
      </c>
      <c r="AH124" s="80" t="b">
        <v>0</v>
      </c>
      <c r="AI124" s="80" t="s">
        <v>882</v>
      </c>
      <c r="AJ124" s="80"/>
      <c r="AK124" s="85" t="s">
        <v>871</v>
      </c>
      <c r="AL124" s="80" t="b">
        <v>0</v>
      </c>
      <c r="AM124" s="80">
        <v>6</v>
      </c>
      <c r="AN124" s="85" t="s">
        <v>871</v>
      </c>
      <c r="AO124" s="85" t="s">
        <v>893</v>
      </c>
      <c r="AP124" s="80" t="b">
        <v>0</v>
      </c>
      <c r="AQ124" s="85" t="s">
        <v>811</v>
      </c>
      <c r="AR124" s="80" t="s">
        <v>178</v>
      </c>
      <c r="AS124" s="80">
        <v>0</v>
      </c>
      <c r="AT124" s="80">
        <v>0</v>
      </c>
      <c r="AU124" s="80"/>
      <c r="AV124" s="80"/>
      <c r="AW124" s="80"/>
      <c r="AX124" s="80"/>
      <c r="AY124" s="80"/>
      <c r="AZ124" s="80"/>
      <c r="BA124" s="80"/>
      <c r="BB124" s="80"/>
      <c r="BC124">
        <v>1</v>
      </c>
      <c r="BD124" s="79" t="str">
        <f>REPLACE(INDEX(GroupVertices[Group],MATCH(Edges35[[#This Row],[Vertex 1]],GroupVertices[Vertex],0)),1,1,"")</f>
        <v>2</v>
      </c>
      <c r="BE124" s="79" t="str">
        <f>REPLACE(INDEX(GroupVertices[Group],MATCH(Edges35[[#This Row],[Vertex 2]],GroupVertices[Vertex],0)),1,1,"")</f>
        <v>2</v>
      </c>
      <c r="BF124" s="49">
        <v>0</v>
      </c>
      <c r="BG124" s="50">
        <v>0</v>
      </c>
      <c r="BH124" s="49">
        <v>0</v>
      </c>
      <c r="BI124" s="50">
        <v>0</v>
      </c>
      <c r="BJ124" s="49">
        <v>0</v>
      </c>
      <c r="BK124" s="50">
        <v>0</v>
      </c>
      <c r="BL124" s="49">
        <v>38</v>
      </c>
      <c r="BM124" s="50">
        <v>100</v>
      </c>
      <c r="BN124" s="49">
        <v>38</v>
      </c>
    </row>
    <row r="125" spans="1:66" ht="15">
      <c r="A125" s="65" t="s">
        <v>315</v>
      </c>
      <c r="B125" s="65" t="s">
        <v>314</v>
      </c>
      <c r="C125" s="66" t="s">
        <v>2647</v>
      </c>
      <c r="D125" s="67">
        <v>5</v>
      </c>
      <c r="E125" s="68"/>
      <c r="F125" s="69">
        <v>40</v>
      </c>
      <c r="G125" s="66"/>
      <c r="H125" s="70"/>
      <c r="I125" s="71"/>
      <c r="J125" s="71"/>
      <c r="K125" s="35" t="s">
        <v>65</v>
      </c>
      <c r="L125" s="78">
        <v>189</v>
      </c>
      <c r="M125" s="78"/>
      <c r="N125" s="73"/>
      <c r="O125" s="80" t="s">
        <v>383</v>
      </c>
      <c r="P125" s="82">
        <v>44461.080613425926</v>
      </c>
      <c r="Q125" s="80" t="s">
        <v>423</v>
      </c>
      <c r="R125" s="83" t="str">
        <f>HYPERLINK("https://www.jornada.com.mx/notas/2021/09/21/estados/inm-envia-por-avion-a-120-haitianos-a-chiapas-desde-coahuila/")</f>
        <v>https://www.jornada.com.mx/notas/2021/09/21/estados/inm-envia-por-avion-a-120-haitianos-a-chiapas-desde-coahuila/</v>
      </c>
      <c r="S125" s="80" t="s">
        <v>451</v>
      </c>
      <c r="T125" s="85" t="s">
        <v>496</v>
      </c>
      <c r="U125" s="80"/>
      <c r="V125" s="83" t="str">
        <f>HYPERLINK("https://pbs.twimg.com/profile_images/1236124521561829377/lbfyINMX_normal.jpg")</f>
        <v>https://pbs.twimg.com/profile_images/1236124521561829377/lbfyINMX_normal.jpg</v>
      </c>
      <c r="W125" s="82">
        <v>44461.080613425926</v>
      </c>
      <c r="X125" s="88">
        <v>44461</v>
      </c>
      <c r="Y125" s="85" t="s">
        <v>639</v>
      </c>
      <c r="Z125" s="83" t="str">
        <f>HYPERLINK("https://twitter.com/thegreatceir/status/1440495083522957314")</f>
        <v>https://twitter.com/thegreatceir/status/1440495083522957314</v>
      </c>
      <c r="AA125" s="80"/>
      <c r="AB125" s="80"/>
      <c r="AC125" s="85" t="s">
        <v>812</v>
      </c>
      <c r="AD125" s="80"/>
      <c r="AE125" s="80" t="b">
        <v>0</v>
      </c>
      <c r="AF125" s="80">
        <v>0</v>
      </c>
      <c r="AG125" s="85" t="s">
        <v>871</v>
      </c>
      <c r="AH125" s="80" t="b">
        <v>0</v>
      </c>
      <c r="AI125" s="80" t="s">
        <v>882</v>
      </c>
      <c r="AJ125" s="80"/>
      <c r="AK125" s="85" t="s">
        <v>871</v>
      </c>
      <c r="AL125" s="80" t="b">
        <v>0</v>
      </c>
      <c r="AM125" s="80">
        <v>6</v>
      </c>
      <c r="AN125" s="85" t="s">
        <v>811</v>
      </c>
      <c r="AO125" s="85" t="s">
        <v>889</v>
      </c>
      <c r="AP125" s="80" t="b">
        <v>0</v>
      </c>
      <c r="AQ125" s="85" t="s">
        <v>811</v>
      </c>
      <c r="AR125" s="80" t="s">
        <v>178</v>
      </c>
      <c r="AS125" s="80">
        <v>0</v>
      </c>
      <c r="AT125" s="80">
        <v>0</v>
      </c>
      <c r="AU125" s="80"/>
      <c r="AV125" s="80"/>
      <c r="AW125" s="80"/>
      <c r="AX125" s="80"/>
      <c r="AY125" s="80"/>
      <c r="AZ125" s="80"/>
      <c r="BA125" s="80"/>
      <c r="BB125" s="80"/>
      <c r="BC125">
        <v>1</v>
      </c>
      <c r="BD125" s="79" t="str">
        <f>REPLACE(INDEX(GroupVertices[Group],MATCH(Edges35[[#This Row],[Vertex 1]],GroupVertices[Vertex],0)),1,1,"")</f>
        <v>2</v>
      </c>
      <c r="BE125" s="79" t="str">
        <f>REPLACE(INDEX(GroupVertices[Group],MATCH(Edges35[[#This Row],[Vertex 2]],GroupVertices[Vertex],0)),1,1,"")</f>
        <v>2</v>
      </c>
      <c r="BF125" s="49"/>
      <c r="BG125" s="50"/>
      <c r="BH125" s="49"/>
      <c r="BI125" s="50"/>
      <c r="BJ125" s="49"/>
      <c r="BK125" s="50"/>
      <c r="BL125" s="49"/>
      <c r="BM125" s="50"/>
      <c r="BN125" s="49"/>
    </row>
    <row r="126" spans="1:66" ht="15">
      <c r="A126" s="65" t="s">
        <v>316</v>
      </c>
      <c r="B126" s="65" t="s">
        <v>332</v>
      </c>
      <c r="C126" s="66" t="s">
        <v>2647</v>
      </c>
      <c r="D126" s="67">
        <v>5</v>
      </c>
      <c r="E126" s="68"/>
      <c r="F126" s="69">
        <v>40</v>
      </c>
      <c r="G126" s="66"/>
      <c r="H126" s="70"/>
      <c r="I126" s="71"/>
      <c r="J126" s="71"/>
      <c r="K126" s="35" t="s">
        <v>65</v>
      </c>
      <c r="L126" s="78">
        <v>191</v>
      </c>
      <c r="M126" s="78"/>
      <c r="N126" s="73"/>
      <c r="O126" s="80" t="s">
        <v>383</v>
      </c>
      <c r="P126" s="82">
        <v>44461.08730324074</v>
      </c>
      <c r="Q126" s="80" t="s">
        <v>425</v>
      </c>
      <c r="R126" s="80"/>
      <c r="S126" s="80"/>
      <c r="T126" s="85" t="s">
        <v>498</v>
      </c>
      <c r="U126" s="83" t="str">
        <f>HYPERLINK("https://pbs.twimg.com/media/E_1U1pPVEAImP5O.jpg")</f>
        <v>https://pbs.twimg.com/media/E_1U1pPVEAImP5O.jpg</v>
      </c>
      <c r="V126" s="83" t="str">
        <f>HYPERLINK("https://pbs.twimg.com/media/E_1U1pPVEAImP5O.jpg")</f>
        <v>https://pbs.twimg.com/media/E_1U1pPVEAImP5O.jpg</v>
      </c>
      <c r="W126" s="82">
        <v>44461.08730324074</v>
      </c>
      <c r="X126" s="88">
        <v>44461</v>
      </c>
      <c r="Y126" s="85" t="s">
        <v>640</v>
      </c>
      <c r="Z126" s="83" t="str">
        <f>HYPERLINK("https://twitter.com/nancygrdz/status/1440497508262633472")</f>
        <v>https://twitter.com/nancygrdz/status/1440497508262633472</v>
      </c>
      <c r="AA126" s="80"/>
      <c r="AB126" s="80"/>
      <c r="AC126" s="85" t="s">
        <v>813</v>
      </c>
      <c r="AD126" s="80"/>
      <c r="AE126" s="80" t="b">
        <v>0</v>
      </c>
      <c r="AF126" s="80">
        <v>0</v>
      </c>
      <c r="AG126" s="85" t="s">
        <v>871</v>
      </c>
      <c r="AH126" s="80" t="b">
        <v>0</v>
      </c>
      <c r="AI126" s="80" t="s">
        <v>882</v>
      </c>
      <c r="AJ126" s="80"/>
      <c r="AK126" s="85" t="s">
        <v>871</v>
      </c>
      <c r="AL126" s="80" t="b">
        <v>0</v>
      </c>
      <c r="AM126" s="80">
        <v>36</v>
      </c>
      <c r="AN126" s="85" t="s">
        <v>830</v>
      </c>
      <c r="AO126" s="85" t="s">
        <v>889</v>
      </c>
      <c r="AP126" s="80" t="b">
        <v>0</v>
      </c>
      <c r="AQ126" s="85" t="s">
        <v>830</v>
      </c>
      <c r="AR126" s="80" t="s">
        <v>178</v>
      </c>
      <c r="AS126" s="80">
        <v>0</v>
      </c>
      <c r="AT126" s="80">
        <v>0</v>
      </c>
      <c r="AU126" s="80"/>
      <c r="AV126" s="80"/>
      <c r="AW126" s="80"/>
      <c r="AX126" s="80"/>
      <c r="AY126" s="80"/>
      <c r="AZ126" s="80"/>
      <c r="BA126" s="80"/>
      <c r="BB126" s="80"/>
      <c r="BC126">
        <v>1</v>
      </c>
      <c r="BD126" s="79" t="str">
        <f>REPLACE(INDEX(GroupVertices[Group],MATCH(Edges35[[#This Row],[Vertex 1]],GroupVertices[Vertex],0)),1,1,"")</f>
        <v>1</v>
      </c>
      <c r="BE126" s="79" t="str">
        <f>REPLACE(INDEX(GroupVertices[Group],MATCH(Edges35[[#This Row],[Vertex 2]],GroupVertices[Vertex],0)),1,1,"")</f>
        <v>1</v>
      </c>
      <c r="BF126" s="49">
        <v>0</v>
      </c>
      <c r="BG126" s="50">
        <v>0</v>
      </c>
      <c r="BH126" s="49">
        <v>0</v>
      </c>
      <c r="BI126" s="50">
        <v>0</v>
      </c>
      <c r="BJ126" s="49">
        <v>0</v>
      </c>
      <c r="BK126" s="50">
        <v>0</v>
      </c>
      <c r="BL126" s="49">
        <v>38</v>
      </c>
      <c r="BM126" s="50">
        <v>100</v>
      </c>
      <c r="BN126" s="49">
        <v>38</v>
      </c>
    </row>
    <row r="127" spans="1:66" ht="15">
      <c r="A127" s="65" t="s">
        <v>317</v>
      </c>
      <c r="B127" s="65" t="s">
        <v>332</v>
      </c>
      <c r="C127" s="66" t="s">
        <v>2647</v>
      </c>
      <c r="D127" s="67">
        <v>5</v>
      </c>
      <c r="E127" s="68"/>
      <c r="F127" s="69">
        <v>40</v>
      </c>
      <c r="G127" s="66"/>
      <c r="H127" s="70"/>
      <c r="I127" s="71"/>
      <c r="J127" s="71"/>
      <c r="K127" s="35" t="s">
        <v>65</v>
      </c>
      <c r="L127" s="78">
        <v>192</v>
      </c>
      <c r="M127" s="78"/>
      <c r="N127" s="73"/>
      <c r="O127" s="80" t="s">
        <v>383</v>
      </c>
      <c r="P127" s="82">
        <v>44461.1406712963</v>
      </c>
      <c r="Q127" s="80" t="s">
        <v>425</v>
      </c>
      <c r="R127" s="80"/>
      <c r="S127" s="80"/>
      <c r="T127" s="85" t="s">
        <v>498</v>
      </c>
      <c r="U127" s="83" t="str">
        <f>HYPERLINK("https://pbs.twimg.com/media/E_1U1pPVEAImP5O.jpg")</f>
        <v>https://pbs.twimg.com/media/E_1U1pPVEAImP5O.jpg</v>
      </c>
      <c r="V127" s="83" t="str">
        <f>HYPERLINK("https://pbs.twimg.com/media/E_1U1pPVEAImP5O.jpg")</f>
        <v>https://pbs.twimg.com/media/E_1U1pPVEAImP5O.jpg</v>
      </c>
      <c r="W127" s="82">
        <v>44461.1406712963</v>
      </c>
      <c r="X127" s="88">
        <v>44461</v>
      </c>
      <c r="Y127" s="85" t="s">
        <v>641</v>
      </c>
      <c r="Z127" s="83" t="str">
        <f>HYPERLINK("https://twitter.com/argelmoren/status/1440516846831038474")</f>
        <v>https://twitter.com/argelmoren/status/1440516846831038474</v>
      </c>
      <c r="AA127" s="80"/>
      <c r="AB127" s="80"/>
      <c r="AC127" s="85" t="s">
        <v>814</v>
      </c>
      <c r="AD127" s="80"/>
      <c r="AE127" s="80" t="b">
        <v>0</v>
      </c>
      <c r="AF127" s="80">
        <v>0</v>
      </c>
      <c r="AG127" s="85" t="s">
        <v>871</v>
      </c>
      <c r="AH127" s="80" t="b">
        <v>0</v>
      </c>
      <c r="AI127" s="80" t="s">
        <v>882</v>
      </c>
      <c r="AJ127" s="80"/>
      <c r="AK127" s="85" t="s">
        <v>871</v>
      </c>
      <c r="AL127" s="80" t="b">
        <v>0</v>
      </c>
      <c r="AM127" s="80">
        <v>36</v>
      </c>
      <c r="AN127" s="85" t="s">
        <v>830</v>
      </c>
      <c r="AO127" s="85" t="s">
        <v>889</v>
      </c>
      <c r="AP127" s="80" t="b">
        <v>0</v>
      </c>
      <c r="AQ127" s="85" t="s">
        <v>830</v>
      </c>
      <c r="AR127" s="80" t="s">
        <v>178</v>
      </c>
      <c r="AS127" s="80">
        <v>0</v>
      </c>
      <c r="AT127" s="80">
        <v>0</v>
      </c>
      <c r="AU127" s="80"/>
      <c r="AV127" s="80"/>
      <c r="AW127" s="80"/>
      <c r="AX127" s="80"/>
      <c r="AY127" s="80"/>
      <c r="AZ127" s="80"/>
      <c r="BA127" s="80"/>
      <c r="BB127" s="80"/>
      <c r="BC127">
        <v>1</v>
      </c>
      <c r="BD127" s="79" t="str">
        <f>REPLACE(INDEX(GroupVertices[Group],MATCH(Edges35[[#This Row],[Vertex 1]],GroupVertices[Vertex],0)),1,1,"")</f>
        <v>1</v>
      </c>
      <c r="BE127" s="79" t="str">
        <f>REPLACE(INDEX(GroupVertices[Group],MATCH(Edges35[[#This Row],[Vertex 2]],GroupVertices[Vertex],0)),1,1,"")</f>
        <v>1</v>
      </c>
      <c r="BF127" s="49">
        <v>0</v>
      </c>
      <c r="BG127" s="50">
        <v>0</v>
      </c>
      <c r="BH127" s="49">
        <v>0</v>
      </c>
      <c r="BI127" s="50">
        <v>0</v>
      </c>
      <c r="BJ127" s="49">
        <v>0</v>
      </c>
      <c r="BK127" s="50">
        <v>0</v>
      </c>
      <c r="BL127" s="49">
        <v>38</v>
      </c>
      <c r="BM127" s="50">
        <v>100</v>
      </c>
      <c r="BN127" s="49">
        <v>38</v>
      </c>
    </row>
    <row r="128" spans="1:66" ht="15">
      <c r="A128" s="65" t="s">
        <v>318</v>
      </c>
      <c r="B128" s="65" t="s">
        <v>332</v>
      </c>
      <c r="C128" s="66" t="s">
        <v>2647</v>
      </c>
      <c r="D128" s="67">
        <v>5</v>
      </c>
      <c r="E128" s="68"/>
      <c r="F128" s="69">
        <v>40</v>
      </c>
      <c r="G128" s="66"/>
      <c r="H128" s="70"/>
      <c r="I128" s="71"/>
      <c r="J128" s="71"/>
      <c r="K128" s="35" t="s">
        <v>65</v>
      </c>
      <c r="L128" s="78">
        <v>193</v>
      </c>
      <c r="M128" s="78"/>
      <c r="N128" s="73"/>
      <c r="O128" s="80" t="s">
        <v>383</v>
      </c>
      <c r="P128" s="82">
        <v>44461.176458333335</v>
      </c>
      <c r="Q128" s="80" t="s">
        <v>425</v>
      </c>
      <c r="R128" s="80"/>
      <c r="S128" s="80"/>
      <c r="T128" s="85" t="s">
        <v>498</v>
      </c>
      <c r="U128" s="83" t="str">
        <f>HYPERLINK("https://pbs.twimg.com/media/E_1U1pPVEAImP5O.jpg")</f>
        <v>https://pbs.twimg.com/media/E_1U1pPVEAImP5O.jpg</v>
      </c>
      <c r="V128" s="83" t="str">
        <f>HYPERLINK("https://pbs.twimg.com/media/E_1U1pPVEAImP5O.jpg")</f>
        <v>https://pbs.twimg.com/media/E_1U1pPVEAImP5O.jpg</v>
      </c>
      <c r="W128" s="82">
        <v>44461.176458333335</v>
      </c>
      <c r="X128" s="88">
        <v>44461</v>
      </c>
      <c r="Y128" s="85" t="s">
        <v>642</v>
      </c>
      <c r="Z128" s="83" t="str">
        <f>HYPERLINK("https://twitter.com/febl/status/1440529817766555649")</f>
        <v>https://twitter.com/febl/status/1440529817766555649</v>
      </c>
      <c r="AA128" s="80"/>
      <c r="AB128" s="80"/>
      <c r="AC128" s="85" t="s">
        <v>815</v>
      </c>
      <c r="AD128" s="80"/>
      <c r="AE128" s="80" t="b">
        <v>0</v>
      </c>
      <c r="AF128" s="80">
        <v>0</v>
      </c>
      <c r="AG128" s="85" t="s">
        <v>871</v>
      </c>
      <c r="AH128" s="80" t="b">
        <v>0</v>
      </c>
      <c r="AI128" s="80" t="s">
        <v>882</v>
      </c>
      <c r="AJ128" s="80"/>
      <c r="AK128" s="85" t="s">
        <v>871</v>
      </c>
      <c r="AL128" s="80" t="b">
        <v>0</v>
      </c>
      <c r="AM128" s="80">
        <v>36</v>
      </c>
      <c r="AN128" s="85" t="s">
        <v>830</v>
      </c>
      <c r="AO128" s="85" t="s">
        <v>890</v>
      </c>
      <c r="AP128" s="80" t="b">
        <v>0</v>
      </c>
      <c r="AQ128" s="85" t="s">
        <v>830</v>
      </c>
      <c r="AR128" s="80" t="s">
        <v>178</v>
      </c>
      <c r="AS128" s="80">
        <v>0</v>
      </c>
      <c r="AT128" s="80">
        <v>0</v>
      </c>
      <c r="AU128" s="80"/>
      <c r="AV128" s="80"/>
      <c r="AW128" s="80"/>
      <c r="AX128" s="80"/>
      <c r="AY128" s="80"/>
      <c r="AZ128" s="80"/>
      <c r="BA128" s="80"/>
      <c r="BB128" s="80"/>
      <c r="BC128">
        <v>1</v>
      </c>
      <c r="BD128" s="79" t="str">
        <f>REPLACE(INDEX(GroupVertices[Group],MATCH(Edges35[[#This Row],[Vertex 1]],GroupVertices[Vertex],0)),1,1,"")</f>
        <v>1</v>
      </c>
      <c r="BE128" s="79" t="str">
        <f>REPLACE(INDEX(GroupVertices[Group],MATCH(Edges35[[#This Row],[Vertex 2]],GroupVertices[Vertex],0)),1,1,"")</f>
        <v>1</v>
      </c>
      <c r="BF128" s="49">
        <v>0</v>
      </c>
      <c r="BG128" s="50">
        <v>0</v>
      </c>
      <c r="BH128" s="49">
        <v>0</v>
      </c>
      <c r="BI128" s="50">
        <v>0</v>
      </c>
      <c r="BJ128" s="49">
        <v>0</v>
      </c>
      <c r="BK128" s="50">
        <v>0</v>
      </c>
      <c r="BL128" s="49">
        <v>38</v>
      </c>
      <c r="BM128" s="50">
        <v>100</v>
      </c>
      <c r="BN128" s="49">
        <v>38</v>
      </c>
    </row>
    <row r="129" spans="1:66" ht="15">
      <c r="A129" s="65" t="s">
        <v>319</v>
      </c>
      <c r="B129" s="65" t="s">
        <v>376</v>
      </c>
      <c r="C129" s="66" t="s">
        <v>2647</v>
      </c>
      <c r="D129" s="67">
        <v>5</v>
      </c>
      <c r="E129" s="68"/>
      <c r="F129" s="69">
        <v>40</v>
      </c>
      <c r="G129" s="66"/>
      <c r="H129" s="70"/>
      <c r="I129" s="71"/>
      <c r="J129" s="71"/>
      <c r="K129" s="35" t="s">
        <v>65</v>
      </c>
      <c r="L129" s="78">
        <v>194</v>
      </c>
      <c r="M129" s="78"/>
      <c r="N129" s="73"/>
      <c r="O129" s="80" t="s">
        <v>382</v>
      </c>
      <c r="P129" s="82">
        <v>44461.200694444444</v>
      </c>
      <c r="Q129" s="80" t="s">
        <v>426</v>
      </c>
      <c r="R129" s="80"/>
      <c r="S129" s="80"/>
      <c r="T129" s="85" t="s">
        <v>499</v>
      </c>
      <c r="U129" s="83" t="str">
        <f>HYPERLINK("https://pbs.twimg.com/media/E_1Ow97UUAYV0Is.jpg")</f>
        <v>https://pbs.twimg.com/media/E_1Ow97UUAYV0Is.jpg</v>
      </c>
      <c r="V129" s="83" t="str">
        <f>HYPERLINK("https://pbs.twimg.com/media/E_1Ow97UUAYV0Is.jpg")</f>
        <v>https://pbs.twimg.com/media/E_1Ow97UUAYV0Is.jpg</v>
      </c>
      <c r="W129" s="82">
        <v>44461.200694444444</v>
      </c>
      <c r="X129" s="88">
        <v>44461</v>
      </c>
      <c r="Y129" s="85" t="s">
        <v>643</v>
      </c>
      <c r="Z129" s="83" t="str">
        <f>HYPERLINK("https://twitter.com/jan_aguileram/status/1440538598973980680")</f>
        <v>https://twitter.com/jan_aguileram/status/1440538598973980680</v>
      </c>
      <c r="AA129" s="80"/>
      <c r="AB129" s="80"/>
      <c r="AC129" s="85" t="s">
        <v>816</v>
      </c>
      <c r="AD129" s="80"/>
      <c r="AE129" s="80" t="b">
        <v>0</v>
      </c>
      <c r="AF129" s="80">
        <v>0</v>
      </c>
      <c r="AG129" s="85" t="s">
        <v>871</v>
      </c>
      <c r="AH129" s="80" t="b">
        <v>0</v>
      </c>
      <c r="AI129" s="80" t="s">
        <v>882</v>
      </c>
      <c r="AJ129" s="80"/>
      <c r="AK129" s="85" t="s">
        <v>871</v>
      </c>
      <c r="AL129" s="80" t="b">
        <v>0</v>
      </c>
      <c r="AM129" s="80">
        <v>3</v>
      </c>
      <c r="AN129" s="85" t="s">
        <v>857</v>
      </c>
      <c r="AO129" s="85" t="s">
        <v>890</v>
      </c>
      <c r="AP129" s="80" t="b">
        <v>0</v>
      </c>
      <c r="AQ129" s="85" t="s">
        <v>857</v>
      </c>
      <c r="AR129" s="80" t="s">
        <v>178</v>
      </c>
      <c r="AS129" s="80">
        <v>0</v>
      </c>
      <c r="AT129" s="80">
        <v>0</v>
      </c>
      <c r="AU129" s="80"/>
      <c r="AV129" s="80"/>
      <c r="AW129" s="80"/>
      <c r="AX129" s="80"/>
      <c r="AY129" s="80"/>
      <c r="AZ129" s="80"/>
      <c r="BA129" s="80"/>
      <c r="BB129" s="80"/>
      <c r="BC129">
        <v>1</v>
      </c>
      <c r="BD129" s="79" t="str">
        <f>REPLACE(INDEX(GroupVertices[Group],MATCH(Edges35[[#This Row],[Vertex 1]],GroupVertices[Vertex],0)),1,1,"")</f>
        <v>7</v>
      </c>
      <c r="BE129" s="79" t="str">
        <f>REPLACE(INDEX(GroupVertices[Group],MATCH(Edges35[[#This Row],[Vertex 2]],GroupVertices[Vertex],0)),1,1,"")</f>
        <v>7</v>
      </c>
      <c r="BF129" s="49"/>
      <c r="BG129" s="50"/>
      <c r="BH129" s="49"/>
      <c r="BI129" s="50"/>
      <c r="BJ129" s="49"/>
      <c r="BK129" s="50"/>
      <c r="BL129" s="49"/>
      <c r="BM129" s="50"/>
      <c r="BN129" s="49"/>
    </row>
    <row r="130" spans="1:66" ht="15">
      <c r="A130" s="65" t="s">
        <v>320</v>
      </c>
      <c r="B130" s="65" t="s">
        <v>332</v>
      </c>
      <c r="C130" s="66" t="s">
        <v>2647</v>
      </c>
      <c r="D130" s="67">
        <v>5</v>
      </c>
      <c r="E130" s="68"/>
      <c r="F130" s="69">
        <v>40</v>
      </c>
      <c r="G130" s="66"/>
      <c r="H130" s="70"/>
      <c r="I130" s="71"/>
      <c r="J130" s="71"/>
      <c r="K130" s="35" t="s">
        <v>65</v>
      </c>
      <c r="L130" s="78">
        <v>196</v>
      </c>
      <c r="M130" s="78"/>
      <c r="N130" s="73"/>
      <c r="O130" s="80" t="s">
        <v>383</v>
      </c>
      <c r="P130" s="82">
        <v>44461.20748842593</v>
      </c>
      <c r="Q130" s="80" t="s">
        <v>425</v>
      </c>
      <c r="R130" s="80"/>
      <c r="S130" s="80"/>
      <c r="T130" s="85" t="s">
        <v>498</v>
      </c>
      <c r="U130" s="83" t="str">
        <f>HYPERLINK("https://pbs.twimg.com/media/E_1U1pPVEAImP5O.jpg")</f>
        <v>https://pbs.twimg.com/media/E_1U1pPVEAImP5O.jpg</v>
      </c>
      <c r="V130" s="83" t="str">
        <f>HYPERLINK("https://pbs.twimg.com/media/E_1U1pPVEAImP5O.jpg")</f>
        <v>https://pbs.twimg.com/media/E_1U1pPVEAImP5O.jpg</v>
      </c>
      <c r="W130" s="82">
        <v>44461.20748842593</v>
      </c>
      <c r="X130" s="88">
        <v>44461</v>
      </c>
      <c r="Y130" s="85" t="s">
        <v>644</v>
      </c>
      <c r="Z130" s="83" t="str">
        <f>HYPERLINK("https://twitter.com/caracas0057/status/1440541062267740163")</f>
        <v>https://twitter.com/caracas0057/status/1440541062267740163</v>
      </c>
      <c r="AA130" s="80"/>
      <c r="AB130" s="80"/>
      <c r="AC130" s="85" t="s">
        <v>817</v>
      </c>
      <c r="AD130" s="80"/>
      <c r="AE130" s="80" t="b">
        <v>0</v>
      </c>
      <c r="AF130" s="80">
        <v>0</v>
      </c>
      <c r="AG130" s="85" t="s">
        <v>871</v>
      </c>
      <c r="AH130" s="80" t="b">
        <v>0</v>
      </c>
      <c r="AI130" s="80" t="s">
        <v>882</v>
      </c>
      <c r="AJ130" s="80"/>
      <c r="AK130" s="85" t="s">
        <v>871</v>
      </c>
      <c r="AL130" s="80" t="b">
        <v>0</v>
      </c>
      <c r="AM130" s="80">
        <v>36</v>
      </c>
      <c r="AN130" s="85" t="s">
        <v>830</v>
      </c>
      <c r="AO130" s="85" t="s">
        <v>889</v>
      </c>
      <c r="AP130" s="80" t="b">
        <v>0</v>
      </c>
      <c r="AQ130" s="85" t="s">
        <v>830</v>
      </c>
      <c r="AR130" s="80" t="s">
        <v>178</v>
      </c>
      <c r="AS130" s="80">
        <v>0</v>
      </c>
      <c r="AT130" s="80">
        <v>0</v>
      </c>
      <c r="AU130" s="80"/>
      <c r="AV130" s="80"/>
      <c r="AW130" s="80"/>
      <c r="AX130" s="80"/>
      <c r="AY130" s="80"/>
      <c r="AZ130" s="80"/>
      <c r="BA130" s="80"/>
      <c r="BB130" s="80"/>
      <c r="BC130">
        <v>1</v>
      </c>
      <c r="BD130" s="79" t="str">
        <f>REPLACE(INDEX(GroupVertices[Group],MATCH(Edges35[[#This Row],[Vertex 1]],GroupVertices[Vertex],0)),1,1,"")</f>
        <v>1</v>
      </c>
      <c r="BE130" s="79" t="str">
        <f>REPLACE(INDEX(GroupVertices[Group],MATCH(Edges35[[#This Row],[Vertex 2]],GroupVertices[Vertex],0)),1,1,"")</f>
        <v>1</v>
      </c>
      <c r="BF130" s="49">
        <v>0</v>
      </c>
      <c r="BG130" s="50">
        <v>0</v>
      </c>
      <c r="BH130" s="49">
        <v>0</v>
      </c>
      <c r="BI130" s="50">
        <v>0</v>
      </c>
      <c r="BJ130" s="49">
        <v>0</v>
      </c>
      <c r="BK130" s="50">
        <v>0</v>
      </c>
      <c r="BL130" s="49">
        <v>38</v>
      </c>
      <c r="BM130" s="50">
        <v>100</v>
      </c>
      <c r="BN130" s="49">
        <v>38</v>
      </c>
    </row>
    <row r="131" spans="1:66" ht="15">
      <c r="A131" s="65" t="s">
        <v>321</v>
      </c>
      <c r="B131" s="65" t="s">
        <v>332</v>
      </c>
      <c r="C131" s="66" t="s">
        <v>2647</v>
      </c>
      <c r="D131" s="67">
        <v>5</v>
      </c>
      <c r="E131" s="68"/>
      <c r="F131" s="69">
        <v>40</v>
      </c>
      <c r="G131" s="66"/>
      <c r="H131" s="70"/>
      <c r="I131" s="71"/>
      <c r="J131" s="71"/>
      <c r="K131" s="35" t="s">
        <v>65</v>
      </c>
      <c r="L131" s="78">
        <v>197</v>
      </c>
      <c r="M131" s="78"/>
      <c r="N131" s="73"/>
      <c r="O131" s="80" t="s">
        <v>383</v>
      </c>
      <c r="P131" s="82">
        <v>44461.230219907404</v>
      </c>
      <c r="Q131" s="80" t="s">
        <v>425</v>
      </c>
      <c r="R131" s="80"/>
      <c r="S131" s="80"/>
      <c r="T131" s="85" t="s">
        <v>498</v>
      </c>
      <c r="U131" s="83" t="str">
        <f>HYPERLINK("https://pbs.twimg.com/media/E_1U1pPVEAImP5O.jpg")</f>
        <v>https://pbs.twimg.com/media/E_1U1pPVEAImP5O.jpg</v>
      </c>
      <c r="V131" s="83" t="str">
        <f>HYPERLINK("https://pbs.twimg.com/media/E_1U1pPVEAImP5O.jpg")</f>
        <v>https://pbs.twimg.com/media/E_1U1pPVEAImP5O.jpg</v>
      </c>
      <c r="W131" s="82">
        <v>44461.230219907404</v>
      </c>
      <c r="X131" s="88">
        <v>44461</v>
      </c>
      <c r="Y131" s="85" t="s">
        <v>645</v>
      </c>
      <c r="Z131" s="83" t="str">
        <f>HYPERLINK("https://twitter.com/victorvola/status/1440549299348140035")</f>
        <v>https://twitter.com/victorvola/status/1440549299348140035</v>
      </c>
      <c r="AA131" s="80"/>
      <c r="AB131" s="80"/>
      <c r="AC131" s="85" t="s">
        <v>818</v>
      </c>
      <c r="AD131" s="80"/>
      <c r="AE131" s="80" t="b">
        <v>0</v>
      </c>
      <c r="AF131" s="80">
        <v>0</v>
      </c>
      <c r="AG131" s="85" t="s">
        <v>871</v>
      </c>
      <c r="AH131" s="80" t="b">
        <v>0</v>
      </c>
      <c r="AI131" s="80" t="s">
        <v>882</v>
      </c>
      <c r="AJ131" s="80"/>
      <c r="AK131" s="85" t="s">
        <v>871</v>
      </c>
      <c r="AL131" s="80" t="b">
        <v>0</v>
      </c>
      <c r="AM131" s="80">
        <v>36</v>
      </c>
      <c r="AN131" s="85" t="s">
        <v>830</v>
      </c>
      <c r="AO131" s="85" t="s">
        <v>889</v>
      </c>
      <c r="AP131" s="80" t="b">
        <v>0</v>
      </c>
      <c r="AQ131" s="85" t="s">
        <v>830</v>
      </c>
      <c r="AR131" s="80" t="s">
        <v>178</v>
      </c>
      <c r="AS131" s="80">
        <v>0</v>
      </c>
      <c r="AT131" s="80">
        <v>0</v>
      </c>
      <c r="AU131" s="80"/>
      <c r="AV131" s="80"/>
      <c r="AW131" s="80"/>
      <c r="AX131" s="80"/>
      <c r="AY131" s="80"/>
      <c r="AZ131" s="80"/>
      <c r="BA131" s="80"/>
      <c r="BB131" s="80"/>
      <c r="BC131">
        <v>1</v>
      </c>
      <c r="BD131" s="79" t="str">
        <f>REPLACE(INDEX(GroupVertices[Group],MATCH(Edges35[[#This Row],[Vertex 1]],GroupVertices[Vertex],0)),1,1,"")</f>
        <v>1</v>
      </c>
      <c r="BE131" s="79" t="str">
        <f>REPLACE(INDEX(GroupVertices[Group],MATCH(Edges35[[#This Row],[Vertex 2]],GroupVertices[Vertex],0)),1,1,"")</f>
        <v>1</v>
      </c>
      <c r="BF131" s="49">
        <v>0</v>
      </c>
      <c r="BG131" s="50">
        <v>0</v>
      </c>
      <c r="BH131" s="49">
        <v>0</v>
      </c>
      <c r="BI131" s="50">
        <v>0</v>
      </c>
      <c r="BJ131" s="49">
        <v>0</v>
      </c>
      <c r="BK131" s="50">
        <v>0</v>
      </c>
      <c r="BL131" s="49">
        <v>38</v>
      </c>
      <c r="BM131" s="50">
        <v>100</v>
      </c>
      <c r="BN131" s="49">
        <v>38</v>
      </c>
    </row>
    <row r="132" spans="1:66" ht="15">
      <c r="A132" s="65" t="s">
        <v>322</v>
      </c>
      <c r="B132" s="65" t="s">
        <v>332</v>
      </c>
      <c r="C132" s="66" t="s">
        <v>2647</v>
      </c>
      <c r="D132" s="67">
        <v>5</v>
      </c>
      <c r="E132" s="68"/>
      <c r="F132" s="69">
        <v>40</v>
      </c>
      <c r="G132" s="66"/>
      <c r="H132" s="70"/>
      <c r="I132" s="71"/>
      <c r="J132" s="71"/>
      <c r="K132" s="35" t="s">
        <v>65</v>
      </c>
      <c r="L132" s="78">
        <v>198</v>
      </c>
      <c r="M132" s="78"/>
      <c r="N132" s="73"/>
      <c r="O132" s="80" t="s">
        <v>383</v>
      </c>
      <c r="P132" s="82">
        <v>44461.25283564815</v>
      </c>
      <c r="Q132" s="80" t="s">
        <v>425</v>
      </c>
      <c r="R132" s="80"/>
      <c r="S132" s="80"/>
      <c r="T132" s="85" t="s">
        <v>498</v>
      </c>
      <c r="U132" s="83" t="str">
        <f>HYPERLINK("https://pbs.twimg.com/media/E_1U1pPVEAImP5O.jpg")</f>
        <v>https://pbs.twimg.com/media/E_1U1pPVEAImP5O.jpg</v>
      </c>
      <c r="V132" s="83" t="str">
        <f>HYPERLINK("https://pbs.twimg.com/media/E_1U1pPVEAImP5O.jpg")</f>
        <v>https://pbs.twimg.com/media/E_1U1pPVEAImP5O.jpg</v>
      </c>
      <c r="W132" s="82">
        <v>44461.25283564815</v>
      </c>
      <c r="X132" s="88">
        <v>44461</v>
      </c>
      <c r="Y132" s="85" t="s">
        <v>646</v>
      </c>
      <c r="Z132" s="83" t="str">
        <f>HYPERLINK("https://twitter.com/voyagercosmic85/status/1440557495370407941")</f>
        <v>https://twitter.com/voyagercosmic85/status/1440557495370407941</v>
      </c>
      <c r="AA132" s="80"/>
      <c r="AB132" s="80"/>
      <c r="AC132" s="85" t="s">
        <v>819</v>
      </c>
      <c r="AD132" s="80"/>
      <c r="AE132" s="80" t="b">
        <v>0</v>
      </c>
      <c r="AF132" s="80">
        <v>0</v>
      </c>
      <c r="AG132" s="85" t="s">
        <v>871</v>
      </c>
      <c r="AH132" s="80" t="b">
        <v>0</v>
      </c>
      <c r="AI132" s="80" t="s">
        <v>882</v>
      </c>
      <c r="AJ132" s="80"/>
      <c r="AK132" s="85" t="s">
        <v>871</v>
      </c>
      <c r="AL132" s="80" t="b">
        <v>0</v>
      </c>
      <c r="AM132" s="80">
        <v>36</v>
      </c>
      <c r="AN132" s="85" t="s">
        <v>830</v>
      </c>
      <c r="AO132" s="85" t="s">
        <v>889</v>
      </c>
      <c r="AP132" s="80" t="b">
        <v>0</v>
      </c>
      <c r="AQ132" s="85" t="s">
        <v>830</v>
      </c>
      <c r="AR132" s="80" t="s">
        <v>178</v>
      </c>
      <c r="AS132" s="80">
        <v>0</v>
      </c>
      <c r="AT132" s="80">
        <v>0</v>
      </c>
      <c r="AU132" s="80"/>
      <c r="AV132" s="80"/>
      <c r="AW132" s="80"/>
      <c r="AX132" s="80"/>
      <c r="AY132" s="80"/>
      <c r="AZ132" s="80"/>
      <c r="BA132" s="80"/>
      <c r="BB132" s="80"/>
      <c r="BC132">
        <v>1</v>
      </c>
      <c r="BD132" s="79" t="str">
        <f>REPLACE(INDEX(GroupVertices[Group],MATCH(Edges35[[#This Row],[Vertex 1]],GroupVertices[Vertex],0)),1,1,"")</f>
        <v>1</v>
      </c>
      <c r="BE132" s="79" t="str">
        <f>REPLACE(INDEX(GroupVertices[Group],MATCH(Edges35[[#This Row],[Vertex 2]],GroupVertices[Vertex],0)),1,1,"")</f>
        <v>1</v>
      </c>
      <c r="BF132" s="49">
        <v>0</v>
      </c>
      <c r="BG132" s="50">
        <v>0</v>
      </c>
      <c r="BH132" s="49">
        <v>0</v>
      </c>
      <c r="BI132" s="50">
        <v>0</v>
      </c>
      <c r="BJ132" s="49">
        <v>0</v>
      </c>
      <c r="BK132" s="50">
        <v>0</v>
      </c>
      <c r="BL132" s="49">
        <v>38</v>
      </c>
      <c r="BM132" s="50">
        <v>100</v>
      </c>
      <c r="BN132" s="49">
        <v>38</v>
      </c>
    </row>
    <row r="133" spans="1:66" ht="15">
      <c r="A133" s="65" t="s">
        <v>323</v>
      </c>
      <c r="B133" s="65" t="s">
        <v>332</v>
      </c>
      <c r="C133" s="66" t="s">
        <v>2647</v>
      </c>
      <c r="D133" s="67">
        <v>5</v>
      </c>
      <c r="E133" s="68"/>
      <c r="F133" s="69">
        <v>40</v>
      </c>
      <c r="G133" s="66"/>
      <c r="H133" s="70"/>
      <c r="I133" s="71"/>
      <c r="J133" s="71"/>
      <c r="K133" s="35" t="s">
        <v>65</v>
      </c>
      <c r="L133" s="78">
        <v>199</v>
      </c>
      <c r="M133" s="78"/>
      <c r="N133" s="73"/>
      <c r="O133" s="80" t="s">
        <v>383</v>
      </c>
      <c r="P133" s="82">
        <v>44461.26341435185</v>
      </c>
      <c r="Q133" s="80" t="s">
        <v>425</v>
      </c>
      <c r="R133" s="80"/>
      <c r="S133" s="80"/>
      <c r="T133" s="85" t="s">
        <v>498</v>
      </c>
      <c r="U133" s="83" t="str">
        <f>HYPERLINK("https://pbs.twimg.com/media/E_1U1pPVEAImP5O.jpg")</f>
        <v>https://pbs.twimg.com/media/E_1U1pPVEAImP5O.jpg</v>
      </c>
      <c r="V133" s="83" t="str">
        <f>HYPERLINK("https://pbs.twimg.com/media/E_1U1pPVEAImP5O.jpg")</f>
        <v>https://pbs.twimg.com/media/E_1U1pPVEAImP5O.jpg</v>
      </c>
      <c r="W133" s="82">
        <v>44461.26341435185</v>
      </c>
      <c r="X133" s="88">
        <v>44461</v>
      </c>
      <c r="Y133" s="85" t="s">
        <v>647</v>
      </c>
      <c r="Z133" s="83" t="str">
        <f>HYPERLINK("https://twitter.com/_riverasergio/status/1440561329320775682")</f>
        <v>https://twitter.com/_riverasergio/status/1440561329320775682</v>
      </c>
      <c r="AA133" s="80"/>
      <c r="AB133" s="80"/>
      <c r="AC133" s="85" t="s">
        <v>820</v>
      </c>
      <c r="AD133" s="80"/>
      <c r="AE133" s="80" t="b">
        <v>0</v>
      </c>
      <c r="AF133" s="80">
        <v>0</v>
      </c>
      <c r="AG133" s="85" t="s">
        <v>871</v>
      </c>
      <c r="AH133" s="80" t="b">
        <v>0</v>
      </c>
      <c r="AI133" s="80" t="s">
        <v>882</v>
      </c>
      <c r="AJ133" s="80"/>
      <c r="AK133" s="85" t="s">
        <v>871</v>
      </c>
      <c r="AL133" s="80" t="b">
        <v>0</v>
      </c>
      <c r="AM133" s="80">
        <v>36</v>
      </c>
      <c r="AN133" s="85" t="s">
        <v>830</v>
      </c>
      <c r="AO133" s="85" t="s">
        <v>889</v>
      </c>
      <c r="AP133" s="80" t="b">
        <v>0</v>
      </c>
      <c r="AQ133" s="85" t="s">
        <v>830</v>
      </c>
      <c r="AR133" s="80" t="s">
        <v>178</v>
      </c>
      <c r="AS133" s="80">
        <v>0</v>
      </c>
      <c r="AT133" s="80">
        <v>0</v>
      </c>
      <c r="AU133" s="80"/>
      <c r="AV133" s="80"/>
      <c r="AW133" s="80"/>
      <c r="AX133" s="80"/>
      <c r="AY133" s="80"/>
      <c r="AZ133" s="80"/>
      <c r="BA133" s="80"/>
      <c r="BB133" s="80"/>
      <c r="BC133">
        <v>1</v>
      </c>
      <c r="BD133" s="79" t="str">
        <f>REPLACE(INDEX(GroupVertices[Group],MATCH(Edges35[[#This Row],[Vertex 1]],GroupVertices[Vertex],0)),1,1,"")</f>
        <v>1</v>
      </c>
      <c r="BE133" s="79" t="str">
        <f>REPLACE(INDEX(GroupVertices[Group],MATCH(Edges35[[#This Row],[Vertex 2]],GroupVertices[Vertex],0)),1,1,"")</f>
        <v>1</v>
      </c>
      <c r="BF133" s="49">
        <v>0</v>
      </c>
      <c r="BG133" s="50">
        <v>0</v>
      </c>
      <c r="BH133" s="49">
        <v>0</v>
      </c>
      <c r="BI133" s="50">
        <v>0</v>
      </c>
      <c r="BJ133" s="49">
        <v>0</v>
      </c>
      <c r="BK133" s="50">
        <v>0</v>
      </c>
      <c r="BL133" s="49">
        <v>38</v>
      </c>
      <c r="BM133" s="50">
        <v>100</v>
      </c>
      <c r="BN133" s="49">
        <v>38</v>
      </c>
    </row>
    <row r="134" spans="1:66" ht="15">
      <c r="A134" s="65" t="s">
        <v>324</v>
      </c>
      <c r="B134" s="65" t="s">
        <v>332</v>
      </c>
      <c r="C134" s="66" t="s">
        <v>2647</v>
      </c>
      <c r="D134" s="67">
        <v>5</v>
      </c>
      <c r="E134" s="68"/>
      <c r="F134" s="69">
        <v>40</v>
      </c>
      <c r="G134" s="66"/>
      <c r="H134" s="70"/>
      <c r="I134" s="71"/>
      <c r="J134" s="71"/>
      <c r="K134" s="35" t="s">
        <v>65</v>
      </c>
      <c r="L134" s="78">
        <v>200</v>
      </c>
      <c r="M134" s="78"/>
      <c r="N134" s="73"/>
      <c r="O134" s="80" t="s">
        <v>383</v>
      </c>
      <c r="P134" s="82">
        <v>44461.26767361111</v>
      </c>
      <c r="Q134" s="80" t="s">
        <v>425</v>
      </c>
      <c r="R134" s="80"/>
      <c r="S134" s="80"/>
      <c r="T134" s="85" t="s">
        <v>498</v>
      </c>
      <c r="U134" s="83" t="str">
        <f>HYPERLINK("https://pbs.twimg.com/media/E_1U1pPVEAImP5O.jpg")</f>
        <v>https://pbs.twimg.com/media/E_1U1pPVEAImP5O.jpg</v>
      </c>
      <c r="V134" s="83" t="str">
        <f>HYPERLINK("https://pbs.twimg.com/media/E_1U1pPVEAImP5O.jpg")</f>
        <v>https://pbs.twimg.com/media/E_1U1pPVEAImP5O.jpg</v>
      </c>
      <c r="W134" s="82">
        <v>44461.26767361111</v>
      </c>
      <c r="X134" s="88">
        <v>44461</v>
      </c>
      <c r="Y134" s="85" t="s">
        <v>648</v>
      </c>
      <c r="Z134" s="83" t="str">
        <f>HYPERLINK("https://twitter.com/juanocanasr/status/1440562871897755648")</f>
        <v>https://twitter.com/juanocanasr/status/1440562871897755648</v>
      </c>
      <c r="AA134" s="80"/>
      <c r="AB134" s="80"/>
      <c r="AC134" s="85" t="s">
        <v>821</v>
      </c>
      <c r="AD134" s="80"/>
      <c r="AE134" s="80" t="b">
        <v>0</v>
      </c>
      <c r="AF134" s="80">
        <v>0</v>
      </c>
      <c r="AG134" s="85" t="s">
        <v>871</v>
      </c>
      <c r="AH134" s="80" t="b">
        <v>0</v>
      </c>
      <c r="AI134" s="80" t="s">
        <v>882</v>
      </c>
      <c r="AJ134" s="80"/>
      <c r="AK134" s="85" t="s">
        <v>871</v>
      </c>
      <c r="AL134" s="80" t="b">
        <v>0</v>
      </c>
      <c r="AM134" s="80">
        <v>36</v>
      </c>
      <c r="AN134" s="85" t="s">
        <v>830</v>
      </c>
      <c r="AO134" s="85" t="s">
        <v>890</v>
      </c>
      <c r="AP134" s="80" t="b">
        <v>0</v>
      </c>
      <c r="AQ134" s="85" t="s">
        <v>830</v>
      </c>
      <c r="AR134" s="80" t="s">
        <v>178</v>
      </c>
      <c r="AS134" s="80">
        <v>0</v>
      </c>
      <c r="AT134" s="80">
        <v>0</v>
      </c>
      <c r="AU134" s="80"/>
      <c r="AV134" s="80"/>
      <c r="AW134" s="80"/>
      <c r="AX134" s="80"/>
      <c r="AY134" s="80"/>
      <c r="AZ134" s="80"/>
      <c r="BA134" s="80"/>
      <c r="BB134" s="80"/>
      <c r="BC134">
        <v>1</v>
      </c>
      <c r="BD134" s="79" t="str">
        <f>REPLACE(INDEX(GroupVertices[Group],MATCH(Edges35[[#This Row],[Vertex 1]],GroupVertices[Vertex],0)),1,1,"")</f>
        <v>1</v>
      </c>
      <c r="BE134" s="79" t="str">
        <f>REPLACE(INDEX(GroupVertices[Group],MATCH(Edges35[[#This Row],[Vertex 2]],GroupVertices[Vertex],0)),1,1,"")</f>
        <v>1</v>
      </c>
      <c r="BF134" s="49">
        <v>0</v>
      </c>
      <c r="BG134" s="50">
        <v>0</v>
      </c>
      <c r="BH134" s="49">
        <v>0</v>
      </c>
      <c r="BI134" s="50">
        <v>0</v>
      </c>
      <c r="BJ134" s="49">
        <v>0</v>
      </c>
      <c r="BK134" s="50">
        <v>0</v>
      </c>
      <c r="BL134" s="49">
        <v>38</v>
      </c>
      <c r="BM134" s="50">
        <v>100</v>
      </c>
      <c r="BN134" s="49">
        <v>38</v>
      </c>
    </row>
    <row r="135" spans="1:66" ht="15">
      <c r="A135" s="65" t="s">
        <v>325</v>
      </c>
      <c r="B135" s="65" t="s">
        <v>368</v>
      </c>
      <c r="C135" s="66" t="s">
        <v>2648</v>
      </c>
      <c r="D135" s="67">
        <v>10</v>
      </c>
      <c r="E135" s="68"/>
      <c r="F135" s="69">
        <v>20</v>
      </c>
      <c r="G135" s="66"/>
      <c r="H135" s="70"/>
      <c r="I135" s="71"/>
      <c r="J135" s="71"/>
      <c r="K135" s="35" t="s">
        <v>65</v>
      </c>
      <c r="L135" s="78">
        <v>201</v>
      </c>
      <c r="M135" s="78"/>
      <c r="N135" s="73"/>
      <c r="O135" s="80" t="s">
        <v>384</v>
      </c>
      <c r="P135" s="82">
        <v>44460.924305555556</v>
      </c>
      <c r="Q135" s="80" t="s">
        <v>428</v>
      </c>
      <c r="R135" s="83" t="str">
        <f>HYPERLINK("https://www.ejecentral.com.mx/inm-lleva-a-120-migrantes-a-chiapas-haitianos-siguen-llegando-al-norte/")</f>
        <v>https://www.ejecentral.com.mx/inm-lleva-a-120-migrantes-a-chiapas-haitianos-siguen-llegando-al-norte/</v>
      </c>
      <c r="S135" s="80" t="s">
        <v>451</v>
      </c>
      <c r="T135" s="85" t="s">
        <v>501</v>
      </c>
      <c r="U135" s="80"/>
      <c r="V135" s="83" t="str">
        <f>HYPERLINK("https://pbs.twimg.com/profile_images/1440508109965783041/weHvwUbF_normal.jpg")</f>
        <v>https://pbs.twimg.com/profile_images/1440508109965783041/weHvwUbF_normal.jpg</v>
      </c>
      <c r="W135" s="82">
        <v>44460.924305555556</v>
      </c>
      <c r="X135" s="88">
        <v>44460</v>
      </c>
      <c r="Y135" s="85" t="s">
        <v>649</v>
      </c>
      <c r="Z135" s="83" t="str">
        <f>HYPERLINK("https://twitter.com/ejecentral/status/1440438437618716677")</f>
        <v>https://twitter.com/ejecentral/status/1440438437618716677</v>
      </c>
      <c r="AA135" s="80"/>
      <c r="AB135" s="80"/>
      <c r="AC135" s="85" t="s">
        <v>822</v>
      </c>
      <c r="AD135" s="80"/>
      <c r="AE135" s="80" t="b">
        <v>0</v>
      </c>
      <c r="AF135" s="80">
        <v>3</v>
      </c>
      <c r="AG135" s="85" t="s">
        <v>871</v>
      </c>
      <c r="AH135" s="80" t="b">
        <v>0</v>
      </c>
      <c r="AI135" s="80" t="s">
        <v>882</v>
      </c>
      <c r="AJ135" s="80"/>
      <c r="AK135" s="85" t="s">
        <v>871</v>
      </c>
      <c r="AL135" s="80" t="b">
        <v>0</v>
      </c>
      <c r="AM135" s="80">
        <v>1</v>
      </c>
      <c r="AN135" s="85" t="s">
        <v>871</v>
      </c>
      <c r="AO135" s="85" t="s">
        <v>893</v>
      </c>
      <c r="AP135" s="80" t="b">
        <v>0</v>
      </c>
      <c r="AQ135" s="85" t="s">
        <v>822</v>
      </c>
      <c r="AR135" s="80" t="s">
        <v>178</v>
      </c>
      <c r="AS135" s="80">
        <v>0</v>
      </c>
      <c r="AT135" s="80">
        <v>0</v>
      </c>
      <c r="AU135" s="80"/>
      <c r="AV135" s="80"/>
      <c r="AW135" s="80"/>
      <c r="AX135" s="80"/>
      <c r="AY135" s="80"/>
      <c r="AZ135" s="80"/>
      <c r="BA135" s="80"/>
      <c r="BB135" s="80"/>
      <c r="BC135">
        <v>4</v>
      </c>
      <c r="BD135" s="79" t="str">
        <f>REPLACE(INDEX(GroupVertices[Group],MATCH(Edges35[[#This Row],[Vertex 1]],GroupVertices[Vertex],0)),1,1,"")</f>
        <v>2</v>
      </c>
      <c r="BE135" s="79" t="str">
        <f>REPLACE(INDEX(GroupVertices[Group],MATCH(Edges35[[#This Row],[Vertex 2]],GroupVertices[Vertex],0)),1,1,"")</f>
        <v>2</v>
      </c>
      <c r="BF135" s="49">
        <v>0</v>
      </c>
      <c r="BG135" s="50">
        <v>0</v>
      </c>
      <c r="BH135" s="49">
        <v>0</v>
      </c>
      <c r="BI135" s="50">
        <v>0</v>
      </c>
      <c r="BJ135" s="49">
        <v>0</v>
      </c>
      <c r="BK135" s="50">
        <v>0</v>
      </c>
      <c r="BL135" s="49">
        <v>22</v>
      </c>
      <c r="BM135" s="50">
        <v>100</v>
      </c>
      <c r="BN135" s="49">
        <v>22</v>
      </c>
    </row>
    <row r="136" spans="1:66" ht="15">
      <c r="A136" s="65" t="s">
        <v>325</v>
      </c>
      <c r="B136" s="65" t="s">
        <v>368</v>
      </c>
      <c r="C136" s="66" t="s">
        <v>2648</v>
      </c>
      <c r="D136" s="67">
        <v>10</v>
      </c>
      <c r="E136" s="68"/>
      <c r="F136" s="69">
        <v>20</v>
      </c>
      <c r="G136" s="66"/>
      <c r="H136" s="70"/>
      <c r="I136" s="71"/>
      <c r="J136" s="71"/>
      <c r="K136" s="35" t="s">
        <v>65</v>
      </c>
      <c r="L136" s="78">
        <v>202</v>
      </c>
      <c r="M136" s="78"/>
      <c r="N136" s="73"/>
      <c r="O136" s="80" t="s">
        <v>384</v>
      </c>
      <c r="P136" s="82">
        <v>44461.486805555556</v>
      </c>
      <c r="Q136" s="80" t="s">
        <v>429</v>
      </c>
      <c r="R136" s="83" t="str">
        <f>HYPERLINK("https://cutt.ly/IEhgLyr")</f>
        <v>https://cutt.ly/IEhgLyr</v>
      </c>
      <c r="S136" s="80" t="s">
        <v>462</v>
      </c>
      <c r="T136" s="85" t="s">
        <v>501</v>
      </c>
      <c r="U136" s="80"/>
      <c r="V136" s="83" t="str">
        <f>HYPERLINK("https://pbs.twimg.com/profile_images/1440508109965783041/weHvwUbF_normal.jpg")</f>
        <v>https://pbs.twimg.com/profile_images/1440508109965783041/weHvwUbF_normal.jpg</v>
      </c>
      <c r="W136" s="82">
        <v>44461.486805555556</v>
      </c>
      <c r="X136" s="88">
        <v>44461</v>
      </c>
      <c r="Y136" s="85" t="s">
        <v>650</v>
      </c>
      <c r="Z136" s="83" t="str">
        <f>HYPERLINK("https://twitter.com/ejecentral/status/1440642280998666251")</f>
        <v>https://twitter.com/ejecentral/status/1440642280998666251</v>
      </c>
      <c r="AA136" s="80"/>
      <c r="AB136" s="80"/>
      <c r="AC136" s="85" t="s">
        <v>823</v>
      </c>
      <c r="AD136" s="80"/>
      <c r="AE136" s="80" t="b">
        <v>0</v>
      </c>
      <c r="AF136" s="80">
        <v>2</v>
      </c>
      <c r="AG136" s="85" t="s">
        <v>871</v>
      </c>
      <c r="AH136" s="80" t="b">
        <v>0</v>
      </c>
      <c r="AI136" s="80" t="s">
        <v>882</v>
      </c>
      <c r="AJ136" s="80"/>
      <c r="AK136" s="85" t="s">
        <v>871</v>
      </c>
      <c r="AL136" s="80" t="b">
        <v>0</v>
      </c>
      <c r="AM136" s="80">
        <v>0</v>
      </c>
      <c r="AN136" s="85" t="s">
        <v>871</v>
      </c>
      <c r="AO136" s="85" t="s">
        <v>893</v>
      </c>
      <c r="AP136" s="80" t="b">
        <v>0</v>
      </c>
      <c r="AQ136" s="85" t="s">
        <v>823</v>
      </c>
      <c r="AR136" s="80" t="s">
        <v>178</v>
      </c>
      <c r="AS136" s="80">
        <v>0</v>
      </c>
      <c r="AT136" s="80">
        <v>0</v>
      </c>
      <c r="AU136" s="80"/>
      <c r="AV136" s="80"/>
      <c r="AW136" s="80"/>
      <c r="AX136" s="80"/>
      <c r="AY136" s="80"/>
      <c r="AZ136" s="80"/>
      <c r="BA136" s="80"/>
      <c r="BB136" s="80"/>
      <c r="BC136">
        <v>4</v>
      </c>
      <c r="BD136" s="79" t="str">
        <f>REPLACE(INDEX(GroupVertices[Group],MATCH(Edges35[[#This Row],[Vertex 1]],GroupVertices[Vertex],0)),1,1,"")</f>
        <v>2</v>
      </c>
      <c r="BE136" s="79" t="str">
        <f>REPLACE(INDEX(GroupVertices[Group],MATCH(Edges35[[#This Row],[Vertex 2]],GroupVertices[Vertex],0)),1,1,"")</f>
        <v>2</v>
      </c>
      <c r="BF136" s="49">
        <v>0</v>
      </c>
      <c r="BG136" s="50">
        <v>0</v>
      </c>
      <c r="BH136" s="49">
        <v>0</v>
      </c>
      <c r="BI136" s="50">
        <v>0</v>
      </c>
      <c r="BJ136" s="49">
        <v>0</v>
      </c>
      <c r="BK136" s="50">
        <v>0</v>
      </c>
      <c r="BL136" s="49">
        <v>22</v>
      </c>
      <c r="BM136" s="50">
        <v>100</v>
      </c>
      <c r="BN136" s="49">
        <v>22</v>
      </c>
    </row>
    <row r="137" spans="1:66" ht="15">
      <c r="A137" s="65" t="s">
        <v>326</v>
      </c>
      <c r="B137" s="65" t="s">
        <v>368</v>
      </c>
      <c r="C137" s="66" t="s">
        <v>2647</v>
      </c>
      <c r="D137" s="67">
        <v>5</v>
      </c>
      <c r="E137" s="68"/>
      <c r="F137" s="69">
        <v>40</v>
      </c>
      <c r="G137" s="66"/>
      <c r="H137" s="70"/>
      <c r="I137" s="71"/>
      <c r="J137" s="71"/>
      <c r="K137" s="35" t="s">
        <v>65</v>
      </c>
      <c r="L137" s="78">
        <v>203</v>
      </c>
      <c r="M137" s="78"/>
      <c r="N137" s="73"/>
      <c r="O137" s="80" t="s">
        <v>382</v>
      </c>
      <c r="P137" s="82">
        <v>44461.596967592595</v>
      </c>
      <c r="Q137" s="80" t="s">
        <v>418</v>
      </c>
      <c r="R137" s="80"/>
      <c r="S137" s="80"/>
      <c r="T137" s="85" t="s">
        <v>491</v>
      </c>
      <c r="U137" s="83" t="str">
        <f>HYPERLINK("https://pbs.twimg.com/ext_tw_video_thumb/1440152056862441476/pu/img/RypVaHbX_jWL8ylr.jpg")</f>
        <v>https://pbs.twimg.com/ext_tw_video_thumb/1440152056862441476/pu/img/RypVaHbX_jWL8ylr.jpg</v>
      </c>
      <c r="V137" s="83" t="str">
        <f>HYPERLINK("https://pbs.twimg.com/ext_tw_video_thumb/1440152056862441476/pu/img/RypVaHbX_jWL8ylr.jpg")</f>
        <v>https://pbs.twimg.com/ext_tw_video_thumb/1440152056862441476/pu/img/RypVaHbX_jWL8ylr.jpg</v>
      </c>
      <c r="W137" s="82">
        <v>44461.596967592595</v>
      </c>
      <c r="X137" s="88">
        <v>44461</v>
      </c>
      <c r="Y137" s="85" t="s">
        <v>651</v>
      </c>
      <c r="Z137" s="83" t="str">
        <f>HYPERLINK("https://twitter.com/ferdapartida/status/1440682205047504913")</f>
        <v>https://twitter.com/ferdapartida/status/1440682205047504913</v>
      </c>
      <c r="AA137" s="80"/>
      <c r="AB137" s="80"/>
      <c r="AC137" s="85" t="s">
        <v>824</v>
      </c>
      <c r="AD137" s="80"/>
      <c r="AE137" s="80" t="b">
        <v>0</v>
      </c>
      <c r="AF137" s="80">
        <v>0</v>
      </c>
      <c r="AG137" s="85" t="s">
        <v>871</v>
      </c>
      <c r="AH137" s="80" t="b">
        <v>0</v>
      </c>
      <c r="AI137" s="80" t="s">
        <v>882</v>
      </c>
      <c r="AJ137" s="80"/>
      <c r="AK137" s="85" t="s">
        <v>871</v>
      </c>
      <c r="AL137" s="80" t="b">
        <v>0</v>
      </c>
      <c r="AM137" s="80">
        <v>13</v>
      </c>
      <c r="AN137" s="85" t="s">
        <v>835</v>
      </c>
      <c r="AO137" s="85" t="s">
        <v>891</v>
      </c>
      <c r="AP137" s="80" t="b">
        <v>0</v>
      </c>
      <c r="AQ137" s="85" t="s">
        <v>835</v>
      </c>
      <c r="AR137" s="80" t="s">
        <v>178</v>
      </c>
      <c r="AS137" s="80">
        <v>0</v>
      </c>
      <c r="AT137" s="80">
        <v>0</v>
      </c>
      <c r="AU137" s="80"/>
      <c r="AV137" s="80"/>
      <c r="AW137" s="80"/>
      <c r="AX137" s="80"/>
      <c r="AY137" s="80"/>
      <c r="AZ137" s="80"/>
      <c r="BA137" s="80"/>
      <c r="BB137" s="80"/>
      <c r="BC137">
        <v>1</v>
      </c>
      <c r="BD137" s="79" t="str">
        <f>REPLACE(INDEX(GroupVertices[Group],MATCH(Edges35[[#This Row],[Vertex 1]],GroupVertices[Vertex],0)),1,1,"")</f>
        <v>2</v>
      </c>
      <c r="BE137" s="79" t="str">
        <f>REPLACE(INDEX(GroupVertices[Group],MATCH(Edges35[[#This Row],[Vertex 2]],GroupVertices[Vertex],0)),1,1,"")</f>
        <v>2</v>
      </c>
      <c r="BF137" s="49"/>
      <c r="BG137" s="50"/>
      <c r="BH137" s="49"/>
      <c r="BI137" s="50"/>
      <c r="BJ137" s="49"/>
      <c r="BK137" s="50"/>
      <c r="BL137" s="49"/>
      <c r="BM137" s="50"/>
      <c r="BN137" s="49"/>
    </row>
    <row r="138" spans="1:66" ht="15">
      <c r="A138" s="65" t="s">
        <v>327</v>
      </c>
      <c r="B138" s="65" t="s">
        <v>368</v>
      </c>
      <c r="C138" s="66" t="s">
        <v>2647</v>
      </c>
      <c r="D138" s="67">
        <v>5</v>
      </c>
      <c r="E138" s="68"/>
      <c r="F138" s="69">
        <v>40</v>
      </c>
      <c r="G138" s="66"/>
      <c r="H138" s="70"/>
      <c r="I138" s="71"/>
      <c r="J138" s="71"/>
      <c r="K138" s="35" t="s">
        <v>65</v>
      </c>
      <c r="L138" s="78">
        <v>206</v>
      </c>
      <c r="M138" s="78"/>
      <c r="N138" s="73"/>
      <c r="O138" s="80" t="s">
        <v>382</v>
      </c>
      <c r="P138" s="82">
        <v>44461.59773148148</v>
      </c>
      <c r="Q138" s="80" t="s">
        <v>418</v>
      </c>
      <c r="R138" s="80"/>
      <c r="S138" s="80"/>
      <c r="T138" s="85" t="s">
        <v>491</v>
      </c>
      <c r="U138" s="83" t="str">
        <f>HYPERLINK("https://pbs.twimg.com/ext_tw_video_thumb/1440152056862441476/pu/img/RypVaHbX_jWL8ylr.jpg")</f>
        <v>https://pbs.twimg.com/ext_tw_video_thumb/1440152056862441476/pu/img/RypVaHbX_jWL8ylr.jpg</v>
      </c>
      <c r="V138" s="83" t="str">
        <f>HYPERLINK("https://pbs.twimg.com/ext_tw_video_thumb/1440152056862441476/pu/img/RypVaHbX_jWL8ylr.jpg")</f>
        <v>https://pbs.twimg.com/ext_tw_video_thumb/1440152056862441476/pu/img/RypVaHbX_jWL8ylr.jpg</v>
      </c>
      <c r="W138" s="82">
        <v>44461.59773148148</v>
      </c>
      <c r="X138" s="88">
        <v>44461</v>
      </c>
      <c r="Y138" s="85" t="s">
        <v>652</v>
      </c>
      <c r="Z138" s="83" t="str">
        <f>HYPERLINK("https://twitter.com/cusaru68/status/1440682478008627202")</f>
        <v>https://twitter.com/cusaru68/status/1440682478008627202</v>
      </c>
      <c r="AA138" s="80"/>
      <c r="AB138" s="80"/>
      <c r="AC138" s="85" t="s">
        <v>825</v>
      </c>
      <c r="AD138" s="80"/>
      <c r="AE138" s="80" t="b">
        <v>0</v>
      </c>
      <c r="AF138" s="80">
        <v>0</v>
      </c>
      <c r="AG138" s="85" t="s">
        <v>871</v>
      </c>
      <c r="AH138" s="80" t="b">
        <v>0</v>
      </c>
      <c r="AI138" s="80" t="s">
        <v>882</v>
      </c>
      <c r="AJ138" s="80"/>
      <c r="AK138" s="85" t="s">
        <v>871</v>
      </c>
      <c r="AL138" s="80" t="b">
        <v>0</v>
      </c>
      <c r="AM138" s="80">
        <v>13</v>
      </c>
      <c r="AN138" s="85" t="s">
        <v>835</v>
      </c>
      <c r="AO138" s="85" t="s">
        <v>890</v>
      </c>
      <c r="AP138" s="80" t="b">
        <v>0</v>
      </c>
      <c r="AQ138" s="85" t="s">
        <v>835</v>
      </c>
      <c r="AR138" s="80" t="s">
        <v>178</v>
      </c>
      <c r="AS138" s="80">
        <v>0</v>
      </c>
      <c r="AT138" s="80">
        <v>0</v>
      </c>
      <c r="AU138" s="80"/>
      <c r="AV138" s="80"/>
      <c r="AW138" s="80"/>
      <c r="AX138" s="80"/>
      <c r="AY138" s="80"/>
      <c r="AZ138" s="80"/>
      <c r="BA138" s="80"/>
      <c r="BB138" s="80"/>
      <c r="BC138">
        <v>1</v>
      </c>
      <c r="BD138" s="79" t="str">
        <f>REPLACE(INDEX(GroupVertices[Group],MATCH(Edges35[[#This Row],[Vertex 1]],GroupVertices[Vertex],0)),1,1,"")</f>
        <v>2</v>
      </c>
      <c r="BE138" s="79" t="str">
        <f>REPLACE(INDEX(GroupVertices[Group],MATCH(Edges35[[#This Row],[Vertex 2]],GroupVertices[Vertex],0)),1,1,"")</f>
        <v>2</v>
      </c>
      <c r="BF138" s="49"/>
      <c r="BG138" s="50"/>
      <c r="BH138" s="49"/>
      <c r="BI138" s="50"/>
      <c r="BJ138" s="49"/>
      <c r="BK138" s="50"/>
      <c r="BL138" s="49"/>
      <c r="BM138" s="50"/>
      <c r="BN138" s="49"/>
    </row>
    <row r="139" spans="1:66" ht="15">
      <c r="A139" s="65" t="s">
        <v>328</v>
      </c>
      <c r="B139" s="65" t="s">
        <v>368</v>
      </c>
      <c r="C139" s="66" t="s">
        <v>2647</v>
      </c>
      <c r="D139" s="67">
        <v>5</v>
      </c>
      <c r="E139" s="68"/>
      <c r="F139" s="69">
        <v>40</v>
      </c>
      <c r="G139" s="66"/>
      <c r="H139" s="70"/>
      <c r="I139" s="71"/>
      <c r="J139" s="71"/>
      <c r="K139" s="35" t="s">
        <v>65</v>
      </c>
      <c r="L139" s="78">
        <v>209</v>
      </c>
      <c r="M139" s="78"/>
      <c r="N139" s="73"/>
      <c r="O139" s="80" t="s">
        <v>382</v>
      </c>
      <c r="P139" s="82">
        <v>44461.59900462963</v>
      </c>
      <c r="Q139" s="80" t="s">
        <v>418</v>
      </c>
      <c r="R139" s="80"/>
      <c r="S139" s="80"/>
      <c r="T139" s="85" t="s">
        <v>491</v>
      </c>
      <c r="U139" s="83" t="str">
        <f>HYPERLINK("https://pbs.twimg.com/ext_tw_video_thumb/1440152056862441476/pu/img/RypVaHbX_jWL8ylr.jpg")</f>
        <v>https://pbs.twimg.com/ext_tw_video_thumb/1440152056862441476/pu/img/RypVaHbX_jWL8ylr.jpg</v>
      </c>
      <c r="V139" s="83" t="str">
        <f>HYPERLINK("https://pbs.twimg.com/ext_tw_video_thumb/1440152056862441476/pu/img/RypVaHbX_jWL8ylr.jpg")</f>
        <v>https://pbs.twimg.com/ext_tw_video_thumb/1440152056862441476/pu/img/RypVaHbX_jWL8ylr.jpg</v>
      </c>
      <c r="W139" s="82">
        <v>44461.59900462963</v>
      </c>
      <c r="X139" s="88">
        <v>44461</v>
      </c>
      <c r="Y139" s="85" t="s">
        <v>653</v>
      </c>
      <c r="Z139" s="83" t="str">
        <f>HYPERLINK("https://twitter.com/eliszpta/status/1440682943563792398")</f>
        <v>https://twitter.com/eliszpta/status/1440682943563792398</v>
      </c>
      <c r="AA139" s="80"/>
      <c r="AB139" s="80"/>
      <c r="AC139" s="85" t="s">
        <v>826</v>
      </c>
      <c r="AD139" s="80"/>
      <c r="AE139" s="80" t="b">
        <v>0</v>
      </c>
      <c r="AF139" s="80">
        <v>0</v>
      </c>
      <c r="AG139" s="85" t="s">
        <v>871</v>
      </c>
      <c r="AH139" s="80" t="b">
        <v>0</v>
      </c>
      <c r="AI139" s="80" t="s">
        <v>882</v>
      </c>
      <c r="AJ139" s="80"/>
      <c r="AK139" s="85" t="s">
        <v>871</v>
      </c>
      <c r="AL139" s="80" t="b">
        <v>0</v>
      </c>
      <c r="AM139" s="80">
        <v>13</v>
      </c>
      <c r="AN139" s="85" t="s">
        <v>835</v>
      </c>
      <c r="AO139" s="85" t="s">
        <v>889</v>
      </c>
      <c r="AP139" s="80" t="b">
        <v>0</v>
      </c>
      <c r="AQ139" s="85" t="s">
        <v>835</v>
      </c>
      <c r="AR139" s="80" t="s">
        <v>178</v>
      </c>
      <c r="AS139" s="80">
        <v>0</v>
      </c>
      <c r="AT139" s="80">
        <v>0</v>
      </c>
      <c r="AU139" s="80"/>
      <c r="AV139" s="80"/>
      <c r="AW139" s="80"/>
      <c r="AX139" s="80"/>
      <c r="AY139" s="80"/>
      <c r="AZ139" s="80"/>
      <c r="BA139" s="80"/>
      <c r="BB139" s="80"/>
      <c r="BC139">
        <v>1</v>
      </c>
      <c r="BD139" s="79" t="str">
        <f>REPLACE(INDEX(GroupVertices[Group],MATCH(Edges35[[#This Row],[Vertex 1]],GroupVertices[Vertex],0)),1,1,"")</f>
        <v>2</v>
      </c>
      <c r="BE139" s="79" t="str">
        <f>REPLACE(INDEX(GroupVertices[Group],MATCH(Edges35[[#This Row],[Vertex 2]],GroupVertices[Vertex],0)),1,1,"")</f>
        <v>2</v>
      </c>
      <c r="BF139" s="49"/>
      <c r="BG139" s="50"/>
      <c r="BH139" s="49"/>
      <c r="BI139" s="50"/>
      <c r="BJ139" s="49"/>
      <c r="BK139" s="50"/>
      <c r="BL139" s="49"/>
      <c r="BM139" s="50"/>
      <c r="BN139" s="49"/>
    </row>
    <row r="140" spans="1:66" ht="15">
      <c r="A140" s="65" t="s">
        <v>329</v>
      </c>
      <c r="B140" s="65" t="s">
        <v>368</v>
      </c>
      <c r="C140" s="66" t="s">
        <v>2647</v>
      </c>
      <c r="D140" s="67">
        <v>5</v>
      </c>
      <c r="E140" s="68"/>
      <c r="F140" s="69">
        <v>40</v>
      </c>
      <c r="G140" s="66"/>
      <c r="H140" s="70"/>
      <c r="I140" s="71"/>
      <c r="J140" s="71"/>
      <c r="K140" s="35" t="s">
        <v>65</v>
      </c>
      <c r="L140" s="78">
        <v>212</v>
      </c>
      <c r="M140" s="78"/>
      <c r="N140" s="73"/>
      <c r="O140" s="80" t="s">
        <v>382</v>
      </c>
      <c r="P140" s="82">
        <v>44461.60896990741</v>
      </c>
      <c r="Q140" s="80" t="s">
        <v>418</v>
      </c>
      <c r="R140" s="80"/>
      <c r="S140" s="80"/>
      <c r="T140" s="85" t="s">
        <v>491</v>
      </c>
      <c r="U140" s="83" t="str">
        <f>HYPERLINK("https://pbs.twimg.com/ext_tw_video_thumb/1440152056862441476/pu/img/RypVaHbX_jWL8ylr.jpg")</f>
        <v>https://pbs.twimg.com/ext_tw_video_thumb/1440152056862441476/pu/img/RypVaHbX_jWL8ylr.jpg</v>
      </c>
      <c r="V140" s="83" t="str">
        <f>HYPERLINK("https://pbs.twimg.com/ext_tw_video_thumb/1440152056862441476/pu/img/RypVaHbX_jWL8ylr.jpg")</f>
        <v>https://pbs.twimg.com/ext_tw_video_thumb/1440152056862441476/pu/img/RypVaHbX_jWL8ylr.jpg</v>
      </c>
      <c r="W140" s="82">
        <v>44461.60896990741</v>
      </c>
      <c r="X140" s="88">
        <v>44461</v>
      </c>
      <c r="Y140" s="85" t="s">
        <v>654</v>
      </c>
      <c r="Z140" s="83" t="str">
        <f>HYPERLINK("https://twitter.com/monroygar/status/1440686552934326289")</f>
        <v>https://twitter.com/monroygar/status/1440686552934326289</v>
      </c>
      <c r="AA140" s="80"/>
      <c r="AB140" s="80"/>
      <c r="AC140" s="85" t="s">
        <v>827</v>
      </c>
      <c r="AD140" s="80"/>
      <c r="AE140" s="80" t="b">
        <v>0</v>
      </c>
      <c r="AF140" s="80">
        <v>0</v>
      </c>
      <c r="AG140" s="85" t="s">
        <v>871</v>
      </c>
      <c r="AH140" s="80" t="b">
        <v>0</v>
      </c>
      <c r="AI140" s="80" t="s">
        <v>882</v>
      </c>
      <c r="AJ140" s="80"/>
      <c r="AK140" s="85" t="s">
        <v>871</v>
      </c>
      <c r="AL140" s="80" t="b">
        <v>0</v>
      </c>
      <c r="AM140" s="80">
        <v>13</v>
      </c>
      <c r="AN140" s="85" t="s">
        <v>835</v>
      </c>
      <c r="AO140" s="85" t="s">
        <v>889</v>
      </c>
      <c r="AP140" s="80" t="b">
        <v>0</v>
      </c>
      <c r="AQ140" s="85" t="s">
        <v>835</v>
      </c>
      <c r="AR140" s="80" t="s">
        <v>178</v>
      </c>
      <c r="AS140" s="80">
        <v>0</v>
      </c>
      <c r="AT140" s="80">
        <v>0</v>
      </c>
      <c r="AU140" s="80"/>
      <c r="AV140" s="80"/>
      <c r="AW140" s="80"/>
      <c r="AX140" s="80"/>
      <c r="AY140" s="80"/>
      <c r="AZ140" s="80"/>
      <c r="BA140" s="80"/>
      <c r="BB140" s="80"/>
      <c r="BC140">
        <v>1</v>
      </c>
      <c r="BD140" s="79" t="str">
        <f>REPLACE(INDEX(GroupVertices[Group],MATCH(Edges35[[#This Row],[Vertex 1]],GroupVertices[Vertex],0)),1,1,"")</f>
        <v>2</v>
      </c>
      <c r="BE140" s="79" t="str">
        <f>REPLACE(INDEX(GroupVertices[Group],MATCH(Edges35[[#This Row],[Vertex 2]],GroupVertices[Vertex],0)),1,1,"")</f>
        <v>2</v>
      </c>
      <c r="BF140" s="49"/>
      <c r="BG140" s="50"/>
      <c r="BH140" s="49"/>
      <c r="BI140" s="50"/>
      <c r="BJ140" s="49"/>
      <c r="BK140" s="50"/>
      <c r="BL140" s="49"/>
      <c r="BM140" s="50"/>
      <c r="BN140" s="49"/>
    </row>
    <row r="141" spans="1:66" ht="15">
      <c r="A141" s="65" t="s">
        <v>330</v>
      </c>
      <c r="B141" s="65" t="s">
        <v>368</v>
      </c>
      <c r="C141" s="66" t="s">
        <v>2647</v>
      </c>
      <c r="D141" s="67">
        <v>5</v>
      </c>
      <c r="E141" s="68"/>
      <c r="F141" s="69">
        <v>40</v>
      </c>
      <c r="G141" s="66"/>
      <c r="H141" s="70"/>
      <c r="I141" s="71"/>
      <c r="J141" s="71"/>
      <c r="K141" s="35" t="s">
        <v>65</v>
      </c>
      <c r="L141" s="78">
        <v>215</v>
      </c>
      <c r="M141" s="78"/>
      <c r="N141" s="73"/>
      <c r="O141" s="80" t="s">
        <v>382</v>
      </c>
      <c r="P141" s="82">
        <v>44461.61736111111</v>
      </c>
      <c r="Q141" s="80" t="s">
        <v>418</v>
      </c>
      <c r="R141" s="80"/>
      <c r="S141" s="80"/>
      <c r="T141" s="85" t="s">
        <v>491</v>
      </c>
      <c r="U141" s="83" t="str">
        <f>HYPERLINK("https://pbs.twimg.com/ext_tw_video_thumb/1440152056862441476/pu/img/RypVaHbX_jWL8ylr.jpg")</f>
        <v>https://pbs.twimg.com/ext_tw_video_thumb/1440152056862441476/pu/img/RypVaHbX_jWL8ylr.jpg</v>
      </c>
      <c r="V141" s="83" t="str">
        <f>HYPERLINK("https://pbs.twimg.com/ext_tw_video_thumb/1440152056862441476/pu/img/RypVaHbX_jWL8ylr.jpg")</f>
        <v>https://pbs.twimg.com/ext_tw_video_thumb/1440152056862441476/pu/img/RypVaHbX_jWL8ylr.jpg</v>
      </c>
      <c r="W141" s="82">
        <v>44461.61736111111</v>
      </c>
      <c r="X141" s="88">
        <v>44461</v>
      </c>
      <c r="Y141" s="85" t="s">
        <v>655</v>
      </c>
      <c r="Z141" s="83" t="str">
        <f>HYPERLINK("https://twitter.com/vdmmty/status/1440689594073161735")</f>
        <v>https://twitter.com/vdmmty/status/1440689594073161735</v>
      </c>
      <c r="AA141" s="80"/>
      <c r="AB141" s="80"/>
      <c r="AC141" s="85" t="s">
        <v>828</v>
      </c>
      <c r="AD141" s="80"/>
      <c r="AE141" s="80" t="b">
        <v>0</v>
      </c>
      <c r="AF141" s="80">
        <v>0</v>
      </c>
      <c r="AG141" s="85" t="s">
        <v>871</v>
      </c>
      <c r="AH141" s="80" t="b">
        <v>0</v>
      </c>
      <c r="AI141" s="80" t="s">
        <v>882</v>
      </c>
      <c r="AJ141" s="80"/>
      <c r="AK141" s="85" t="s">
        <v>871</v>
      </c>
      <c r="AL141" s="80" t="b">
        <v>0</v>
      </c>
      <c r="AM141" s="80">
        <v>13</v>
      </c>
      <c r="AN141" s="85" t="s">
        <v>835</v>
      </c>
      <c r="AO141" s="85" t="s">
        <v>891</v>
      </c>
      <c r="AP141" s="80" t="b">
        <v>0</v>
      </c>
      <c r="AQ141" s="85" t="s">
        <v>835</v>
      </c>
      <c r="AR141" s="80" t="s">
        <v>178</v>
      </c>
      <c r="AS141" s="80">
        <v>0</v>
      </c>
      <c r="AT141" s="80">
        <v>0</v>
      </c>
      <c r="AU141" s="80"/>
      <c r="AV141" s="80"/>
      <c r="AW141" s="80"/>
      <c r="AX141" s="80"/>
      <c r="AY141" s="80"/>
      <c r="AZ141" s="80"/>
      <c r="BA141" s="80"/>
      <c r="BB141" s="80"/>
      <c r="BC141">
        <v>1</v>
      </c>
      <c r="BD141" s="79" t="str">
        <f>REPLACE(INDEX(GroupVertices[Group],MATCH(Edges35[[#This Row],[Vertex 1]],GroupVertices[Vertex],0)),1,1,"")</f>
        <v>2</v>
      </c>
      <c r="BE141" s="79" t="str">
        <f>REPLACE(INDEX(GroupVertices[Group],MATCH(Edges35[[#This Row],[Vertex 2]],GroupVertices[Vertex],0)),1,1,"")</f>
        <v>2</v>
      </c>
      <c r="BF141" s="49"/>
      <c r="BG141" s="50"/>
      <c r="BH141" s="49"/>
      <c r="BI141" s="50"/>
      <c r="BJ141" s="49"/>
      <c r="BK141" s="50"/>
      <c r="BL141" s="49"/>
      <c r="BM141" s="50"/>
      <c r="BN141" s="49"/>
    </row>
    <row r="142" spans="1:66" ht="15">
      <c r="A142" s="65" t="s">
        <v>331</v>
      </c>
      <c r="B142" s="65" t="s">
        <v>368</v>
      </c>
      <c r="C142" s="66" t="s">
        <v>2647</v>
      </c>
      <c r="D142" s="67">
        <v>5</v>
      </c>
      <c r="E142" s="68"/>
      <c r="F142" s="69">
        <v>40</v>
      </c>
      <c r="G142" s="66"/>
      <c r="H142" s="70"/>
      <c r="I142" s="71"/>
      <c r="J142" s="71"/>
      <c r="K142" s="35" t="s">
        <v>65</v>
      </c>
      <c r="L142" s="78">
        <v>218</v>
      </c>
      <c r="M142" s="78"/>
      <c r="N142" s="73"/>
      <c r="O142" s="80" t="s">
        <v>382</v>
      </c>
      <c r="P142" s="82">
        <v>44461.63170138889</v>
      </c>
      <c r="Q142" s="80" t="s">
        <v>418</v>
      </c>
      <c r="R142" s="80"/>
      <c r="S142" s="80"/>
      <c r="T142" s="85" t="s">
        <v>491</v>
      </c>
      <c r="U142" s="83" t="str">
        <f>HYPERLINK("https://pbs.twimg.com/ext_tw_video_thumb/1440152056862441476/pu/img/RypVaHbX_jWL8ylr.jpg")</f>
        <v>https://pbs.twimg.com/ext_tw_video_thumb/1440152056862441476/pu/img/RypVaHbX_jWL8ylr.jpg</v>
      </c>
      <c r="V142" s="83" t="str">
        <f>HYPERLINK("https://pbs.twimg.com/ext_tw_video_thumb/1440152056862441476/pu/img/RypVaHbX_jWL8ylr.jpg")</f>
        <v>https://pbs.twimg.com/ext_tw_video_thumb/1440152056862441476/pu/img/RypVaHbX_jWL8ylr.jpg</v>
      </c>
      <c r="W142" s="82">
        <v>44461.63170138889</v>
      </c>
      <c r="X142" s="88">
        <v>44461</v>
      </c>
      <c r="Y142" s="85" t="s">
        <v>544</v>
      </c>
      <c r="Z142" s="83" t="str">
        <f>HYPERLINK("https://twitter.com/javierffrankie1/status/1440694789914054659")</f>
        <v>https://twitter.com/javierffrankie1/status/1440694789914054659</v>
      </c>
      <c r="AA142" s="80"/>
      <c r="AB142" s="80"/>
      <c r="AC142" s="85" t="s">
        <v>829</v>
      </c>
      <c r="AD142" s="80"/>
      <c r="AE142" s="80" t="b">
        <v>0</v>
      </c>
      <c r="AF142" s="80">
        <v>0</v>
      </c>
      <c r="AG142" s="85" t="s">
        <v>871</v>
      </c>
      <c r="AH142" s="80" t="b">
        <v>0</v>
      </c>
      <c r="AI142" s="80" t="s">
        <v>882</v>
      </c>
      <c r="AJ142" s="80"/>
      <c r="AK142" s="85" t="s">
        <v>871</v>
      </c>
      <c r="AL142" s="80" t="b">
        <v>0</v>
      </c>
      <c r="AM142" s="80">
        <v>13</v>
      </c>
      <c r="AN142" s="85" t="s">
        <v>835</v>
      </c>
      <c r="AO142" s="85" t="s">
        <v>889</v>
      </c>
      <c r="AP142" s="80" t="b">
        <v>0</v>
      </c>
      <c r="AQ142" s="85" t="s">
        <v>835</v>
      </c>
      <c r="AR142" s="80" t="s">
        <v>178</v>
      </c>
      <c r="AS142" s="80">
        <v>0</v>
      </c>
      <c r="AT142" s="80">
        <v>0</v>
      </c>
      <c r="AU142" s="80"/>
      <c r="AV142" s="80"/>
      <c r="AW142" s="80"/>
      <c r="AX142" s="80"/>
      <c r="AY142" s="80"/>
      <c r="AZ142" s="80"/>
      <c r="BA142" s="80"/>
      <c r="BB142" s="80"/>
      <c r="BC142">
        <v>1</v>
      </c>
      <c r="BD142" s="79" t="str">
        <f>REPLACE(INDEX(GroupVertices[Group],MATCH(Edges35[[#This Row],[Vertex 1]],GroupVertices[Vertex],0)),1,1,"")</f>
        <v>2</v>
      </c>
      <c r="BE142" s="79" t="str">
        <f>REPLACE(INDEX(GroupVertices[Group],MATCH(Edges35[[#This Row],[Vertex 2]],GroupVertices[Vertex],0)),1,1,"")</f>
        <v>2</v>
      </c>
      <c r="BF142" s="49"/>
      <c r="BG142" s="50"/>
      <c r="BH142" s="49"/>
      <c r="BI142" s="50"/>
      <c r="BJ142" s="49"/>
      <c r="BK142" s="50"/>
      <c r="BL142" s="49"/>
      <c r="BM142" s="50"/>
      <c r="BN142" s="49"/>
    </row>
    <row r="143" spans="1:66" ht="15">
      <c r="A143" s="65" t="s">
        <v>332</v>
      </c>
      <c r="B143" s="65" t="s">
        <v>332</v>
      </c>
      <c r="C143" s="66" t="s">
        <v>2647</v>
      </c>
      <c r="D143" s="67">
        <v>5</v>
      </c>
      <c r="E143" s="68"/>
      <c r="F143" s="69">
        <v>40</v>
      </c>
      <c r="G143" s="66"/>
      <c r="H143" s="70"/>
      <c r="I143" s="71"/>
      <c r="J143" s="71"/>
      <c r="K143" s="35" t="s">
        <v>65</v>
      </c>
      <c r="L143" s="78">
        <v>221</v>
      </c>
      <c r="M143" s="78"/>
      <c r="N143" s="73"/>
      <c r="O143" s="80" t="s">
        <v>178</v>
      </c>
      <c r="P143" s="82">
        <v>44460.82027777778</v>
      </c>
      <c r="Q143" s="80" t="s">
        <v>425</v>
      </c>
      <c r="R143" s="80"/>
      <c r="S143" s="80"/>
      <c r="T143" s="85" t="s">
        <v>498</v>
      </c>
      <c r="U143" s="83" t="str">
        <f>HYPERLINK("https://pbs.twimg.com/media/E_1U1pPVEAImP5O.jpg")</f>
        <v>https://pbs.twimg.com/media/E_1U1pPVEAImP5O.jpg</v>
      </c>
      <c r="V143" s="83" t="str">
        <f>HYPERLINK("https://pbs.twimg.com/media/E_1U1pPVEAImP5O.jpg")</f>
        <v>https://pbs.twimg.com/media/E_1U1pPVEAImP5O.jpg</v>
      </c>
      <c r="W143" s="82">
        <v>44460.82027777778</v>
      </c>
      <c r="X143" s="88">
        <v>44460</v>
      </c>
      <c r="Y143" s="85" t="s">
        <v>656</v>
      </c>
      <c r="Z143" s="83" t="str">
        <f>HYPERLINK("https://twitter.com/nelvaldez/status/1440400738719440904")</f>
        <v>https://twitter.com/nelvaldez/status/1440400738719440904</v>
      </c>
      <c r="AA143" s="80"/>
      <c r="AB143" s="80"/>
      <c r="AC143" s="85" t="s">
        <v>830</v>
      </c>
      <c r="AD143" s="80"/>
      <c r="AE143" s="80" t="b">
        <v>0</v>
      </c>
      <c r="AF143" s="80">
        <v>156</v>
      </c>
      <c r="AG143" s="85" t="s">
        <v>871</v>
      </c>
      <c r="AH143" s="80" t="b">
        <v>0</v>
      </c>
      <c r="AI143" s="80" t="s">
        <v>882</v>
      </c>
      <c r="AJ143" s="80"/>
      <c r="AK143" s="85" t="s">
        <v>871</v>
      </c>
      <c r="AL143" s="80" t="b">
        <v>0</v>
      </c>
      <c r="AM143" s="80">
        <v>36</v>
      </c>
      <c r="AN143" s="85" t="s">
        <v>871</v>
      </c>
      <c r="AO143" s="85" t="s">
        <v>889</v>
      </c>
      <c r="AP143" s="80" t="b">
        <v>0</v>
      </c>
      <c r="AQ143" s="85" t="s">
        <v>830</v>
      </c>
      <c r="AR143" s="80" t="s">
        <v>178</v>
      </c>
      <c r="AS143" s="80">
        <v>0</v>
      </c>
      <c r="AT143" s="80">
        <v>0</v>
      </c>
      <c r="AU143" s="80"/>
      <c r="AV143" s="80"/>
      <c r="AW143" s="80"/>
      <c r="AX143" s="80"/>
      <c r="AY143" s="80"/>
      <c r="AZ143" s="80"/>
      <c r="BA143" s="80"/>
      <c r="BB143" s="80"/>
      <c r="BC143">
        <v>1</v>
      </c>
      <c r="BD143" s="79" t="str">
        <f>REPLACE(INDEX(GroupVertices[Group],MATCH(Edges35[[#This Row],[Vertex 1]],GroupVertices[Vertex],0)),1,1,"")</f>
        <v>1</v>
      </c>
      <c r="BE143" s="79" t="str">
        <f>REPLACE(INDEX(GroupVertices[Group],MATCH(Edges35[[#This Row],[Vertex 2]],GroupVertices[Vertex],0)),1,1,"")</f>
        <v>1</v>
      </c>
      <c r="BF143" s="49">
        <v>0</v>
      </c>
      <c r="BG143" s="50">
        <v>0</v>
      </c>
      <c r="BH143" s="49">
        <v>0</v>
      </c>
      <c r="BI143" s="50">
        <v>0</v>
      </c>
      <c r="BJ143" s="49">
        <v>0</v>
      </c>
      <c r="BK143" s="50">
        <v>0</v>
      </c>
      <c r="BL143" s="49">
        <v>38</v>
      </c>
      <c r="BM143" s="50">
        <v>100</v>
      </c>
      <c r="BN143" s="49">
        <v>38</v>
      </c>
    </row>
    <row r="144" spans="1:66" ht="15">
      <c r="A144" s="65" t="s">
        <v>333</v>
      </c>
      <c r="B144" s="65" t="s">
        <v>332</v>
      </c>
      <c r="C144" s="66" t="s">
        <v>2647</v>
      </c>
      <c r="D144" s="67">
        <v>5</v>
      </c>
      <c r="E144" s="68"/>
      <c r="F144" s="69">
        <v>40</v>
      </c>
      <c r="G144" s="66"/>
      <c r="H144" s="70"/>
      <c r="I144" s="71"/>
      <c r="J144" s="71"/>
      <c r="K144" s="35" t="s">
        <v>65</v>
      </c>
      <c r="L144" s="78">
        <v>222</v>
      </c>
      <c r="M144" s="78"/>
      <c r="N144" s="73"/>
      <c r="O144" s="80" t="s">
        <v>383</v>
      </c>
      <c r="P144" s="82">
        <v>44461.6390625</v>
      </c>
      <c r="Q144" s="80" t="s">
        <v>425</v>
      </c>
      <c r="R144" s="80"/>
      <c r="S144" s="80"/>
      <c r="T144" s="85" t="s">
        <v>498</v>
      </c>
      <c r="U144" s="83" t="str">
        <f>HYPERLINK("https://pbs.twimg.com/media/E_1U1pPVEAImP5O.jpg")</f>
        <v>https://pbs.twimg.com/media/E_1U1pPVEAImP5O.jpg</v>
      </c>
      <c r="V144" s="83" t="str">
        <f>HYPERLINK("https://pbs.twimg.com/media/E_1U1pPVEAImP5O.jpg")</f>
        <v>https://pbs.twimg.com/media/E_1U1pPVEAImP5O.jpg</v>
      </c>
      <c r="W144" s="82">
        <v>44461.6390625</v>
      </c>
      <c r="X144" s="88">
        <v>44461</v>
      </c>
      <c r="Y144" s="85" t="s">
        <v>657</v>
      </c>
      <c r="Z144" s="83" t="str">
        <f>HYPERLINK("https://twitter.com/libraryadd/status/1440697458019889163")</f>
        <v>https://twitter.com/libraryadd/status/1440697458019889163</v>
      </c>
      <c r="AA144" s="80"/>
      <c r="AB144" s="80"/>
      <c r="AC144" s="85" t="s">
        <v>831</v>
      </c>
      <c r="AD144" s="80"/>
      <c r="AE144" s="80" t="b">
        <v>0</v>
      </c>
      <c r="AF144" s="80">
        <v>0</v>
      </c>
      <c r="AG144" s="85" t="s">
        <v>871</v>
      </c>
      <c r="AH144" s="80" t="b">
        <v>0</v>
      </c>
      <c r="AI144" s="80" t="s">
        <v>882</v>
      </c>
      <c r="AJ144" s="80"/>
      <c r="AK144" s="85" t="s">
        <v>871</v>
      </c>
      <c r="AL144" s="80" t="b">
        <v>0</v>
      </c>
      <c r="AM144" s="80">
        <v>36</v>
      </c>
      <c r="AN144" s="85" t="s">
        <v>830</v>
      </c>
      <c r="AO144" s="85" t="s">
        <v>889</v>
      </c>
      <c r="AP144" s="80" t="b">
        <v>0</v>
      </c>
      <c r="AQ144" s="85" t="s">
        <v>830</v>
      </c>
      <c r="AR144" s="80" t="s">
        <v>178</v>
      </c>
      <c r="AS144" s="80">
        <v>0</v>
      </c>
      <c r="AT144" s="80">
        <v>0</v>
      </c>
      <c r="AU144" s="80"/>
      <c r="AV144" s="80"/>
      <c r="AW144" s="80"/>
      <c r="AX144" s="80"/>
      <c r="AY144" s="80"/>
      <c r="AZ144" s="80"/>
      <c r="BA144" s="80"/>
      <c r="BB144" s="80"/>
      <c r="BC144">
        <v>1</v>
      </c>
      <c r="BD144" s="79" t="str">
        <f>REPLACE(INDEX(GroupVertices[Group],MATCH(Edges35[[#This Row],[Vertex 1]],GroupVertices[Vertex],0)),1,1,"")</f>
        <v>1</v>
      </c>
      <c r="BE144" s="79" t="str">
        <f>REPLACE(INDEX(GroupVertices[Group],MATCH(Edges35[[#This Row],[Vertex 2]],GroupVertices[Vertex],0)),1,1,"")</f>
        <v>1</v>
      </c>
      <c r="BF144" s="49">
        <v>0</v>
      </c>
      <c r="BG144" s="50">
        <v>0</v>
      </c>
      <c r="BH144" s="49">
        <v>0</v>
      </c>
      <c r="BI144" s="50">
        <v>0</v>
      </c>
      <c r="BJ144" s="49">
        <v>0</v>
      </c>
      <c r="BK144" s="50">
        <v>0</v>
      </c>
      <c r="BL144" s="49">
        <v>38</v>
      </c>
      <c r="BM144" s="50">
        <v>100</v>
      </c>
      <c r="BN144" s="49">
        <v>38</v>
      </c>
    </row>
    <row r="145" spans="1:66" ht="15">
      <c r="A145" s="65" t="s">
        <v>334</v>
      </c>
      <c r="B145" s="65" t="s">
        <v>339</v>
      </c>
      <c r="C145" s="66" t="s">
        <v>2647</v>
      </c>
      <c r="D145" s="67">
        <v>5</v>
      </c>
      <c r="E145" s="68"/>
      <c r="F145" s="69">
        <v>40</v>
      </c>
      <c r="G145" s="66"/>
      <c r="H145" s="70"/>
      <c r="I145" s="71"/>
      <c r="J145" s="71"/>
      <c r="K145" s="35" t="s">
        <v>65</v>
      </c>
      <c r="L145" s="78">
        <v>223</v>
      </c>
      <c r="M145" s="78"/>
      <c r="N145" s="73"/>
      <c r="O145" s="80" t="s">
        <v>383</v>
      </c>
      <c r="P145" s="82">
        <v>44461.72131944444</v>
      </c>
      <c r="Q145" s="80" t="s">
        <v>430</v>
      </c>
      <c r="R145" s="80"/>
      <c r="S145" s="80"/>
      <c r="T145" s="85" t="s">
        <v>472</v>
      </c>
      <c r="U145" s="80"/>
      <c r="V145" s="83" t="str">
        <f>HYPERLINK("https://pbs.twimg.com/profile_images/1388140533160218631/iPyqHAgQ_normal.jpg")</f>
        <v>https://pbs.twimg.com/profile_images/1388140533160218631/iPyqHAgQ_normal.jpg</v>
      </c>
      <c r="W145" s="82">
        <v>44461.72131944444</v>
      </c>
      <c r="X145" s="88">
        <v>44461</v>
      </c>
      <c r="Y145" s="85" t="s">
        <v>658</v>
      </c>
      <c r="Z145" s="83" t="str">
        <f>HYPERLINK("https://twitter.com/itelloarista/status/1440727265583632396")</f>
        <v>https://twitter.com/itelloarista/status/1440727265583632396</v>
      </c>
      <c r="AA145" s="80"/>
      <c r="AB145" s="80"/>
      <c r="AC145" s="85" t="s">
        <v>832</v>
      </c>
      <c r="AD145" s="80"/>
      <c r="AE145" s="80" t="b">
        <v>0</v>
      </c>
      <c r="AF145" s="80">
        <v>0</v>
      </c>
      <c r="AG145" s="85" t="s">
        <v>871</v>
      </c>
      <c r="AH145" s="80" t="b">
        <v>0</v>
      </c>
      <c r="AI145" s="80" t="s">
        <v>882</v>
      </c>
      <c r="AJ145" s="80"/>
      <c r="AK145" s="85" t="s">
        <v>871</v>
      </c>
      <c r="AL145" s="80" t="b">
        <v>0</v>
      </c>
      <c r="AM145" s="80">
        <v>20</v>
      </c>
      <c r="AN145" s="85" t="s">
        <v>837</v>
      </c>
      <c r="AO145" s="85" t="s">
        <v>891</v>
      </c>
      <c r="AP145" s="80" t="b">
        <v>0</v>
      </c>
      <c r="AQ145" s="85" t="s">
        <v>837</v>
      </c>
      <c r="AR145" s="80" t="s">
        <v>178</v>
      </c>
      <c r="AS145" s="80">
        <v>0</v>
      </c>
      <c r="AT145" s="80">
        <v>0</v>
      </c>
      <c r="AU145" s="80"/>
      <c r="AV145" s="80"/>
      <c r="AW145" s="80"/>
      <c r="AX145" s="80"/>
      <c r="AY145" s="80"/>
      <c r="AZ145" s="80"/>
      <c r="BA145" s="80"/>
      <c r="BB145" s="80"/>
      <c r="BC145">
        <v>1</v>
      </c>
      <c r="BD145" s="79" t="str">
        <f>REPLACE(INDEX(GroupVertices[Group],MATCH(Edges35[[#This Row],[Vertex 1]],GroupVertices[Vertex],0)),1,1,"")</f>
        <v>14</v>
      </c>
      <c r="BE145" s="79" t="str">
        <f>REPLACE(INDEX(GroupVertices[Group],MATCH(Edges35[[#This Row],[Vertex 2]],GroupVertices[Vertex],0)),1,1,"")</f>
        <v>14</v>
      </c>
      <c r="BF145" s="49">
        <v>0</v>
      </c>
      <c r="BG145" s="50">
        <v>0</v>
      </c>
      <c r="BH145" s="49">
        <v>0</v>
      </c>
      <c r="BI145" s="50">
        <v>0</v>
      </c>
      <c r="BJ145" s="49">
        <v>0</v>
      </c>
      <c r="BK145" s="50">
        <v>0</v>
      </c>
      <c r="BL145" s="49">
        <v>31</v>
      </c>
      <c r="BM145" s="50">
        <v>100</v>
      </c>
      <c r="BN145" s="49">
        <v>31</v>
      </c>
    </row>
    <row r="146" spans="1:66" ht="15">
      <c r="A146" s="65" t="s">
        <v>335</v>
      </c>
      <c r="B146" s="65" t="s">
        <v>368</v>
      </c>
      <c r="C146" s="66" t="s">
        <v>2647</v>
      </c>
      <c r="D146" s="67">
        <v>5</v>
      </c>
      <c r="E146" s="68"/>
      <c r="F146" s="69">
        <v>40</v>
      </c>
      <c r="G146" s="66"/>
      <c r="H146" s="70"/>
      <c r="I146" s="71"/>
      <c r="J146" s="71"/>
      <c r="K146" s="35" t="s">
        <v>65</v>
      </c>
      <c r="L146" s="78">
        <v>224</v>
      </c>
      <c r="M146" s="78"/>
      <c r="N146" s="73"/>
      <c r="O146" s="80" t="s">
        <v>382</v>
      </c>
      <c r="P146" s="82">
        <v>44461.74793981481</v>
      </c>
      <c r="Q146" s="80" t="s">
        <v>418</v>
      </c>
      <c r="R146" s="80"/>
      <c r="S146" s="80"/>
      <c r="T146" s="85" t="s">
        <v>491</v>
      </c>
      <c r="U146" s="83" t="str">
        <f>HYPERLINK("https://pbs.twimg.com/ext_tw_video_thumb/1440152056862441476/pu/img/RypVaHbX_jWL8ylr.jpg")</f>
        <v>https://pbs.twimg.com/ext_tw_video_thumb/1440152056862441476/pu/img/RypVaHbX_jWL8ylr.jpg</v>
      </c>
      <c r="V146" s="83" t="str">
        <f>HYPERLINK("https://pbs.twimg.com/ext_tw_video_thumb/1440152056862441476/pu/img/RypVaHbX_jWL8ylr.jpg")</f>
        <v>https://pbs.twimg.com/ext_tw_video_thumb/1440152056862441476/pu/img/RypVaHbX_jWL8ylr.jpg</v>
      </c>
      <c r="W146" s="82">
        <v>44461.74793981481</v>
      </c>
      <c r="X146" s="88">
        <v>44461</v>
      </c>
      <c r="Y146" s="85" t="s">
        <v>659</v>
      </c>
      <c r="Z146" s="83" t="str">
        <f>HYPERLINK("https://twitter.com/c1frankietheone/status/1440736911933337607")</f>
        <v>https://twitter.com/c1frankietheone/status/1440736911933337607</v>
      </c>
      <c r="AA146" s="80"/>
      <c r="AB146" s="80"/>
      <c r="AC146" s="85" t="s">
        <v>833</v>
      </c>
      <c r="AD146" s="80"/>
      <c r="AE146" s="80" t="b">
        <v>0</v>
      </c>
      <c r="AF146" s="80">
        <v>0</v>
      </c>
      <c r="AG146" s="85" t="s">
        <v>871</v>
      </c>
      <c r="AH146" s="80" t="b">
        <v>0</v>
      </c>
      <c r="AI146" s="80" t="s">
        <v>882</v>
      </c>
      <c r="AJ146" s="80"/>
      <c r="AK146" s="85" t="s">
        <v>871</v>
      </c>
      <c r="AL146" s="80" t="b">
        <v>0</v>
      </c>
      <c r="AM146" s="80">
        <v>13</v>
      </c>
      <c r="AN146" s="85" t="s">
        <v>835</v>
      </c>
      <c r="AO146" s="85" t="s">
        <v>889</v>
      </c>
      <c r="AP146" s="80" t="b">
        <v>0</v>
      </c>
      <c r="AQ146" s="85" t="s">
        <v>835</v>
      </c>
      <c r="AR146" s="80" t="s">
        <v>178</v>
      </c>
      <c r="AS146" s="80">
        <v>0</v>
      </c>
      <c r="AT146" s="80">
        <v>0</v>
      </c>
      <c r="AU146" s="80"/>
      <c r="AV146" s="80"/>
      <c r="AW146" s="80"/>
      <c r="AX146" s="80"/>
      <c r="AY146" s="80"/>
      <c r="AZ146" s="80"/>
      <c r="BA146" s="80"/>
      <c r="BB146" s="80"/>
      <c r="BC146">
        <v>1</v>
      </c>
      <c r="BD146" s="79" t="str">
        <f>REPLACE(INDEX(GroupVertices[Group],MATCH(Edges35[[#This Row],[Vertex 1]],GroupVertices[Vertex],0)),1,1,"")</f>
        <v>2</v>
      </c>
      <c r="BE146" s="79" t="str">
        <f>REPLACE(INDEX(GroupVertices[Group],MATCH(Edges35[[#This Row],[Vertex 2]],GroupVertices[Vertex],0)),1,1,"")</f>
        <v>2</v>
      </c>
      <c r="BF146" s="49"/>
      <c r="BG146" s="50"/>
      <c r="BH146" s="49"/>
      <c r="BI146" s="50"/>
      <c r="BJ146" s="49"/>
      <c r="BK146" s="50"/>
      <c r="BL146" s="49"/>
      <c r="BM146" s="50"/>
      <c r="BN146" s="49"/>
    </row>
    <row r="147" spans="1:66" ht="15">
      <c r="A147" s="65" t="s">
        <v>336</v>
      </c>
      <c r="B147" s="65" t="s">
        <v>377</v>
      </c>
      <c r="C147" s="66" t="s">
        <v>2647</v>
      </c>
      <c r="D147" s="67">
        <v>5</v>
      </c>
      <c r="E147" s="68"/>
      <c r="F147" s="69">
        <v>40</v>
      </c>
      <c r="G147" s="66"/>
      <c r="H147" s="70"/>
      <c r="I147" s="71"/>
      <c r="J147" s="71"/>
      <c r="K147" s="35" t="s">
        <v>65</v>
      </c>
      <c r="L147" s="78">
        <v>227</v>
      </c>
      <c r="M147" s="78"/>
      <c r="N147" s="73"/>
      <c r="O147" s="80" t="s">
        <v>384</v>
      </c>
      <c r="P147" s="82">
        <v>44462.06459490741</v>
      </c>
      <c r="Q147" s="80" t="s">
        <v>431</v>
      </c>
      <c r="R147" s="80"/>
      <c r="S147" s="80"/>
      <c r="T147" s="85" t="s">
        <v>502</v>
      </c>
      <c r="U147" s="80"/>
      <c r="V147" s="83" t="str">
        <f>HYPERLINK("https://pbs.twimg.com/profile_images/1322362861243518976/g_uFwOm__normal.jpg")</f>
        <v>https://pbs.twimg.com/profile_images/1322362861243518976/g_uFwOm__normal.jpg</v>
      </c>
      <c r="W147" s="82">
        <v>44462.06459490741</v>
      </c>
      <c r="X147" s="88">
        <v>44462</v>
      </c>
      <c r="Y147" s="85" t="s">
        <v>660</v>
      </c>
      <c r="Z147" s="83" t="str">
        <f>HYPERLINK("https://twitter.com/borgestom/status/1440851665301745664")</f>
        <v>https://twitter.com/borgestom/status/1440851665301745664</v>
      </c>
      <c r="AA147" s="80"/>
      <c r="AB147" s="80"/>
      <c r="AC147" s="85" t="s">
        <v>834</v>
      </c>
      <c r="AD147" s="85" t="s">
        <v>868</v>
      </c>
      <c r="AE147" s="80" t="b">
        <v>0</v>
      </c>
      <c r="AF147" s="80">
        <v>0</v>
      </c>
      <c r="AG147" s="85" t="s">
        <v>877</v>
      </c>
      <c r="AH147" s="80" t="b">
        <v>0</v>
      </c>
      <c r="AI147" s="80" t="s">
        <v>882</v>
      </c>
      <c r="AJ147" s="80"/>
      <c r="AK147" s="85" t="s">
        <v>871</v>
      </c>
      <c r="AL147" s="80" t="b">
        <v>0</v>
      </c>
      <c r="AM147" s="80">
        <v>0</v>
      </c>
      <c r="AN147" s="85" t="s">
        <v>871</v>
      </c>
      <c r="AO147" s="85" t="s">
        <v>889</v>
      </c>
      <c r="AP147" s="80" t="b">
        <v>0</v>
      </c>
      <c r="AQ147" s="85" t="s">
        <v>868</v>
      </c>
      <c r="AR147" s="80" t="s">
        <v>178</v>
      </c>
      <c r="AS147" s="80">
        <v>0</v>
      </c>
      <c r="AT147" s="80">
        <v>0</v>
      </c>
      <c r="AU147" s="80"/>
      <c r="AV147" s="80"/>
      <c r="AW147" s="80"/>
      <c r="AX147" s="80"/>
      <c r="AY147" s="80"/>
      <c r="AZ147" s="80"/>
      <c r="BA147" s="80"/>
      <c r="BB147" s="80"/>
      <c r="BC147">
        <v>1</v>
      </c>
      <c r="BD147" s="79" t="str">
        <f>REPLACE(INDEX(GroupVertices[Group],MATCH(Edges35[[#This Row],[Vertex 1]],GroupVertices[Vertex],0)),1,1,"")</f>
        <v>15</v>
      </c>
      <c r="BE147" s="79" t="str">
        <f>REPLACE(INDEX(GroupVertices[Group],MATCH(Edges35[[#This Row],[Vertex 2]],GroupVertices[Vertex],0)),1,1,"")</f>
        <v>15</v>
      </c>
      <c r="BF147" s="49"/>
      <c r="BG147" s="50"/>
      <c r="BH147" s="49"/>
      <c r="BI147" s="50"/>
      <c r="BJ147" s="49"/>
      <c r="BK147" s="50"/>
      <c r="BL147" s="49"/>
      <c r="BM147" s="50"/>
      <c r="BN147" s="49"/>
    </row>
    <row r="148" spans="1:66" ht="15">
      <c r="A148" s="65" t="s">
        <v>337</v>
      </c>
      <c r="B148" s="65" t="s">
        <v>370</v>
      </c>
      <c r="C148" s="66" t="s">
        <v>2647</v>
      </c>
      <c r="D148" s="67">
        <v>5</v>
      </c>
      <c r="E148" s="68"/>
      <c r="F148" s="69">
        <v>40</v>
      </c>
      <c r="G148" s="66"/>
      <c r="H148" s="70"/>
      <c r="I148" s="71"/>
      <c r="J148" s="71"/>
      <c r="K148" s="35" t="s">
        <v>65</v>
      </c>
      <c r="L148" s="78">
        <v>229</v>
      </c>
      <c r="M148" s="78"/>
      <c r="N148" s="73"/>
      <c r="O148" s="80" t="s">
        <v>384</v>
      </c>
      <c r="P148" s="82">
        <v>44460.13586805556</v>
      </c>
      <c r="Q148" s="80" t="s">
        <v>418</v>
      </c>
      <c r="R148" s="80"/>
      <c r="S148" s="80"/>
      <c r="T148" s="85" t="s">
        <v>491</v>
      </c>
      <c r="U148" s="83" t="str">
        <f>HYPERLINK("https://pbs.twimg.com/ext_tw_video_thumb/1440152056862441476/pu/img/RypVaHbX_jWL8ylr.jpg")</f>
        <v>https://pbs.twimg.com/ext_tw_video_thumb/1440152056862441476/pu/img/RypVaHbX_jWL8ylr.jpg</v>
      </c>
      <c r="V148" s="83" t="str">
        <f>HYPERLINK("https://pbs.twimg.com/ext_tw_video_thumb/1440152056862441476/pu/img/RypVaHbX_jWL8ylr.jpg")</f>
        <v>https://pbs.twimg.com/ext_tw_video_thumb/1440152056862441476/pu/img/RypVaHbX_jWL8ylr.jpg</v>
      </c>
      <c r="W148" s="82">
        <v>44460.13586805556</v>
      </c>
      <c r="X148" s="88">
        <v>44460</v>
      </c>
      <c r="Y148" s="85" t="s">
        <v>661</v>
      </c>
      <c r="Z148" s="83" t="str">
        <f>HYPERLINK("https://twitter.com/alertachiapas/status/1440152719369539592")</f>
        <v>https://twitter.com/alertachiapas/status/1440152719369539592</v>
      </c>
      <c r="AA148" s="80"/>
      <c r="AB148" s="80"/>
      <c r="AC148" s="85" t="s">
        <v>835</v>
      </c>
      <c r="AD148" s="80"/>
      <c r="AE148" s="80" t="b">
        <v>0</v>
      </c>
      <c r="AF148" s="80">
        <v>32</v>
      </c>
      <c r="AG148" s="85" t="s">
        <v>871</v>
      </c>
      <c r="AH148" s="80" t="b">
        <v>0</v>
      </c>
      <c r="AI148" s="80" t="s">
        <v>882</v>
      </c>
      <c r="AJ148" s="80"/>
      <c r="AK148" s="85" t="s">
        <v>871</v>
      </c>
      <c r="AL148" s="80" t="b">
        <v>0</v>
      </c>
      <c r="AM148" s="80">
        <v>13</v>
      </c>
      <c r="AN148" s="85" t="s">
        <v>871</v>
      </c>
      <c r="AO148" s="85" t="s">
        <v>889</v>
      </c>
      <c r="AP148" s="80" t="b">
        <v>0</v>
      </c>
      <c r="AQ148" s="85" t="s">
        <v>835</v>
      </c>
      <c r="AR148" s="80" t="s">
        <v>178</v>
      </c>
      <c r="AS148" s="80">
        <v>0</v>
      </c>
      <c r="AT148" s="80">
        <v>0</v>
      </c>
      <c r="AU148" s="80"/>
      <c r="AV148" s="80"/>
      <c r="AW148" s="80"/>
      <c r="AX148" s="80"/>
      <c r="AY148" s="80"/>
      <c r="AZ148" s="80"/>
      <c r="BA148" s="80"/>
      <c r="BB148" s="80"/>
      <c r="BC148">
        <v>1</v>
      </c>
      <c r="BD148" s="79" t="str">
        <f>REPLACE(INDEX(GroupVertices[Group],MATCH(Edges35[[#This Row],[Vertex 1]],GroupVertices[Vertex],0)),1,1,"")</f>
        <v>2</v>
      </c>
      <c r="BE148" s="79" t="str">
        <f>REPLACE(INDEX(GroupVertices[Group],MATCH(Edges35[[#This Row],[Vertex 2]],GroupVertices[Vertex],0)),1,1,"")</f>
        <v>2</v>
      </c>
      <c r="BF148" s="49"/>
      <c r="BG148" s="50"/>
      <c r="BH148" s="49"/>
      <c r="BI148" s="50"/>
      <c r="BJ148" s="49"/>
      <c r="BK148" s="50"/>
      <c r="BL148" s="49"/>
      <c r="BM148" s="50"/>
      <c r="BN148" s="49"/>
    </row>
    <row r="149" spans="1:66" ht="15">
      <c r="A149" s="65" t="s">
        <v>338</v>
      </c>
      <c r="B149" s="65" t="s">
        <v>370</v>
      </c>
      <c r="C149" s="66" t="s">
        <v>2647</v>
      </c>
      <c r="D149" s="67">
        <v>5</v>
      </c>
      <c r="E149" s="68"/>
      <c r="F149" s="69">
        <v>40</v>
      </c>
      <c r="G149" s="66"/>
      <c r="H149" s="70"/>
      <c r="I149" s="71"/>
      <c r="J149" s="71"/>
      <c r="K149" s="35" t="s">
        <v>65</v>
      </c>
      <c r="L149" s="78">
        <v>230</v>
      </c>
      <c r="M149" s="78"/>
      <c r="N149" s="73"/>
      <c r="O149" s="80" t="s">
        <v>382</v>
      </c>
      <c r="P149" s="82">
        <v>44462.11528935185</v>
      </c>
      <c r="Q149" s="80" t="s">
        <v>418</v>
      </c>
      <c r="R149" s="80"/>
      <c r="S149" s="80"/>
      <c r="T149" s="85" t="s">
        <v>491</v>
      </c>
      <c r="U149" s="83" t="str">
        <f>HYPERLINK("https://pbs.twimg.com/ext_tw_video_thumb/1440152056862441476/pu/img/RypVaHbX_jWL8ylr.jpg")</f>
        <v>https://pbs.twimg.com/ext_tw_video_thumb/1440152056862441476/pu/img/RypVaHbX_jWL8ylr.jpg</v>
      </c>
      <c r="V149" s="83" t="str">
        <f>HYPERLINK("https://pbs.twimg.com/ext_tw_video_thumb/1440152056862441476/pu/img/RypVaHbX_jWL8ylr.jpg")</f>
        <v>https://pbs.twimg.com/ext_tw_video_thumb/1440152056862441476/pu/img/RypVaHbX_jWL8ylr.jpg</v>
      </c>
      <c r="W149" s="82">
        <v>44462.11528935185</v>
      </c>
      <c r="X149" s="88">
        <v>44462</v>
      </c>
      <c r="Y149" s="85" t="s">
        <v>662</v>
      </c>
      <c r="Z149" s="83" t="str">
        <f>HYPERLINK("https://twitter.com/atzihualibre/status/1440870038110720002")</f>
        <v>https://twitter.com/atzihualibre/status/1440870038110720002</v>
      </c>
      <c r="AA149" s="80"/>
      <c r="AB149" s="80"/>
      <c r="AC149" s="85" t="s">
        <v>836</v>
      </c>
      <c r="AD149" s="80"/>
      <c r="AE149" s="80" t="b">
        <v>0</v>
      </c>
      <c r="AF149" s="80">
        <v>0</v>
      </c>
      <c r="AG149" s="85" t="s">
        <v>871</v>
      </c>
      <c r="AH149" s="80" t="b">
        <v>0</v>
      </c>
      <c r="AI149" s="80" t="s">
        <v>882</v>
      </c>
      <c r="AJ149" s="80"/>
      <c r="AK149" s="85" t="s">
        <v>871</v>
      </c>
      <c r="AL149" s="80" t="b">
        <v>0</v>
      </c>
      <c r="AM149" s="80">
        <v>13</v>
      </c>
      <c r="AN149" s="85" t="s">
        <v>835</v>
      </c>
      <c r="AO149" s="85" t="s">
        <v>889</v>
      </c>
      <c r="AP149" s="80" t="b">
        <v>0</v>
      </c>
      <c r="AQ149" s="85" t="s">
        <v>835</v>
      </c>
      <c r="AR149" s="80" t="s">
        <v>178</v>
      </c>
      <c r="AS149" s="80">
        <v>0</v>
      </c>
      <c r="AT149" s="80">
        <v>0</v>
      </c>
      <c r="AU149" s="80"/>
      <c r="AV149" s="80"/>
      <c r="AW149" s="80"/>
      <c r="AX149" s="80"/>
      <c r="AY149" s="80"/>
      <c r="AZ149" s="80"/>
      <c r="BA149" s="80"/>
      <c r="BB149" s="80"/>
      <c r="BC149">
        <v>1</v>
      </c>
      <c r="BD149" s="79" t="str">
        <f>REPLACE(INDEX(GroupVertices[Group],MATCH(Edges35[[#This Row],[Vertex 1]],GroupVertices[Vertex],0)),1,1,"")</f>
        <v>2</v>
      </c>
      <c r="BE149" s="79" t="str">
        <f>REPLACE(INDEX(GroupVertices[Group],MATCH(Edges35[[#This Row],[Vertex 2]],GroupVertices[Vertex],0)),1,1,"")</f>
        <v>2</v>
      </c>
      <c r="BF149" s="49"/>
      <c r="BG149" s="50"/>
      <c r="BH149" s="49"/>
      <c r="BI149" s="50"/>
      <c r="BJ149" s="49"/>
      <c r="BK149" s="50"/>
      <c r="BL149" s="49"/>
      <c r="BM149" s="50"/>
      <c r="BN149" s="49"/>
    </row>
    <row r="150" spans="1:66" ht="15">
      <c r="A150" s="65" t="s">
        <v>339</v>
      </c>
      <c r="B150" s="65" t="s">
        <v>339</v>
      </c>
      <c r="C150" s="66" t="s">
        <v>2647</v>
      </c>
      <c r="D150" s="67">
        <v>5</v>
      </c>
      <c r="E150" s="68"/>
      <c r="F150" s="69">
        <v>40</v>
      </c>
      <c r="G150" s="66"/>
      <c r="H150" s="70"/>
      <c r="I150" s="71"/>
      <c r="J150" s="71"/>
      <c r="K150" s="35" t="s">
        <v>65</v>
      </c>
      <c r="L150" s="78">
        <v>234</v>
      </c>
      <c r="M150" s="78"/>
      <c r="N150" s="73"/>
      <c r="O150" s="80" t="s">
        <v>178</v>
      </c>
      <c r="P150" s="82">
        <v>43395.89289351852</v>
      </c>
      <c r="Q150" s="80" t="s">
        <v>430</v>
      </c>
      <c r="R150" s="80"/>
      <c r="S150" s="80"/>
      <c r="T150" s="85" t="s">
        <v>472</v>
      </c>
      <c r="U150" s="80"/>
      <c r="V150" s="83" t="str">
        <f>HYPERLINK("https://pbs.twimg.com/profile_images/1392263503667417090/vvQ5zVr__normal.jpg")</f>
        <v>https://pbs.twimg.com/profile_images/1392263503667417090/vvQ5zVr__normal.jpg</v>
      </c>
      <c r="W150" s="82">
        <v>43395.89289351852</v>
      </c>
      <c r="X150" s="88">
        <v>43395</v>
      </c>
      <c r="Y150" s="85" t="s">
        <v>663</v>
      </c>
      <c r="Z150" s="83" t="str">
        <f>HYPERLINK("https://twitter.com/elbagutierrez/status/1054483977690640385")</f>
        <v>https://twitter.com/elbagutierrez/status/1054483977690640385</v>
      </c>
      <c r="AA150" s="80"/>
      <c r="AB150" s="80"/>
      <c r="AC150" s="85" t="s">
        <v>837</v>
      </c>
      <c r="AD150" s="80"/>
      <c r="AE150" s="80" t="b">
        <v>0</v>
      </c>
      <c r="AF150" s="80">
        <v>33</v>
      </c>
      <c r="AG150" s="85" t="s">
        <v>871</v>
      </c>
      <c r="AH150" s="80" t="b">
        <v>0</v>
      </c>
      <c r="AI150" s="80" t="s">
        <v>882</v>
      </c>
      <c r="AJ150" s="80"/>
      <c r="AK150" s="85" t="s">
        <v>871</v>
      </c>
      <c r="AL150" s="80" t="b">
        <v>0</v>
      </c>
      <c r="AM150" s="80">
        <v>20</v>
      </c>
      <c r="AN150" s="85" t="s">
        <v>871</v>
      </c>
      <c r="AO150" s="85" t="s">
        <v>896</v>
      </c>
      <c r="AP150" s="80" t="b">
        <v>0</v>
      </c>
      <c r="AQ150" s="85" t="s">
        <v>837</v>
      </c>
      <c r="AR150" s="80" t="s">
        <v>383</v>
      </c>
      <c r="AS150" s="80">
        <v>0</v>
      </c>
      <c r="AT150" s="80">
        <v>0</v>
      </c>
      <c r="AU150" s="80"/>
      <c r="AV150" s="80"/>
      <c r="AW150" s="80"/>
      <c r="AX150" s="80"/>
      <c r="AY150" s="80"/>
      <c r="AZ150" s="80"/>
      <c r="BA150" s="80"/>
      <c r="BB150" s="80"/>
      <c r="BC150">
        <v>1</v>
      </c>
      <c r="BD150" s="79" t="str">
        <f>REPLACE(INDEX(GroupVertices[Group],MATCH(Edges35[[#This Row],[Vertex 1]],GroupVertices[Vertex],0)),1,1,"")</f>
        <v>14</v>
      </c>
      <c r="BE150" s="79" t="str">
        <f>REPLACE(INDEX(GroupVertices[Group],MATCH(Edges35[[#This Row],[Vertex 2]],GroupVertices[Vertex],0)),1,1,"")</f>
        <v>14</v>
      </c>
      <c r="BF150" s="49">
        <v>0</v>
      </c>
      <c r="BG150" s="50">
        <v>0</v>
      </c>
      <c r="BH150" s="49">
        <v>0</v>
      </c>
      <c r="BI150" s="50">
        <v>0</v>
      </c>
      <c r="BJ150" s="49">
        <v>0</v>
      </c>
      <c r="BK150" s="50">
        <v>0</v>
      </c>
      <c r="BL150" s="49">
        <v>31</v>
      </c>
      <c r="BM150" s="50">
        <v>100</v>
      </c>
      <c r="BN150" s="49">
        <v>31</v>
      </c>
    </row>
    <row r="151" spans="1:66" ht="15">
      <c r="A151" s="65" t="s">
        <v>340</v>
      </c>
      <c r="B151" s="65" t="s">
        <v>339</v>
      </c>
      <c r="C151" s="66" t="s">
        <v>2647</v>
      </c>
      <c r="D151" s="67">
        <v>5</v>
      </c>
      <c r="E151" s="68"/>
      <c r="F151" s="69">
        <v>40</v>
      </c>
      <c r="G151" s="66"/>
      <c r="H151" s="70"/>
      <c r="I151" s="71"/>
      <c r="J151" s="71"/>
      <c r="K151" s="35" t="s">
        <v>65</v>
      </c>
      <c r="L151" s="78">
        <v>235</v>
      </c>
      <c r="M151" s="78"/>
      <c r="N151" s="73"/>
      <c r="O151" s="80" t="s">
        <v>383</v>
      </c>
      <c r="P151" s="82">
        <v>44462.12925925926</v>
      </c>
      <c r="Q151" s="80" t="s">
        <v>430</v>
      </c>
      <c r="R151" s="80"/>
      <c r="S151" s="80"/>
      <c r="T151" s="85" t="s">
        <v>472</v>
      </c>
      <c r="U151" s="80"/>
      <c r="V151" s="83" t="str">
        <f>HYPERLINK("https://pbs.twimg.com/profile_images/595768275432247296/7WbpMJpl_normal.jpg")</f>
        <v>https://pbs.twimg.com/profile_images/595768275432247296/7WbpMJpl_normal.jpg</v>
      </c>
      <c r="W151" s="82">
        <v>44462.12925925926</v>
      </c>
      <c r="X151" s="88">
        <v>44462</v>
      </c>
      <c r="Y151" s="85" t="s">
        <v>664</v>
      </c>
      <c r="Z151" s="83" t="str">
        <f>HYPERLINK("https://twitter.com/jorgeluisveve/status/1440875098643251200")</f>
        <v>https://twitter.com/jorgeluisveve/status/1440875098643251200</v>
      </c>
      <c r="AA151" s="80"/>
      <c r="AB151" s="80"/>
      <c r="AC151" s="85" t="s">
        <v>838</v>
      </c>
      <c r="AD151" s="80"/>
      <c r="AE151" s="80" t="b">
        <v>0</v>
      </c>
      <c r="AF151" s="80">
        <v>0</v>
      </c>
      <c r="AG151" s="85" t="s">
        <v>871</v>
      </c>
      <c r="AH151" s="80" t="b">
        <v>0</v>
      </c>
      <c r="AI151" s="80" t="s">
        <v>882</v>
      </c>
      <c r="AJ151" s="80"/>
      <c r="AK151" s="85" t="s">
        <v>871</v>
      </c>
      <c r="AL151" s="80" t="b">
        <v>0</v>
      </c>
      <c r="AM151" s="80">
        <v>20</v>
      </c>
      <c r="AN151" s="85" t="s">
        <v>837</v>
      </c>
      <c r="AO151" s="85" t="s">
        <v>889</v>
      </c>
      <c r="AP151" s="80" t="b">
        <v>0</v>
      </c>
      <c r="AQ151" s="85" t="s">
        <v>837</v>
      </c>
      <c r="AR151" s="80" t="s">
        <v>178</v>
      </c>
      <c r="AS151" s="80">
        <v>0</v>
      </c>
      <c r="AT151" s="80">
        <v>0</v>
      </c>
      <c r="AU151" s="80"/>
      <c r="AV151" s="80"/>
      <c r="AW151" s="80"/>
      <c r="AX151" s="80"/>
      <c r="AY151" s="80"/>
      <c r="AZ151" s="80"/>
      <c r="BA151" s="80"/>
      <c r="BB151" s="80"/>
      <c r="BC151">
        <v>1</v>
      </c>
      <c r="BD151" s="79" t="str">
        <f>REPLACE(INDEX(GroupVertices[Group],MATCH(Edges35[[#This Row],[Vertex 1]],GroupVertices[Vertex],0)),1,1,"")</f>
        <v>14</v>
      </c>
      <c r="BE151" s="79" t="str">
        <f>REPLACE(INDEX(GroupVertices[Group],MATCH(Edges35[[#This Row],[Vertex 2]],GroupVertices[Vertex],0)),1,1,"")</f>
        <v>14</v>
      </c>
      <c r="BF151" s="49">
        <v>0</v>
      </c>
      <c r="BG151" s="50">
        <v>0</v>
      </c>
      <c r="BH151" s="49">
        <v>0</v>
      </c>
      <c r="BI151" s="50">
        <v>0</v>
      </c>
      <c r="BJ151" s="49">
        <v>0</v>
      </c>
      <c r="BK151" s="50">
        <v>0</v>
      </c>
      <c r="BL151" s="49">
        <v>31</v>
      </c>
      <c r="BM151" s="50">
        <v>100</v>
      </c>
      <c r="BN151" s="49">
        <v>31</v>
      </c>
    </row>
    <row r="152" spans="1:66" ht="15">
      <c r="A152" s="65" t="s">
        <v>341</v>
      </c>
      <c r="B152" s="65" t="s">
        <v>363</v>
      </c>
      <c r="C152" s="66" t="s">
        <v>2647</v>
      </c>
      <c r="D152" s="67">
        <v>5</v>
      </c>
      <c r="E152" s="68"/>
      <c r="F152" s="69">
        <v>40</v>
      </c>
      <c r="G152" s="66"/>
      <c r="H152" s="70"/>
      <c r="I152" s="71"/>
      <c r="J152" s="71"/>
      <c r="K152" s="35" t="s">
        <v>65</v>
      </c>
      <c r="L152" s="78">
        <v>236</v>
      </c>
      <c r="M152" s="78"/>
      <c r="N152" s="73"/>
      <c r="O152" s="80" t="s">
        <v>384</v>
      </c>
      <c r="P152" s="82">
        <v>44437.723495370374</v>
      </c>
      <c r="Q152" s="80" t="s">
        <v>432</v>
      </c>
      <c r="R152" s="80"/>
      <c r="S152" s="80"/>
      <c r="T152" s="85" t="s">
        <v>503</v>
      </c>
      <c r="U152" s="83" t="str">
        <f>HYPERLINK("https://pbs.twimg.com/ext_tw_video_thumb/1432030611888349192/pu/img/MTbA1AjcWlX-SCUO.jpg")</f>
        <v>https://pbs.twimg.com/ext_tw_video_thumb/1432030611888349192/pu/img/MTbA1AjcWlX-SCUO.jpg</v>
      </c>
      <c r="V152" s="83" t="str">
        <f>HYPERLINK("https://pbs.twimg.com/ext_tw_video_thumb/1432030611888349192/pu/img/MTbA1AjcWlX-SCUO.jpg")</f>
        <v>https://pbs.twimg.com/ext_tw_video_thumb/1432030611888349192/pu/img/MTbA1AjcWlX-SCUO.jpg</v>
      </c>
      <c r="W152" s="82">
        <v>44437.723495370374</v>
      </c>
      <c r="X152" s="88">
        <v>44437</v>
      </c>
      <c r="Y152" s="85" t="s">
        <v>665</v>
      </c>
      <c r="Z152" s="83" t="str">
        <f>HYPERLINK("https://twitter.com/tapabav/status/1432030746986831881")</f>
        <v>https://twitter.com/tapabav/status/1432030746986831881</v>
      </c>
      <c r="AA152" s="80"/>
      <c r="AB152" s="80"/>
      <c r="AC152" s="85" t="s">
        <v>839</v>
      </c>
      <c r="AD152" s="80"/>
      <c r="AE152" s="80" t="b">
        <v>0</v>
      </c>
      <c r="AF152" s="80">
        <v>3750</v>
      </c>
      <c r="AG152" s="85" t="s">
        <v>871</v>
      </c>
      <c r="AH152" s="80" t="b">
        <v>0</v>
      </c>
      <c r="AI152" s="80" t="s">
        <v>882</v>
      </c>
      <c r="AJ152" s="80"/>
      <c r="AK152" s="85" t="s">
        <v>871</v>
      </c>
      <c r="AL152" s="80" t="b">
        <v>0</v>
      </c>
      <c r="AM152" s="80">
        <v>3041</v>
      </c>
      <c r="AN152" s="85" t="s">
        <v>871</v>
      </c>
      <c r="AO152" s="85" t="s">
        <v>890</v>
      </c>
      <c r="AP152" s="80" t="b">
        <v>0</v>
      </c>
      <c r="AQ152" s="85" t="s">
        <v>839</v>
      </c>
      <c r="AR152" s="80" t="s">
        <v>383</v>
      </c>
      <c r="AS152" s="80">
        <v>0</v>
      </c>
      <c r="AT152" s="80">
        <v>0</v>
      </c>
      <c r="AU152" s="80"/>
      <c r="AV152" s="80"/>
      <c r="AW152" s="80"/>
      <c r="AX152" s="80"/>
      <c r="AY152" s="80"/>
      <c r="AZ152" s="80"/>
      <c r="BA152" s="80"/>
      <c r="BB152" s="80"/>
      <c r="BC152">
        <v>1</v>
      </c>
      <c r="BD152" s="79" t="str">
        <f>REPLACE(INDEX(GroupVertices[Group],MATCH(Edges35[[#This Row],[Vertex 1]],GroupVertices[Vertex],0)),1,1,"")</f>
        <v>5</v>
      </c>
      <c r="BE152" s="79" t="str">
        <f>REPLACE(INDEX(GroupVertices[Group],MATCH(Edges35[[#This Row],[Vertex 2]],GroupVertices[Vertex],0)),1,1,"")</f>
        <v>5</v>
      </c>
      <c r="BF152" s="49"/>
      <c r="BG152" s="50"/>
      <c r="BH152" s="49"/>
      <c r="BI152" s="50"/>
      <c r="BJ152" s="49"/>
      <c r="BK152" s="50"/>
      <c r="BL152" s="49"/>
      <c r="BM152" s="50"/>
      <c r="BN152" s="49"/>
    </row>
    <row r="153" spans="1:66" ht="15">
      <c r="A153" s="65" t="s">
        <v>342</v>
      </c>
      <c r="B153" s="65" t="s">
        <v>363</v>
      </c>
      <c r="C153" s="66" t="s">
        <v>2647</v>
      </c>
      <c r="D153" s="67">
        <v>5</v>
      </c>
      <c r="E153" s="68"/>
      <c r="F153" s="69">
        <v>40</v>
      </c>
      <c r="G153" s="66"/>
      <c r="H153" s="70"/>
      <c r="I153" s="71"/>
      <c r="J153" s="71"/>
      <c r="K153" s="35" t="s">
        <v>65</v>
      </c>
      <c r="L153" s="78">
        <v>237</v>
      </c>
      <c r="M153" s="78"/>
      <c r="N153" s="73"/>
      <c r="O153" s="80" t="s">
        <v>382</v>
      </c>
      <c r="P153" s="82">
        <v>44462.18162037037</v>
      </c>
      <c r="Q153" s="80" t="s">
        <v>432</v>
      </c>
      <c r="R153" s="80"/>
      <c r="S153" s="80"/>
      <c r="T153" s="85" t="s">
        <v>503</v>
      </c>
      <c r="U153" s="83" t="str">
        <f>HYPERLINK("https://pbs.twimg.com/ext_tw_video_thumb/1432030611888349192/pu/img/MTbA1AjcWlX-SCUO.jpg")</f>
        <v>https://pbs.twimg.com/ext_tw_video_thumb/1432030611888349192/pu/img/MTbA1AjcWlX-SCUO.jpg</v>
      </c>
      <c r="V153" s="83" t="str">
        <f>HYPERLINK("https://pbs.twimg.com/ext_tw_video_thumb/1432030611888349192/pu/img/MTbA1AjcWlX-SCUO.jpg")</f>
        <v>https://pbs.twimg.com/ext_tw_video_thumb/1432030611888349192/pu/img/MTbA1AjcWlX-SCUO.jpg</v>
      </c>
      <c r="W153" s="82">
        <v>44462.18162037037</v>
      </c>
      <c r="X153" s="88">
        <v>44462</v>
      </c>
      <c r="Y153" s="85" t="s">
        <v>666</v>
      </c>
      <c r="Z153" s="83" t="str">
        <f>HYPERLINK("https://twitter.com/rolobss1/status/1440894072634347521")</f>
        <v>https://twitter.com/rolobss1/status/1440894072634347521</v>
      </c>
      <c r="AA153" s="80"/>
      <c r="AB153" s="80"/>
      <c r="AC153" s="85" t="s">
        <v>840</v>
      </c>
      <c r="AD153" s="80"/>
      <c r="AE153" s="80" t="b">
        <v>0</v>
      </c>
      <c r="AF153" s="80">
        <v>0</v>
      </c>
      <c r="AG153" s="85" t="s">
        <v>871</v>
      </c>
      <c r="AH153" s="80" t="b">
        <v>0</v>
      </c>
      <c r="AI153" s="80" t="s">
        <v>882</v>
      </c>
      <c r="AJ153" s="80"/>
      <c r="AK153" s="85" t="s">
        <v>871</v>
      </c>
      <c r="AL153" s="80" t="b">
        <v>0</v>
      </c>
      <c r="AM153" s="80">
        <v>3041</v>
      </c>
      <c r="AN153" s="85" t="s">
        <v>839</v>
      </c>
      <c r="AO153" s="85" t="s">
        <v>891</v>
      </c>
      <c r="AP153" s="80" t="b">
        <v>0</v>
      </c>
      <c r="AQ153" s="85" t="s">
        <v>839</v>
      </c>
      <c r="AR153" s="80" t="s">
        <v>178</v>
      </c>
      <c r="AS153" s="80">
        <v>0</v>
      </c>
      <c r="AT153" s="80">
        <v>0</v>
      </c>
      <c r="AU153" s="80"/>
      <c r="AV153" s="80"/>
      <c r="AW153" s="80"/>
      <c r="AX153" s="80"/>
      <c r="AY153" s="80"/>
      <c r="AZ153" s="80"/>
      <c r="BA153" s="80"/>
      <c r="BB153" s="80"/>
      <c r="BC153">
        <v>1</v>
      </c>
      <c r="BD153" s="79" t="str">
        <f>REPLACE(INDEX(GroupVertices[Group],MATCH(Edges35[[#This Row],[Vertex 1]],GroupVertices[Vertex],0)),1,1,"")</f>
        <v>5</v>
      </c>
      <c r="BE153" s="79" t="str">
        <f>REPLACE(INDEX(GroupVertices[Group],MATCH(Edges35[[#This Row],[Vertex 2]],GroupVertices[Vertex],0)),1,1,"")</f>
        <v>5</v>
      </c>
      <c r="BF153" s="49"/>
      <c r="BG153" s="50"/>
      <c r="BH153" s="49"/>
      <c r="BI153" s="50"/>
      <c r="BJ153" s="49"/>
      <c r="BK153" s="50"/>
      <c r="BL153" s="49"/>
      <c r="BM153" s="50"/>
      <c r="BN153" s="49"/>
    </row>
    <row r="154" spans="1:66" ht="15">
      <c r="A154" s="65" t="s">
        <v>343</v>
      </c>
      <c r="B154" s="65" t="s">
        <v>351</v>
      </c>
      <c r="C154" s="66" t="s">
        <v>2647</v>
      </c>
      <c r="D154" s="67">
        <v>5</v>
      </c>
      <c r="E154" s="68"/>
      <c r="F154" s="69">
        <v>40</v>
      </c>
      <c r="G154" s="66"/>
      <c r="H154" s="70"/>
      <c r="I154" s="71"/>
      <c r="J154" s="71"/>
      <c r="K154" s="35" t="s">
        <v>65</v>
      </c>
      <c r="L154" s="78">
        <v>241</v>
      </c>
      <c r="M154" s="78"/>
      <c r="N154" s="73"/>
      <c r="O154" s="80" t="s">
        <v>383</v>
      </c>
      <c r="P154" s="82">
        <v>44462.90726851852</v>
      </c>
      <c r="Q154" s="80" t="s">
        <v>433</v>
      </c>
      <c r="R154" s="83" t="str">
        <f>HYPERLINK("https://avispa.org/migrantes-buscan-rutas-alternativas-en-chiapas-autoridades-responden-con-violencia/")</f>
        <v>https://avispa.org/migrantes-buscan-rutas-alternativas-en-chiapas-autoridades-responden-con-violencia/</v>
      </c>
      <c r="S154" s="80" t="s">
        <v>463</v>
      </c>
      <c r="T154" s="85" t="s">
        <v>504</v>
      </c>
      <c r="U154" s="80"/>
      <c r="V154" s="83" t="str">
        <f>HYPERLINK("https://pbs.twimg.com/profile_images/1437041251237380098/ngPLiPNE_normal.jpg")</f>
        <v>https://pbs.twimg.com/profile_images/1437041251237380098/ngPLiPNE_normal.jpg</v>
      </c>
      <c r="W154" s="82">
        <v>44462.90726851852</v>
      </c>
      <c r="X154" s="88">
        <v>44462</v>
      </c>
      <c r="Y154" s="85" t="s">
        <v>667</v>
      </c>
      <c r="Z154" s="83" t="str">
        <f>HYPERLINK("https://twitter.com/smolninalia/status/1441157039695171585")</f>
        <v>https://twitter.com/smolninalia/status/1441157039695171585</v>
      </c>
      <c r="AA154" s="80"/>
      <c r="AB154" s="80"/>
      <c r="AC154" s="85" t="s">
        <v>841</v>
      </c>
      <c r="AD154" s="80"/>
      <c r="AE154" s="80" t="b">
        <v>0</v>
      </c>
      <c r="AF154" s="80">
        <v>0</v>
      </c>
      <c r="AG154" s="85" t="s">
        <v>871</v>
      </c>
      <c r="AH154" s="80" t="b">
        <v>0</v>
      </c>
      <c r="AI154" s="80" t="s">
        <v>882</v>
      </c>
      <c r="AJ154" s="80"/>
      <c r="AK154" s="85" t="s">
        <v>871</v>
      </c>
      <c r="AL154" s="80" t="b">
        <v>0</v>
      </c>
      <c r="AM154" s="80">
        <v>5</v>
      </c>
      <c r="AN154" s="85" t="s">
        <v>852</v>
      </c>
      <c r="AO154" s="85" t="s">
        <v>889</v>
      </c>
      <c r="AP154" s="80" t="b">
        <v>0</v>
      </c>
      <c r="AQ154" s="85" t="s">
        <v>852</v>
      </c>
      <c r="AR154" s="80" t="s">
        <v>178</v>
      </c>
      <c r="AS154" s="80">
        <v>0</v>
      </c>
      <c r="AT154" s="80">
        <v>0</v>
      </c>
      <c r="AU154" s="80"/>
      <c r="AV154" s="80"/>
      <c r="AW154" s="80"/>
      <c r="AX154" s="80"/>
      <c r="AY154" s="80"/>
      <c r="AZ154" s="80"/>
      <c r="BA154" s="80"/>
      <c r="BB154" s="80"/>
      <c r="BC154">
        <v>1</v>
      </c>
      <c r="BD154" s="79" t="str">
        <f>REPLACE(INDEX(GroupVertices[Group],MATCH(Edges35[[#This Row],[Vertex 1]],GroupVertices[Vertex],0)),1,1,"")</f>
        <v>8</v>
      </c>
      <c r="BE154" s="79" t="str">
        <f>REPLACE(INDEX(GroupVertices[Group],MATCH(Edges35[[#This Row],[Vertex 2]],GroupVertices[Vertex],0)),1,1,"")</f>
        <v>8</v>
      </c>
      <c r="BF154" s="49">
        <v>0</v>
      </c>
      <c r="BG154" s="50">
        <v>0</v>
      </c>
      <c r="BH154" s="49">
        <v>0</v>
      </c>
      <c r="BI154" s="50">
        <v>0</v>
      </c>
      <c r="BJ154" s="49">
        <v>0</v>
      </c>
      <c r="BK154" s="50">
        <v>0</v>
      </c>
      <c r="BL154" s="49">
        <v>34</v>
      </c>
      <c r="BM154" s="50">
        <v>100</v>
      </c>
      <c r="BN154" s="49">
        <v>34</v>
      </c>
    </row>
    <row r="155" spans="1:66" ht="15">
      <c r="A155" s="65" t="s">
        <v>344</v>
      </c>
      <c r="B155" s="65" t="s">
        <v>351</v>
      </c>
      <c r="C155" s="66" t="s">
        <v>2647</v>
      </c>
      <c r="D155" s="67">
        <v>5</v>
      </c>
      <c r="E155" s="68"/>
      <c r="F155" s="69">
        <v>40</v>
      </c>
      <c r="G155" s="66"/>
      <c r="H155" s="70"/>
      <c r="I155" s="71"/>
      <c r="J155" s="71"/>
      <c r="K155" s="35" t="s">
        <v>65</v>
      </c>
      <c r="L155" s="78">
        <v>242</v>
      </c>
      <c r="M155" s="78"/>
      <c r="N155" s="73"/>
      <c r="O155" s="80" t="s">
        <v>383</v>
      </c>
      <c r="P155" s="82">
        <v>44462.911886574075</v>
      </c>
      <c r="Q155" s="80" t="s">
        <v>433</v>
      </c>
      <c r="R155" s="83" t="str">
        <f>HYPERLINK("https://avispa.org/migrantes-buscan-rutas-alternativas-en-chiapas-autoridades-responden-con-violencia/")</f>
        <v>https://avispa.org/migrantes-buscan-rutas-alternativas-en-chiapas-autoridades-responden-con-violencia/</v>
      </c>
      <c r="S155" s="80" t="s">
        <v>463</v>
      </c>
      <c r="T155" s="85" t="s">
        <v>504</v>
      </c>
      <c r="U155" s="80"/>
      <c r="V155" s="83" t="str">
        <f>HYPERLINK("https://pbs.twimg.com/profile_images/1368568450608734221/4SGV_0vg_normal.jpg")</f>
        <v>https://pbs.twimg.com/profile_images/1368568450608734221/4SGV_0vg_normal.jpg</v>
      </c>
      <c r="W155" s="82">
        <v>44462.911886574075</v>
      </c>
      <c r="X155" s="88">
        <v>44462</v>
      </c>
      <c r="Y155" s="85" t="s">
        <v>668</v>
      </c>
      <c r="Z155" s="83" t="str">
        <f>HYPERLINK("https://twitter.com/algaraba8/status/1441158713406943234")</f>
        <v>https://twitter.com/algaraba8/status/1441158713406943234</v>
      </c>
      <c r="AA155" s="80"/>
      <c r="AB155" s="80"/>
      <c r="AC155" s="85" t="s">
        <v>842</v>
      </c>
      <c r="AD155" s="80"/>
      <c r="AE155" s="80" t="b">
        <v>0</v>
      </c>
      <c r="AF155" s="80">
        <v>0</v>
      </c>
      <c r="AG155" s="85" t="s">
        <v>871</v>
      </c>
      <c r="AH155" s="80" t="b">
        <v>0</v>
      </c>
      <c r="AI155" s="80" t="s">
        <v>882</v>
      </c>
      <c r="AJ155" s="80"/>
      <c r="AK155" s="85" t="s">
        <v>871</v>
      </c>
      <c r="AL155" s="80" t="b">
        <v>0</v>
      </c>
      <c r="AM155" s="80">
        <v>5</v>
      </c>
      <c r="AN155" s="85" t="s">
        <v>852</v>
      </c>
      <c r="AO155" s="85" t="s">
        <v>889</v>
      </c>
      <c r="AP155" s="80" t="b">
        <v>0</v>
      </c>
      <c r="AQ155" s="85" t="s">
        <v>852</v>
      </c>
      <c r="AR155" s="80" t="s">
        <v>178</v>
      </c>
      <c r="AS155" s="80">
        <v>0</v>
      </c>
      <c r="AT155" s="80">
        <v>0</v>
      </c>
      <c r="AU155" s="80"/>
      <c r="AV155" s="80"/>
      <c r="AW155" s="80"/>
      <c r="AX155" s="80"/>
      <c r="AY155" s="80"/>
      <c r="AZ155" s="80"/>
      <c r="BA155" s="80"/>
      <c r="BB155" s="80"/>
      <c r="BC155">
        <v>1</v>
      </c>
      <c r="BD155" s="79" t="str">
        <f>REPLACE(INDEX(GroupVertices[Group],MATCH(Edges35[[#This Row],[Vertex 1]],GroupVertices[Vertex],0)),1,1,"")</f>
        <v>8</v>
      </c>
      <c r="BE155" s="79" t="str">
        <f>REPLACE(INDEX(GroupVertices[Group],MATCH(Edges35[[#This Row],[Vertex 2]],GroupVertices[Vertex],0)),1,1,"")</f>
        <v>8</v>
      </c>
      <c r="BF155" s="49">
        <v>0</v>
      </c>
      <c r="BG155" s="50">
        <v>0</v>
      </c>
      <c r="BH155" s="49">
        <v>0</v>
      </c>
      <c r="BI155" s="50">
        <v>0</v>
      </c>
      <c r="BJ155" s="49">
        <v>0</v>
      </c>
      <c r="BK155" s="50">
        <v>0</v>
      </c>
      <c r="BL155" s="49">
        <v>34</v>
      </c>
      <c r="BM155" s="50">
        <v>100</v>
      </c>
      <c r="BN155" s="49">
        <v>34</v>
      </c>
    </row>
    <row r="156" spans="1:66" ht="15">
      <c r="A156" s="65" t="s">
        <v>345</v>
      </c>
      <c r="B156" s="65" t="s">
        <v>345</v>
      </c>
      <c r="C156" s="66" t="s">
        <v>2648</v>
      </c>
      <c r="D156" s="67">
        <v>10</v>
      </c>
      <c r="E156" s="68"/>
      <c r="F156" s="69">
        <v>20</v>
      </c>
      <c r="G156" s="66"/>
      <c r="H156" s="70"/>
      <c r="I156" s="71"/>
      <c r="J156" s="71"/>
      <c r="K156" s="35" t="s">
        <v>65</v>
      </c>
      <c r="L156" s="78">
        <v>243</v>
      </c>
      <c r="M156" s="78"/>
      <c r="N156" s="73"/>
      <c r="O156" s="80" t="s">
        <v>178</v>
      </c>
      <c r="P156" s="82">
        <v>44456.783113425925</v>
      </c>
      <c r="Q156" s="80" t="s">
        <v>434</v>
      </c>
      <c r="R156" s="83" t="str">
        <f>HYPERLINK("https://www.youtube.com/watch?v=3RqhLdsLdeI&amp;feature=youtu.be")</f>
        <v>https://www.youtube.com/watch?v=3RqhLdsLdeI&amp;feature=youtu.be</v>
      </c>
      <c r="S156" s="80" t="s">
        <v>458</v>
      </c>
      <c r="T156" s="85" t="s">
        <v>505</v>
      </c>
      <c r="U156" s="80"/>
      <c r="V156" s="83" t="str">
        <f>HYPERLINK("https://pbs.twimg.com/profile_images/1403212760251441152/0cnwMyCP_normal.jpg")</f>
        <v>https://pbs.twimg.com/profile_images/1403212760251441152/0cnwMyCP_normal.jpg</v>
      </c>
      <c r="W156" s="82">
        <v>44456.783113425925</v>
      </c>
      <c r="X156" s="88">
        <v>44456</v>
      </c>
      <c r="Y156" s="85" t="s">
        <v>669</v>
      </c>
      <c r="Z156" s="83" t="str">
        <f>HYPERLINK("https://twitter.com/uriluisni/status/1438937719883776008")</f>
        <v>https://twitter.com/uriluisni/status/1438937719883776008</v>
      </c>
      <c r="AA156" s="80"/>
      <c r="AB156" s="80"/>
      <c r="AC156" s="85" t="s">
        <v>843</v>
      </c>
      <c r="AD156" s="80"/>
      <c r="AE156" s="80" t="b">
        <v>0</v>
      </c>
      <c r="AF156" s="80">
        <v>1</v>
      </c>
      <c r="AG156" s="85" t="s">
        <v>871</v>
      </c>
      <c r="AH156" s="80" t="b">
        <v>0</v>
      </c>
      <c r="AI156" s="80" t="s">
        <v>882</v>
      </c>
      <c r="AJ156" s="80"/>
      <c r="AK156" s="85" t="s">
        <v>871</v>
      </c>
      <c r="AL156" s="80" t="b">
        <v>0</v>
      </c>
      <c r="AM156" s="80">
        <v>0</v>
      </c>
      <c r="AN156" s="85" t="s">
        <v>871</v>
      </c>
      <c r="AO156" s="85" t="s">
        <v>891</v>
      </c>
      <c r="AP156" s="80" t="b">
        <v>0</v>
      </c>
      <c r="AQ156" s="85" t="s">
        <v>843</v>
      </c>
      <c r="AR156" s="80" t="s">
        <v>178</v>
      </c>
      <c r="AS156" s="80">
        <v>0</v>
      </c>
      <c r="AT156" s="80">
        <v>0</v>
      </c>
      <c r="AU156" s="80"/>
      <c r="AV156" s="80"/>
      <c r="AW156" s="80"/>
      <c r="AX156" s="80"/>
      <c r="AY156" s="80"/>
      <c r="AZ156" s="80"/>
      <c r="BA156" s="80"/>
      <c r="BB156" s="80"/>
      <c r="BC156">
        <v>16</v>
      </c>
      <c r="BD156" s="79" t="str">
        <f>REPLACE(INDEX(GroupVertices[Group],MATCH(Edges35[[#This Row],[Vertex 1]],GroupVertices[Vertex],0)),1,1,"")</f>
        <v>4</v>
      </c>
      <c r="BE156" s="79" t="str">
        <f>REPLACE(INDEX(GroupVertices[Group],MATCH(Edges35[[#This Row],[Vertex 2]],GroupVertices[Vertex],0)),1,1,"")</f>
        <v>4</v>
      </c>
      <c r="BF156" s="49">
        <v>0</v>
      </c>
      <c r="BG156" s="50">
        <v>0</v>
      </c>
      <c r="BH156" s="49">
        <v>0</v>
      </c>
      <c r="BI156" s="50">
        <v>0</v>
      </c>
      <c r="BJ156" s="49">
        <v>0</v>
      </c>
      <c r="BK156" s="50">
        <v>0</v>
      </c>
      <c r="BL156" s="49">
        <v>29</v>
      </c>
      <c r="BM156" s="50">
        <v>100</v>
      </c>
      <c r="BN156" s="49">
        <v>29</v>
      </c>
    </row>
    <row r="157" spans="1:66" ht="15">
      <c r="A157" s="65" t="s">
        <v>345</v>
      </c>
      <c r="B157" s="65" t="s">
        <v>345</v>
      </c>
      <c r="C157" s="66" t="s">
        <v>2648</v>
      </c>
      <c r="D157" s="67">
        <v>10</v>
      </c>
      <c r="E157" s="68"/>
      <c r="F157" s="69">
        <v>20</v>
      </c>
      <c r="G157" s="66"/>
      <c r="H157" s="70"/>
      <c r="I157" s="71"/>
      <c r="J157" s="71"/>
      <c r="K157" s="35" t="s">
        <v>65</v>
      </c>
      <c r="L157" s="78">
        <v>244</v>
      </c>
      <c r="M157" s="78"/>
      <c r="N157" s="73"/>
      <c r="O157" s="80" t="s">
        <v>178</v>
      </c>
      <c r="P157" s="82">
        <v>44457.768599537034</v>
      </c>
      <c r="Q157" s="80" t="s">
        <v>435</v>
      </c>
      <c r="R157" s="83" t="str">
        <f>HYPERLINK("https://www.youtube.com/watch?v=SVNAKVANq8o&amp;feature=youtu.be")</f>
        <v>https://www.youtube.com/watch?v=SVNAKVANq8o&amp;feature=youtu.be</v>
      </c>
      <c r="S157" s="80" t="s">
        <v>458</v>
      </c>
      <c r="T157" s="85" t="s">
        <v>506</v>
      </c>
      <c r="U157" s="80"/>
      <c r="V157" s="83" t="str">
        <f>HYPERLINK("https://pbs.twimg.com/profile_images/1403212760251441152/0cnwMyCP_normal.jpg")</f>
        <v>https://pbs.twimg.com/profile_images/1403212760251441152/0cnwMyCP_normal.jpg</v>
      </c>
      <c r="W157" s="82">
        <v>44457.768599537034</v>
      </c>
      <c r="X157" s="88">
        <v>44457</v>
      </c>
      <c r="Y157" s="85" t="s">
        <v>670</v>
      </c>
      <c r="Z157" s="83" t="str">
        <f>HYPERLINK("https://twitter.com/uriluisni/status/1439294848473829382")</f>
        <v>https://twitter.com/uriluisni/status/1439294848473829382</v>
      </c>
      <c r="AA157" s="80"/>
      <c r="AB157" s="80"/>
      <c r="AC157" s="85" t="s">
        <v>844</v>
      </c>
      <c r="AD157" s="80"/>
      <c r="AE157" s="80" t="b">
        <v>0</v>
      </c>
      <c r="AF157" s="80">
        <v>0</v>
      </c>
      <c r="AG157" s="85" t="s">
        <v>871</v>
      </c>
      <c r="AH157" s="80" t="b">
        <v>0</v>
      </c>
      <c r="AI157" s="80" t="s">
        <v>882</v>
      </c>
      <c r="AJ157" s="80"/>
      <c r="AK157" s="85" t="s">
        <v>871</v>
      </c>
      <c r="AL157" s="80" t="b">
        <v>0</v>
      </c>
      <c r="AM157" s="80">
        <v>0</v>
      </c>
      <c r="AN157" s="85" t="s">
        <v>871</v>
      </c>
      <c r="AO157" s="85" t="s">
        <v>891</v>
      </c>
      <c r="AP157" s="80" t="b">
        <v>0</v>
      </c>
      <c r="AQ157" s="85" t="s">
        <v>844</v>
      </c>
      <c r="AR157" s="80" t="s">
        <v>178</v>
      </c>
      <c r="AS157" s="80">
        <v>0</v>
      </c>
      <c r="AT157" s="80">
        <v>0</v>
      </c>
      <c r="AU157" s="80"/>
      <c r="AV157" s="80"/>
      <c r="AW157" s="80"/>
      <c r="AX157" s="80"/>
      <c r="AY157" s="80"/>
      <c r="AZ157" s="80"/>
      <c r="BA157" s="80"/>
      <c r="BB157" s="80"/>
      <c r="BC157">
        <v>16</v>
      </c>
      <c r="BD157" s="79" t="str">
        <f>REPLACE(INDEX(GroupVertices[Group],MATCH(Edges35[[#This Row],[Vertex 1]],GroupVertices[Vertex],0)),1,1,"")</f>
        <v>4</v>
      </c>
      <c r="BE157" s="79" t="str">
        <f>REPLACE(INDEX(GroupVertices[Group],MATCH(Edges35[[#This Row],[Vertex 2]],GroupVertices[Vertex],0)),1,1,"")</f>
        <v>4</v>
      </c>
      <c r="BF157" s="49">
        <v>0</v>
      </c>
      <c r="BG157" s="50">
        <v>0</v>
      </c>
      <c r="BH157" s="49">
        <v>0</v>
      </c>
      <c r="BI157" s="50">
        <v>0</v>
      </c>
      <c r="BJ157" s="49">
        <v>0</v>
      </c>
      <c r="BK157" s="50">
        <v>0</v>
      </c>
      <c r="BL157" s="49">
        <v>15</v>
      </c>
      <c r="BM157" s="50">
        <v>100</v>
      </c>
      <c r="BN157" s="49">
        <v>15</v>
      </c>
    </row>
    <row r="158" spans="1:66" ht="15">
      <c r="A158" s="65" t="s">
        <v>345</v>
      </c>
      <c r="B158" s="65" t="s">
        <v>345</v>
      </c>
      <c r="C158" s="66" t="s">
        <v>2648</v>
      </c>
      <c r="D158" s="67">
        <v>10</v>
      </c>
      <c r="E158" s="68"/>
      <c r="F158" s="69">
        <v>20</v>
      </c>
      <c r="G158" s="66"/>
      <c r="H158" s="70"/>
      <c r="I158" s="71"/>
      <c r="J158" s="71"/>
      <c r="K158" s="35" t="s">
        <v>65</v>
      </c>
      <c r="L158" s="78">
        <v>245</v>
      </c>
      <c r="M158" s="78"/>
      <c r="N158" s="73"/>
      <c r="O158" s="80" t="s">
        <v>178</v>
      </c>
      <c r="P158" s="82">
        <v>44458.12805555556</v>
      </c>
      <c r="Q158" s="80" t="s">
        <v>436</v>
      </c>
      <c r="R158" s="83" t="str">
        <f>HYPERLINK("https://www.youtube.com/watch?v=2xnoo4EEV84&amp;feature=youtu.be")</f>
        <v>https://www.youtube.com/watch?v=2xnoo4EEV84&amp;feature=youtu.be</v>
      </c>
      <c r="S158" s="80" t="s">
        <v>458</v>
      </c>
      <c r="T158" s="85" t="s">
        <v>507</v>
      </c>
      <c r="U158" s="80"/>
      <c r="V158" s="83" t="str">
        <f>HYPERLINK("https://pbs.twimg.com/profile_images/1403212760251441152/0cnwMyCP_normal.jpg")</f>
        <v>https://pbs.twimg.com/profile_images/1403212760251441152/0cnwMyCP_normal.jpg</v>
      </c>
      <c r="W158" s="82">
        <v>44458.12805555556</v>
      </c>
      <c r="X158" s="88">
        <v>44458</v>
      </c>
      <c r="Y158" s="85" t="s">
        <v>671</v>
      </c>
      <c r="Z158" s="83" t="str">
        <f>HYPERLINK("https://twitter.com/uriluisni/status/1439425109660372998")</f>
        <v>https://twitter.com/uriluisni/status/1439425109660372998</v>
      </c>
      <c r="AA158" s="80"/>
      <c r="AB158" s="80"/>
      <c r="AC158" s="85" t="s">
        <v>845</v>
      </c>
      <c r="AD158" s="80"/>
      <c r="AE158" s="80" t="b">
        <v>0</v>
      </c>
      <c r="AF158" s="80">
        <v>0</v>
      </c>
      <c r="AG158" s="85" t="s">
        <v>871</v>
      </c>
      <c r="AH158" s="80" t="b">
        <v>0</v>
      </c>
      <c r="AI158" s="80" t="s">
        <v>882</v>
      </c>
      <c r="AJ158" s="80"/>
      <c r="AK158" s="85" t="s">
        <v>871</v>
      </c>
      <c r="AL158" s="80" t="b">
        <v>0</v>
      </c>
      <c r="AM158" s="80">
        <v>0</v>
      </c>
      <c r="AN158" s="85" t="s">
        <v>871</v>
      </c>
      <c r="AO158" s="85" t="s">
        <v>891</v>
      </c>
      <c r="AP158" s="80" t="b">
        <v>0</v>
      </c>
      <c r="AQ158" s="85" t="s">
        <v>845</v>
      </c>
      <c r="AR158" s="80" t="s">
        <v>178</v>
      </c>
      <c r="AS158" s="80">
        <v>0</v>
      </c>
      <c r="AT158" s="80">
        <v>0</v>
      </c>
      <c r="AU158" s="80"/>
      <c r="AV158" s="80"/>
      <c r="AW158" s="80"/>
      <c r="AX158" s="80"/>
      <c r="AY158" s="80"/>
      <c r="AZ158" s="80"/>
      <c r="BA158" s="80"/>
      <c r="BB158" s="80"/>
      <c r="BC158">
        <v>16</v>
      </c>
      <c r="BD158" s="79" t="str">
        <f>REPLACE(INDEX(GroupVertices[Group],MATCH(Edges35[[#This Row],[Vertex 1]],GroupVertices[Vertex],0)),1,1,"")</f>
        <v>4</v>
      </c>
      <c r="BE158" s="79" t="str">
        <f>REPLACE(INDEX(GroupVertices[Group],MATCH(Edges35[[#This Row],[Vertex 2]],GroupVertices[Vertex],0)),1,1,"")</f>
        <v>4</v>
      </c>
      <c r="BF158" s="49">
        <v>0</v>
      </c>
      <c r="BG158" s="50">
        <v>0</v>
      </c>
      <c r="BH158" s="49">
        <v>0</v>
      </c>
      <c r="BI158" s="50">
        <v>0</v>
      </c>
      <c r="BJ158" s="49">
        <v>0</v>
      </c>
      <c r="BK158" s="50">
        <v>0</v>
      </c>
      <c r="BL158" s="49">
        <v>16</v>
      </c>
      <c r="BM158" s="50">
        <v>100</v>
      </c>
      <c r="BN158" s="49">
        <v>16</v>
      </c>
    </row>
    <row r="159" spans="1:66" ht="15">
      <c r="A159" s="65" t="s">
        <v>345</v>
      </c>
      <c r="B159" s="65" t="s">
        <v>345</v>
      </c>
      <c r="C159" s="66" t="s">
        <v>2648</v>
      </c>
      <c r="D159" s="67">
        <v>10</v>
      </c>
      <c r="E159" s="68"/>
      <c r="F159" s="69">
        <v>20</v>
      </c>
      <c r="G159" s="66"/>
      <c r="H159" s="70"/>
      <c r="I159" s="71"/>
      <c r="J159" s="71"/>
      <c r="K159" s="35" t="s">
        <v>65</v>
      </c>
      <c r="L159" s="78">
        <v>246</v>
      </c>
      <c r="M159" s="78"/>
      <c r="N159" s="73"/>
      <c r="O159" s="80" t="s">
        <v>178</v>
      </c>
      <c r="P159" s="82">
        <v>44462.93163194445</v>
      </c>
      <c r="Q159" s="80" t="s">
        <v>437</v>
      </c>
      <c r="R159" s="83" t="str">
        <f>HYPERLINK("https://www.youtube.com/watch?v=Qb_wGiyo4NY&amp;feature=youtu.be")</f>
        <v>https://www.youtube.com/watch?v=Qb_wGiyo4NY&amp;feature=youtu.be</v>
      </c>
      <c r="S159" s="80" t="s">
        <v>458</v>
      </c>
      <c r="T159" s="85" t="s">
        <v>508</v>
      </c>
      <c r="U159" s="80"/>
      <c r="V159" s="83" t="str">
        <f>HYPERLINK("https://pbs.twimg.com/profile_images/1403212760251441152/0cnwMyCP_normal.jpg")</f>
        <v>https://pbs.twimg.com/profile_images/1403212760251441152/0cnwMyCP_normal.jpg</v>
      </c>
      <c r="W159" s="82">
        <v>44462.93163194445</v>
      </c>
      <c r="X159" s="88">
        <v>44462</v>
      </c>
      <c r="Y159" s="85" t="s">
        <v>672</v>
      </c>
      <c r="Z159" s="83" t="str">
        <f>HYPERLINK("https://twitter.com/uriluisni/status/1441165870697385988")</f>
        <v>https://twitter.com/uriluisni/status/1441165870697385988</v>
      </c>
      <c r="AA159" s="80"/>
      <c r="AB159" s="80"/>
      <c r="AC159" s="85" t="s">
        <v>846</v>
      </c>
      <c r="AD159" s="80"/>
      <c r="AE159" s="80" t="b">
        <v>0</v>
      </c>
      <c r="AF159" s="80">
        <v>0</v>
      </c>
      <c r="AG159" s="85" t="s">
        <v>871</v>
      </c>
      <c r="AH159" s="80" t="b">
        <v>0</v>
      </c>
      <c r="AI159" s="80" t="s">
        <v>881</v>
      </c>
      <c r="AJ159" s="80"/>
      <c r="AK159" s="85" t="s">
        <v>871</v>
      </c>
      <c r="AL159" s="80" t="b">
        <v>0</v>
      </c>
      <c r="AM159" s="80">
        <v>0</v>
      </c>
      <c r="AN159" s="85" t="s">
        <v>871</v>
      </c>
      <c r="AO159" s="85" t="s">
        <v>891</v>
      </c>
      <c r="AP159" s="80" t="b">
        <v>0</v>
      </c>
      <c r="AQ159" s="85" t="s">
        <v>846</v>
      </c>
      <c r="AR159" s="80" t="s">
        <v>178</v>
      </c>
      <c r="AS159" s="80">
        <v>0</v>
      </c>
      <c r="AT159" s="80">
        <v>0</v>
      </c>
      <c r="AU159" s="80"/>
      <c r="AV159" s="80"/>
      <c r="AW159" s="80"/>
      <c r="AX159" s="80"/>
      <c r="AY159" s="80"/>
      <c r="AZ159" s="80"/>
      <c r="BA159" s="80"/>
      <c r="BB159" s="80"/>
      <c r="BC159">
        <v>16</v>
      </c>
      <c r="BD159" s="79" t="str">
        <f>REPLACE(INDEX(GroupVertices[Group],MATCH(Edges35[[#This Row],[Vertex 1]],GroupVertices[Vertex],0)),1,1,"")</f>
        <v>4</v>
      </c>
      <c r="BE159" s="79" t="str">
        <f>REPLACE(INDEX(GroupVertices[Group],MATCH(Edges35[[#This Row],[Vertex 2]],GroupVertices[Vertex],0)),1,1,"")</f>
        <v>4</v>
      </c>
      <c r="BF159" s="49">
        <v>0</v>
      </c>
      <c r="BG159" s="50">
        <v>0</v>
      </c>
      <c r="BH159" s="49">
        <v>0</v>
      </c>
      <c r="BI159" s="50">
        <v>0</v>
      </c>
      <c r="BJ159" s="49">
        <v>0</v>
      </c>
      <c r="BK159" s="50">
        <v>0</v>
      </c>
      <c r="BL159" s="49">
        <v>15</v>
      </c>
      <c r="BM159" s="50">
        <v>100</v>
      </c>
      <c r="BN159" s="49">
        <v>15</v>
      </c>
    </row>
    <row r="160" spans="1:66" ht="15">
      <c r="A160" s="65" t="s">
        <v>346</v>
      </c>
      <c r="B160" s="65" t="s">
        <v>351</v>
      </c>
      <c r="C160" s="66" t="s">
        <v>2647</v>
      </c>
      <c r="D160" s="67">
        <v>5</v>
      </c>
      <c r="E160" s="68"/>
      <c r="F160" s="69">
        <v>40</v>
      </c>
      <c r="G160" s="66"/>
      <c r="H160" s="70"/>
      <c r="I160" s="71"/>
      <c r="J160" s="71"/>
      <c r="K160" s="35" t="s">
        <v>65</v>
      </c>
      <c r="L160" s="78">
        <v>247</v>
      </c>
      <c r="M160" s="78"/>
      <c r="N160" s="73"/>
      <c r="O160" s="80" t="s">
        <v>383</v>
      </c>
      <c r="P160" s="82">
        <v>44462.94028935185</v>
      </c>
      <c r="Q160" s="80" t="s">
        <v>433</v>
      </c>
      <c r="R160" s="83" t="str">
        <f>HYPERLINK("https://avispa.org/migrantes-buscan-rutas-alternativas-en-chiapas-autoridades-responden-con-violencia/")</f>
        <v>https://avispa.org/migrantes-buscan-rutas-alternativas-en-chiapas-autoridades-responden-con-violencia/</v>
      </c>
      <c r="S160" s="80" t="s">
        <v>463</v>
      </c>
      <c r="T160" s="85" t="s">
        <v>504</v>
      </c>
      <c r="U160" s="80"/>
      <c r="V160" s="83" t="str">
        <f>HYPERLINK("https://pbs.twimg.com/profile_images/781915436275277824/Y3HqFA3v_normal.jpg")</f>
        <v>https://pbs.twimg.com/profile_images/781915436275277824/Y3HqFA3v_normal.jpg</v>
      </c>
      <c r="W160" s="82">
        <v>44462.94028935185</v>
      </c>
      <c r="X160" s="88">
        <v>44462</v>
      </c>
      <c r="Y160" s="85" t="s">
        <v>673</v>
      </c>
      <c r="Z160" s="83" t="str">
        <f>HYPERLINK("https://twitter.com/lostejemedios/status/1441169006501695489")</f>
        <v>https://twitter.com/lostejemedios/status/1441169006501695489</v>
      </c>
      <c r="AA160" s="80"/>
      <c r="AB160" s="80"/>
      <c r="AC160" s="85" t="s">
        <v>847</v>
      </c>
      <c r="AD160" s="80"/>
      <c r="AE160" s="80" t="b">
        <v>0</v>
      </c>
      <c r="AF160" s="80">
        <v>0</v>
      </c>
      <c r="AG160" s="85" t="s">
        <v>871</v>
      </c>
      <c r="AH160" s="80" t="b">
        <v>0</v>
      </c>
      <c r="AI160" s="80" t="s">
        <v>882</v>
      </c>
      <c r="AJ160" s="80"/>
      <c r="AK160" s="85" t="s">
        <v>871</v>
      </c>
      <c r="AL160" s="80" t="b">
        <v>0</v>
      </c>
      <c r="AM160" s="80">
        <v>5</v>
      </c>
      <c r="AN160" s="85" t="s">
        <v>852</v>
      </c>
      <c r="AO160" s="85" t="s">
        <v>889</v>
      </c>
      <c r="AP160" s="80" t="b">
        <v>0</v>
      </c>
      <c r="AQ160" s="85" t="s">
        <v>852</v>
      </c>
      <c r="AR160" s="80" t="s">
        <v>178</v>
      </c>
      <c r="AS160" s="80">
        <v>0</v>
      </c>
      <c r="AT160" s="80">
        <v>0</v>
      </c>
      <c r="AU160" s="80"/>
      <c r="AV160" s="80"/>
      <c r="AW160" s="80"/>
      <c r="AX160" s="80"/>
      <c r="AY160" s="80"/>
      <c r="AZ160" s="80"/>
      <c r="BA160" s="80"/>
      <c r="BB160" s="80"/>
      <c r="BC160">
        <v>1</v>
      </c>
      <c r="BD160" s="79" t="str">
        <f>REPLACE(INDEX(GroupVertices[Group],MATCH(Edges35[[#This Row],[Vertex 1]],GroupVertices[Vertex],0)),1,1,"")</f>
        <v>8</v>
      </c>
      <c r="BE160" s="79" t="str">
        <f>REPLACE(INDEX(GroupVertices[Group],MATCH(Edges35[[#This Row],[Vertex 2]],GroupVertices[Vertex],0)),1,1,"")</f>
        <v>8</v>
      </c>
      <c r="BF160" s="49">
        <v>0</v>
      </c>
      <c r="BG160" s="50">
        <v>0</v>
      </c>
      <c r="BH160" s="49">
        <v>0</v>
      </c>
      <c r="BI160" s="50">
        <v>0</v>
      </c>
      <c r="BJ160" s="49">
        <v>0</v>
      </c>
      <c r="BK160" s="50">
        <v>0</v>
      </c>
      <c r="BL160" s="49">
        <v>34</v>
      </c>
      <c r="BM160" s="50">
        <v>100</v>
      </c>
      <c r="BN160" s="49">
        <v>34</v>
      </c>
    </row>
    <row r="161" spans="1:66" ht="15">
      <c r="A161" s="65" t="s">
        <v>347</v>
      </c>
      <c r="B161" s="65" t="s">
        <v>347</v>
      </c>
      <c r="C161" s="66" t="s">
        <v>2647</v>
      </c>
      <c r="D161" s="67">
        <v>5</v>
      </c>
      <c r="E161" s="68"/>
      <c r="F161" s="69">
        <v>40</v>
      </c>
      <c r="G161" s="66"/>
      <c r="H161" s="70"/>
      <c r="I161" s="71"/>
      <c r="J161" s="71"/>
      <c r="K161" s="35" t="s">
        <v>65</v>
      </c>
      <c r="L161" s="78">
        <v>248</v>
      </c>
      <c r="M161" s="78"/>
      <c r="N161" s="73"/>
      <c r="O161" s="80" t="s">
        <v>178</v>
      </c>
      <c r="P161" s="82">
        <v>43869.70465277778</v>
      </c>
      <c r="Q161" s="80" t="s">
        <v>438</v>
      </c>
      <c r="R161" s="83" t="str">
        <f>HYPERLINK("https://www.diariodemorelos.com/noticias/salvadore-o-mat-due-o-de-fonda-en-jiutepec-por-no-pagar-piso")</f>
        <v>https://www.diariodemorelos.com/noticias/salvadore-o-mat-due-o-de-fonda-en-jiutepec-por-no-pagar-piso</v>
      </c>
      <c r="S161" s="80" t="s">
        <v>464</v>
      </c>
      <c r="T161" s="85" t="s">
        <v>472</v>
      </c>
      <c r="U161" s="80"/>
      <c r="V161" s="83" t="str">
        <f>HYPERLINK("https://pbs.twimg.com/profile_images/1221961057842814977/NSPFxiPJ_normal.jpg")</f>
        <v>https://pbs.twimg.com/profile_images/1221961057842814977/NSPFxiPJ_normal.jpg</v>
      </c>
      <c r="W161" s="82">
        <v>43869.70465277778</v>
      </c>
      <c r="X161" s="88">
        <v>43869</v>
      </c>
      <c r="Y161" s="85" t="s">
        <v>674</v>
      </c>
      <c r="Z161" s="83" t="str">
        <f>HYPERLINK("https://twitter.com/jclopezlee/status/1226187612332773376")</f>
        <v>https://twitter.com/jclopezlee/status/1226187612332773376</v>
      </c>
      <c r="AA161" s="80"/>
      <c r="AB161" s="80"/>
      <c r="AC161" s="85" t="s">
        <v>848</v>
      </c>
      <c r="AD161" s="80"/>
      <c r="AE161" s="80" t="b">
        <v>0</v>
      </c>
      <c r="AF161" s="80">
        <v>2</v>
      </c>
      <c r="AG161" s="85" t="s">
        <v>871</v>
      </c>
      <c r="AH161" s="80" t="b">
        <v>0</v>
      </c>
      <c r="AI161" s="80" t="s">
        <v>882</v>
      </c>
      <c r="AJ161" s="80"/>
      <c r="AK161" s="85" t="s">
        <v>871</v>
      </c>
      <c r="AL161" s="80" t="b">
        <v>0</v>
      </c>
      <c r="AM161" s="80">
        <v>1</v>
      </c>
      <c r="AN161" s="85" t="s">
        <v>871</v>
      </c>
      <c r="AO161" s="85" t="s">
        <v>891</v>
      </c>
      <c r="AP161" s="80" t="b">
        <v>0</v>
      </c>
      <c r="AQ161" s="85" t="s">
        <v>848</v>
      </c>
      <c r="AR161" s="80" t="s">
        <v>383</v>
      </c>
      <c r="AS161" s="80">
        <v>0</v>
      </c>
      <c r="AT161" s="80">
        <v>0</v>
      </c>
      <c r="AU161" s="80"/>
      <c r="AV161" s="80"/>
      <c r="AW161" s="80"/>
      <c r="AX161" s="80"/>
      <c r="AY161" s="80"/>
      <c r="AZ161" s="80"/>
      <c r="BA161" s="80"/>
      <c r="BB161" s="80"/>
      <c r="BC161">
        <v>1</v>
      </c>
      <c r="BD161" s="79" t="str">
        <f>REPLACE(INDEX(GroupVertices[Group],MATCH(Edges35[[#This Row],[Vertex 1]],GroupVertices[Vertex],0)),1,1,"")</f>
        <v>21</v>
      </c>
      <c r="BE161" s="79" t="str">
        <f>REPLACE(INDEX(GroupVertices[Group],MATCH(Edges35[[#This Row],[Vertex 2]],GroupVertices[Vertex],0)),1,1,"")</f>
        <v>21</v>
      </c>
      <c r="BF161" s="49">
        <v>0</v>
      </c>
      <c r="BG161" s="50">
        <v>0</v>
      </c>
      <c r="BH161" s="49">
        <v>0</v>
      </c>
      <c r="BI161" s="50">
        <v>0</v>
      </c>
      <c r="BJ161" s="49">
        <v>0</v>
      </c>
      <c r="BK161" s="50">
        <v>0</v>
      </c>
      <c r="BL161" s="49">
        <v>15</v>
      </c>
      <c r="BM161" s="50">
        <v>100</v>
      </c>
      <c r="BN161" s="49">
        <v>15</v>
      </c>
    </row>
    <row r="162" spans="1:66" ht="15">
      <c r="A162" s="65" t="s">
        <v>348</v>
      </c>
      <c r="B162" s="65" t="s">
        <v>347</v>
      </c>
      <c r="C162" s="66" t="s">
        <v>2647</v>
      </c>
      <c r="D162" s="67">
        <v>5</v>
      </c>
      <c r="E162" s="68"/>
      <c r="F162" s="69">
        <v>40</v>
      </c>
      <c r="G162" s="66"/>
      <c r="H162" s="70"/>
      <c r="I162" s="71"/>
      <c r="J162" s="71"/>
      <c r="K162" s="35" t="s">
        <v>65</v>
      </c>
      <c r="L162" s="78">
        <v>249</v>
      </c>
      <c r="M162" s="78"/>
      <c r="N162" s="73"/>
      <c r="O162" s="80" t="s">
        <v>383</v>
      </c>
      <c r="P162" s="82">
        <v>44462.94929398148</v>
      </c>
      <c r="Q162" s="80" t="s">
        <v>438</v>
      </c>
      <c r="R162" s="83" t="str">
        <f>HYPERLINK("https://www.diariodemorelos.com/noticias/salvadore-o-mat-due-o-de-fonda-en-jiutepec-por-no-pagar-piso")</f>
        <v>https://www.diariodemorelos.com/noticias/salvadore-o-mat-due-o-de-fonda-en-jiutepec-por-no-pagar-piso</v>
      </c>
      <c r="S162" s="80" t="s">
        <v>464</v>
      </c>
      <c r="T162" s="85" t="s">
        <v>472</v>
      </c>
      <c r="U162" s="80"/>
      <c r="V162" s="83" t="str">
        <f>HYPERLINK("https://pbs.twimg.com/profile_images/1441128595494109192/2g77_HKE_normal.jpg")</f>
        <v>https://pbs.twimg.com/profile_images/1441128595494109192/2g77_HKE_normal.jpg</v>
      </c>
      <c r="W162" s="82">
        <v>44462.94929398148</v>
      </c>
      <c r="X162" s="88">
        <v>44462</v>
      </c>
      <c r="Y162" s="85" t="s">
        <v>675</v>
      </c>
      <c r="Z162" s="83" t="str">
        <f>HYPERLINK("https://twitter.com/saraeli62035609/status/1441172271628914696")</f>
        <v>https://twitter.com/saraeli62035609/status/1441172271628914696</v>
      </c>
      <c r="AA162" s="80"/>
      <c r="AB162" s="80"/>
      <c r="AC162" s="85" t="s">
        <v>849</v>
      </c>
      <c r="AD162" s="80"/>
      <c r="AE162" s="80" t="b">
        <v>0</v>
      </c>
      <c r="AF162" s="80">
        <v>0</v>
      </c>
      <c r="AG162" s="85" t="s">
        <v>871</v>
      </c>
      <c r="AH162" s="80" t="b">
        <v>0</v>
      </c>
      <c r="AI162" s="80" t="s">
        <v>882</v>
      </c>
      <c r="AJ162" s="80"/>
      <c r="AK162" s="85" t="s">
        <v>871</v>
      </c>
      <c r="AL162" s="80" t="b">
        <v>0</v>
      </c>
      <c r="AM162" s="80">
        <v>1</v>
      </c>
      <c r="AN162" s="85" t="s">
        <v>848</v>
      </c>
      <c r="AO162" s="85" t="s">
        <v>891</v>
      </c>
      <c r="AP162" s="80" t="b">
        <v>0</v>
      </c>
      <c r="AQ162" s="85" t="s">
        <v>848</v>
      </c>
      <c r="AR162" s="80" t="s">
        <v>178</v>
      </c>
      <c r="AS162" s="80">
        <v>0</v>
      </c>
      <c r="AT162" s="80">
        <v>0</v>
      </c>
      <c r="AU162" s="80"/>
      <c r="AV162" s="80"/>
      <c r="AW162" s="80"/>
      <c r="AX162" s="80"/>
      <c r="AY162" s="80"/>
      <c r="AZ162" s="80"/>
      <c r="BA162" s="80"/>
      <c r="BB162" s="80"/>
      <c r="BC162">
        <v>1</v>
      </c>
      <c r="BD162" s="79" t="str">
        <f>REPLACE(INDEX(GroupVertices[Group],MATCH(Edges35[[#This Row],[Vertex 1]],GroupVertices[Vertex],0)),1,1,"")</f>
        <v>21</v>
      </c>
      <c r="BE162" s="79" t="str">
        <f>REPLACE(INDEX(GroupVertices[Group],MATCH(Edges35[[#This Row],[Vertex 2]],GroupVertices[Vertex],0)),1,1,"")</f>
        <v>21</v>
      </c>
      <c r="BF162" s="49">
        <v>0</v>
      </c>
      <c r="BG162" s="50">
        <v>0</v>
      </c>
      <c r="BH162" s="49">
        <v>0</v>
      </c>
      <c r="BI162" s="50">
        <v>0</v>
      </c>
      <c r="BJ162" s="49">
        <v>0</v>
      </c>
      <c r="BK162" s="50">
        <v>0</v>
      </c>
      <c r="BL162" s="49">
        <v>15</v>
      </c>
      <c r="BM162" s="50">
        <v>100</v>
      </c>
      <c r="BN162" s="49">
        <v>15</v>
      </c>
    </row>
    <row r="163" spans="1:66" ht="15">
      <c r="A163" s="65" t="s">
        <v>349</v>
      </c>
      <c r="B163" s="65" t="s">
        <v>379</v>
      </c>
      <c r="C163" s="66" t="s">
        <v>2647</v>
      </c>
      <c r="D163" s="67">
        <v>5</v>
      </c>
      <c r="E163" s="68"/>
      <c r="F163" s="69">
        <v>40</v>
      </c>
      <c r="G163" s="66"/>
      <c r="H163" s="70"/>
      <c r="I163" s="71"/>
      <c r="J163" s="71"/>
      <c r="K163" s="35" t="s">
        <v>65</v>
      </c>
      <c r="L163" s="78">
        <v>250</v>
      </c>
      <c r="M163" s="78"/>
      <c r="N163" s="73"/>
      <c r="O163" s="80" t="s">
        <v>385</v>
      </c>
      <c r="P163" s="82">
        <v>44463.084328703706</v>
      </c>
      <c r="Q163" s="80" t="s">
        <v>439</v>
      </c>
      <c r="R163" s="80"/>
      <c r="S163" s="80"/>
      <c r="T163" s="85" t="s">
        <v>509</v>
      </c>
      <c r="U163" s="83" t="str">
        <f>HYPERLINK("https://pbs.twimg.com/media/FAA_BU9XMAM_mRh.jpg")</f>
        <v>https://pbs.twimg.com/media/FAA_BU9XMAM_mRh.jpg</v>
      </c>
      <c r="V163" s="83" t="str">
        <f>HYPERLINK("https://pbs.twimg.com/media/FAA_BU9XMAM_mRh.jpg")</f>
        <v>https://pbs.twimg.com/media/FAA_BU9XMAM_mRh.jpg</v>
      </c>
      <c r="W163" s="82">
        <v>44463.084328703706</v>
      </c>
      <c r="X163" s="88">
        <v>44463</v>
      </c>
      <c r="Y163" s="85" t="s">
        <v>676</v>
      </c>
      <c r="Z163" s="83" t="str">
        <f>HYPERLINK("https://twitter.com/p3drohz45/status/1441221205059510274")</f>
        <v>https://twitter.com/p3drohz45/status/1441221205059510274</v>
      </c>
      <c r="AA163" s="80"/>
      <c r="AB163" s="80"/>
      <c r="AC163" s="85" t="s">
        <v>850</v>
      </c>
      <c r="AD163" s="85" t="s">
        <v>869</v>
      </c>
      <c r="AE163" s="80" t="b">
        <v>0</v>
      </c>
      <c r="AF163" s="80">
        <v>0</v>
      </c>
      <c r="AG163" s="85" t="s">
        <v>878</v>
      </c>
      <c r="AH163" s="80" t="b">
        <v>0</v>
      </c>
      <c r="AI163" s="80" t="s">
        <v>882</v>
      </c>
      <c r="AJ163" s="80"/>
      <c r="AK163" s="85" t="s">
        <v>871</v>
      </c>
      <c r="AL163" s="80" t="b">
        <v>0</v>
      </c>
      <c r="AM163" s="80">
        <v>0</v>
      </c>
      <c r="AN163" s="85" t="s">
        <v>871</v>
      </c>
      <c r="AO163" s="85" t="s">
        <v>889</v>
      </c>
      <c r="AP163" s="80" t="b">
        <v>0</v>
      </c>
      <c r="AQ163" s="85" t="s">
        <v>869</v>
      </c>
      <c r="AR163" s="80" t="s">
        <v>178</v>
      </c>
      <c r="AS163" s="80">
        <v>0</v>
      </c>
      <c r="AT163" s="80">
        <v>0</v>
      </c>
      <c r="AU163" s="80"/>
      <c r="AV163" s="80"/>
      <c r="AW163" s="80"/>
      <c r="AX163" s="80"/>
      <c r="AY163" s="80"/>
      <c r="AZ163" s="80"/>
      <c r="BA163" s="80"/>
      <c r="BB163" s="80"/>
      <c r="BC163">
        <v>1</v>
      </c>
      <c r="BD163" s="79" t="str">
        <f>REPLACE(INDEX(GroupVertices[Group],MATCH(Edges35[[#This Row],[Vertex 1]],GroupVertices[Vertex],0)),1,1,"")</f>
        <v>20</v>
      </c>
      <c r="BE163" s="79" t="str">
        <f>REPLACE(INDEX(GroupVertices[Group],MATCH(Edges35[[#This Row],[Vertex 2]],GroupVertices[Vertex],0)),1,1,"")</f>
        <v>20</v>
      </c>
      <c r="BF163" s="49">
        <v>0</v>
      </c>
      <c r="BG163" s="50">
        <v>0</v>
      </c>
      <c r="BH163" s="49">
        <v>0</v>
      </c>
      <c r="BI163" s="50">
        <v>0</v>
      </c>
      <c r="BJ163" s="49">
        <v>0</v>
      </c>
      <c r="BK163" s="50">
        <v>0</v>
      </c>
      <c r="BL163" s="49">
        <v>27</v>
      </c>
      <c r="BM163" s="50">
        <v>100</v>
      </c>
      <c r="BN163" s="49">
        <v>27</v>
      </c>
    </row>
    <row r="164" spans="1:66" ht="15">
      <c r="A164" s="65" t="s">
        <v>350</v>
      </c>
      <c r="B164" s="65" t="s">
        <v>351</v>
      </c>
      <c r="C164" s="66" t="s">
        <v>2647</v>
      </c>
      <c r="D164" s="67">
        <v>5</v>
      </c>
      <c r="E164" s="68"/>
      <c r="F164" s="69">
        <v>40</v>
      </c>
      <c r="G164" s="66"/>
      <c r="H164" s="70"/>
      <c r="I164" s="71"/>
      <c r="J164" s="71"/>
      <c r="K164" s="35" t="s">
        <v>65</v>
      </c>
      <c r="L164" s="78">
        <v>251</v>
      </c>
      <c r="M164" s="78"/>
      <c r="N164" s="73"/>
      <c r="O164" s="80" t="s">
        <v>383</v>
      </c>
      <c r="P164" s="82">
        <v>44463.11685185185</v>
      </c>
      <c r="Q164" s="80" t="s">
        <v>433</v>
      </c>
      <c r="R164" s="83" t="str">
        <f>HYPERLINK("https://avispa.org/migrantes-buscan-rutas-alternativas-en-chiapas-autoridades-responden-con-violencia/")</f>
        <v>https://avispa.org/migrantes-buscan-rutas-alternativas-en-chiapas-autoridades-responden-con-violencia/</v>
      </c>
      <c r="S164" s="80" t="s">
        <v>463</v>
      </c>
      <c r="T164" s="85" t="s">
        <v>504</v>
      </c>
      <c r="U164" s="80"/>
      <c r="V164" s="83" t="str">
        <f>HYPERLINK("https://pbs.twimg.com/profile_images/1424159813970317317/yDd8gpxn_normal.jpg")</f>
        <v>https://pbs.twimg.com/profile_images/1424159813970317317/yDd8gpxn_normal.jpg</v>
      </c>
      <c r="W164" s="82">
        <v>44463.11685185185</v>
      </c>
      <c r="X164" s="88">
        <v>44463</v>
      </c>
      <c r="Y164" s="85" t="s">
        <v>677</v>
      </c>
      <c r="Z164" s="83" t="str">
        <f>HYPERLINK("https://twitter.com/adrianoespa/status/1441232989686427652")</f>
        <v>https://twitter.com/adrianoespa/status/1441232989686427652</v>
      </c>
      <c r="AA164" s="80"/>
      <c r="AB164" s="80"/>
      <c r="AC164" s="85" t="s">
        <v>851</v>
      </c>
      <c r="AD164" s="80"/>
      <c r="AE164" s="80" t="b">
        <v>0</v>
      </c>
      <c r="AF164" s="80">
        <v>0</v>
      </c>
      <c r="AG164" s="85" t="s">
        <v>871</v>
      </c>
      <c r="AH164" s="80" t="b">
        <v>0</v>
      </c>
      <c r="AI164" s="80" t="s">
        <v>882</v>
      </c>
      <c r="AJ164" s="80"/>
      <c r="AK164" s="85" t="s">
        <v>871</v>
      </c>
      <c r="AL164" s="80" t="b">
        <v>0</v>
      </c>
      <c r="AM164" s="80">
        <v>5</v>
      </c>
      <c r="AN164" s="85" t="s">
        <v>852</v>
      </c>
      <c r="AO164" s="85" t="s">
        <v>889</v>
      </c>
      <c r="AP164" s="80" t="b">
        <v>0</v>
      </c>
      <c r="AQ164" s="85" t="s">
        <v>852</v>
      </c>
      <c r="AR164" s="80" t="s">
        <v>178</v>
      </c>
      <c r="AS164" s="80">
        <v>0</v>
      </c>
      <c r="AT164" s="80">
        <v>0</v>
      </c>
      <c r="AU164" s="80"/>
      <c r="AV164" s="80"/>
      <c r="AW164" s="80"/>
      <c r="AX164" s="80"/>
      <c r="AY164" s="80"/>
      <c r="AZ164" s="80"/>
      <c r="BA164" s="80"/>
      <c r="BB164" s="80"/>
      <c r="BC164">
        <v>1</v>
      </c>
      <c r="BD164" s="79" t="str">
        <f>REPLACE(INDEX(GroupVertices[Group],MATCH(Edges35[[#This Row],[Vertex 1]],GroupVertices[Vertex],0)),1,1,"")</f>
        <v>8</v>
      </c>
      <c r="BE164" s="79" t="str">
        <f>REPLACE(INDEX(GroupVertices[Group],MATCH(Edges35[[#This Row],[Vertex 2]],GroupVertices[Vertex],0)),1,1,"")</f>
        <v>8</v>
      </c>
      <c r="BF164" s="49">
        <v>0</v>
      </c>
      <c r="BG164" s="50">
        <v>0</v>
      </c>
      <c r="BH164" s="49">
        <v>0</v>
      </c>
      <c r="BI164" s="50">
        <v>0</v>
      </c>
      <c r="BJ164" s="49">
        <v>0</v>
      </c>
      <c r="BK164" s="50">
        <v>0</v>
      </c>
      <c r="BL164" s="49">
        <v>34</v>
      </c>
      <c r="BM164" s="50">
        <v>100</v>
      </c>
      <c r="BN164" s="49">
        <v>34</v>
      </c>
    </row>
    <row r="165" spans="1:66" ht="15">
      <c r="A165" s="65" t="s">
        <v>351</v>
      </c>
      <c r="B165" s="65" t="s">
        <v>351</v>
      </c>
      <c r="C165" s="66" t="s">
        <v>2647</v>
      </c>
      <c r="D165" s="67">
        <v>5</v>
      </c>
      <c r="E165" s="68"/>
      <c r="F165" s="69">
        <v>40</v>
      </c>
      <c r="G165" s="66"/>
      <c r="H165" s="70"/>
      <c r="I165" s="71"/>
      <c r="J165" s="71"/>
      <c r="K165" s="35" t="s">
        <v>65</v>
      </c>
      <c r="L165" s="78">
        <v>252</v>
      </c>
      <c r="M165" s="78"/>
      <c r="N165" s="73"/>
      <c r="O165" s="80" t="s">
        <v>178</v>
      </c>
      <c r="P165" s="82">
        <v>44462.904861111114</v>
      </c>
      <c r="Q165" s="80" t="s">
        <v>433</v>
      </c>
      <c r="R165" s="83" t="str">
        <f>HYPERLINK("https://avispa.org/migrantes-buscan-rutas-alternativas-en-chiapas-autoridades-responden-con-violencia/")</f>
        <v>https://avispa.org/migrantes-buscan-rutas-alternativas-en-chiapas-autoridades-responden-con-violencia/</v>
      </c>
      <c r="S165" s="80" t="s">
        <v>463</v>
      </c>
      <c r="T165" s="85" t="s">
        <v>504</v>
      </c>
      <c r="U165" s="80"/>
      <c r="V165" s="83" t="str">
        <f>HYPERLINK("https://pbs.twimg.com/profile_images/895317957139611649/poX5xA65_normal.jpg")</f>
        <v>https://pbs.twimg.com/profile_images/895317957139611649/poX5xA65_normal.jpg</v>
      </c>
      <c r="W165" s="82">
        <v>44462.904861111114</v>
      </c>
      <c r="X165" s="88">
        <v>44462</v>
      </c>
      <c r="Y165" s="85" t="s">
        <v>678</v>
      </c>
      <c r="Z165" s="83" t="str">
        <f>HYPERLINK("https://twitter.com/avispa_midia/status/1441156166898176006")</f>
        <v>https://twitter.com/avispa_midia/status/1441156166898176006</v>
      </c>
      <c r="AA165" s="80"/>
      <c r="AB165" s="80"/>
      <c r="AC165" s="85" t="s">
        <v>852</v>
      </c>
      <c r="AD165" s="80"/>
      <c r="AE165" s="80" t="b">
        <v>0</v>
      </c>
      <c r="AF165" s="80">
        <v>5</v>
      </c>
      <c r="AG165" s="85" t="s">
        <v>871</v>
      </c>
      <c r="AH165" s="80" t="b">
        <v>0</v>
      </c>
      <c r="AI165" s="80" t="s">
        <v>882</v>
      </c>
      <c r="AJ165" s="80"/>
      <c r="AK165" s="85" t="s">
        <v>871</v>
      </c>
      <c r="AL165" s="80" t="b">
        <v>0</v>
      </c>
      <c r="AM165" s="80">
        <v>5</v>
      </c>
      <c r="AN165" s="85" t="s">
        <v>871</v>
      </c>
      <c r="AO165" s="85" t="s">
        <v>891</v>
      </c>
      <c r="AP165" s="80" t="b">
        <v>0</v>
      </c>
      <c r="AQ165" s="85" t="s">
        <v>852</v>
      </c>
      <c r="AR165" s="80" t="s">
        <v>178</v>
      </c>
      <c r="AS165" s="80">
        <v>0</v>
      </c>
      <c r="AT165" s="80">
        <v>0</v>
      </c>
      <c r="AU165" s="80"/>
      <c r="AV165" s="80"/>
      <c r="AW165" s="80"/>
      <c r="AX165" s="80"/>
      <c r="AY165" s="80"/>
      <c r="AZ165" s="80"/>
      <c r="BA165" s="80"/>
      <c r="BB165" s="80"/>
      <c r="BC165">
        <v>1</v>
      </c>
      <c r="BD165" s="79" t="str">
        <f>REPLACE(INDEX(GroupVertices[Group],MATCH(Edges35[[#This Row],[Vertex 1]],GroupVertices[Vertex],0)),1,1,"")</f>
        <v>8</v>
      </c>
      <c r="BE165" s="79" t="str">
        <f>REPLACE(INDEX(GroupVertices[Group],MATCH(Edges35[[#This Row],[Vertex 2]],GroupVertices[Vertex],0)),1,1,"")</f>
        <v>8</v>
      </c>
      <c r="BF165" s="49">
        <v>0</v>
      </c>
      <c r="BG165" s="50">
        <v>0</v>
      </c>
      <c r="BH165" s="49">
        <v>0</v>
      </c>
      <c r="BI165" s="50">
        <v>0</v>
      </c>
      <c r="BJ165" s="49">
        <v>0</v>
      </c>
      <c r="BK165" s="50">
        <v>0</v>
      </c>
      <c r="BL165" s="49">
        <v>34</v>
      </c>
      <c r="BM165" s="50">
        <v>100</v>
      </c>
      <c r="BN165" s="49">
        <v>34</v>
      </c>
    </row>
    <row r="166" spans="1:66" ht="15">
      <c r="A166" s="65" t="s">
        <v>352</v>
      </c>
      <c r="B166" s="65" t="s">
        <v>351</v>
      </c>
      <c r="C166" s="66" t="s">
        <v>2647</v>
      </c>
      <c r="D166" s="67">
        <v>5</v>
      </c>
      <c r="E166" s="68"/>
      <c r="F166" s="69">
        <v>40</v>
      </c>
      <c r="G166" s="66"/>
      <c r="H166" s="70"/>
      <c r="I166" s="71"/>
      <c r="J166" s="71"/>
      <c r="K166" s="35" t="s">
        <v>65</v>
      </c>
      <c r="L166" s="78">
        <v>253</v>
      </c>
      <c r="M166" s="78"/>
      <c r="N166" s="73"/>
      <c r="O166" s="80" t="s">
        <v>383</v>
      </c>
      <c r="P166" s="82">
        <v>44463.118414351855</v>
      </c>
      <c r="Q166" s="80" t="s">
        <v>433</v>
      </c>
      <c r="R166" s="83" t="str">
        <f>HYPERLINK("https://avispa.org/migrantes-buscan-rutas-alternativas-en-chiapas-autoridades-responden-con-violencia/")</f>
        <v>https://avispa.org/migrantes-buscan-rutas-alternativas-en-chiapas-autoridades-responden-con-violencia/</v>
      </c>
      <c r="S166" s="80" t="s">
        <v>463</v>
      </c>
      <c r="T166" s="85" t="s">
        <v>504</v>
      </c>
      <c r="U166" s="80"/>
      <c r="V166" s="83" t="str">
        <f>HYPERLINK("https://pbs.twimg.com/profile_images/1049916694708346880/6Ey78GLB_normal.jpg")</f>
        <v>https://pbs.twimg.com/profile_images/1049916694708346880/6Ey78GLB_normal.jpg</v>
      </c>
      <c r="W166" s="82">
        <v>44463.118414351855</v>
      </c>
      <c r="X166" s="88">
        <v>44463</v>
      </c>
      <c r="Y166" s="85" t="s">
        <v>679</v>
      </c>
      <c r="Z166" s="83" t="str">
        <f>HYPERLINK("https://twitter.com/miradsalmargen1/status/1441233557582540804")</f>
        <v>https://twitter.com/miradsalmargen1/status/1441233557582540804</v>
      </c>
      <c r="AA166" s="80"/>
      <c r="AB166" s="80"/>
      <c r="AC166" s="85" t="s">
        <v>853</v>
      </c>
      <c r="AD166" s="80"/>
      <c r="AE166" s="80" t="b">
        <v>0</v>
      </c>
      <c r="AF166" s="80">
        <v>0</v>
      </c>
      <c r="AG166" s="85" t="s">
        <v>871</v>
      </c>
      <c r="AH166" s="80" t="b">
        <v>0</v>
      </c>
      <c r="AI166" s="80" t="s">
        <v>882</v>
      </c>
      <c r="AJ166" s="80"/>
      <c r="AK166" s="85" t="s">
        <v>871</v>
      </c>
      <c r="AL166" s="80" t="b">
        <v>0</v>
      </c>
      <c r="AM166" s="80">
        <v>5</v>
      </c>
      <c r="AN166" s="85" t="s">
        <v>852</v>
      </c>
      <c r="AO166" s="85" t="s">
        <v>889</v>
      </c>
      <c r="AP166" s="80" t="b">
        <v>0</v>
      </c>
      <c r="AQ166" s="85" t="s">
        <v>852</v>
      </c>
      <c r="AR166" s="80" t="s">
        <v>178</v>
      </c>
      <c r="AS166" s="80">
        <v>0</v>
      </c>
      <c r="AT166" s="80">
        <v>0</v>
      </c>
      <c r="AU166" s="80"/>
      <c r="AV166" s="80"/>
      <c r="AW166" s="80"/>
      <c r="AX166" s="80"/>
      <c r="AY166" s="80"/>
      <c r="AZ166" s="80"/>
      <c r="BA166" s="80"/>
      <c r="BB166" s="80"/>
      <c r="BC166">
        <v>1</v>
      </c>
      <c r="BD166" s="79" t="str">
        <f>REPLACE(INDEX(GroupVertices[Group],MATCH(Edges35[[#This Row],[Vertex 1]],GroupVertices[Vertex],0)),1,1,"")</f>
        <v>8</v>
      </c>
      <c r="BE166" s="79" t="str">
        <f>REPLACE(INDEX(GroupVertices[Group],MATCH(Edges35[[#This Row],[Vertex 2]],GroupVertices[Vertex],0)),1,1,"")</f>
        <v>8</v>
      </c>
      <c r="BF166" s="49">
        <v>0</v>
      </c>
      <c r="BG166" s="50">
        <v>0</v>
      </c>
      <c r="BH166" s="49">
        <v>0</v>
      </c>
      <c r="BI166" s="50">
        <v>0</v>
      </c>
      <c r="BJ166" s="49">
        <v>0</v>
      </c>
      <c r="BK166" s="50">
        <v>0</v>
      </c>
      <c r="BL166" s="49">
        <v>34</v>
      </c>
      <c r="BM166" s="50">
        <v>100</v>
      </c>
      <c r="BN166" s="49">
        <v>34</v>
      </c>
    </row>
    <row r="167" spans="1:66" ht="15">
      <c r="A167" s="65" t="s">
        <v>353</v>
      </c>
      <c r="B167" s="65" t="s">
        <v>380</v>
      </c>
      <c r="C167" s="66" t="s">
        <v>2647</v>
      </c>
      <c r="D167" s="67">
        <v>5</v>
      </c>
      <c r="E167" s="68"/>
      <c r="F167" s="69">
        <v>40</v>
      </c>
      <c r="G167" s="66"/>
      <c r="H167" s="70"/>
      <c r="I167" s="71"/>
      <c r="J167" s="71"/>
      <c r="K167" s="35" t="s">
        <v>65</v>
      </c>
      <c r="L167" s="78">
        <v>254</v>
      </c>
      <c r="M167" s="78"/>
      <c r="N167" s="73"/>
      <c r="O167" s="80" t="s">
        <v>385</v>
      </c>
      <c r="P167" s="82">
        <v>44463.73783564815</v>
      </c>
      <c r="Q167" s="80" t="s">
        <v>440</v>
      </c>
      <c r="R167" s="80"/>
      <c r="S167" s="80"/>
      <c r="T167" s="85" t="s">
        <v>510</v>
      </c>
      <c r="U167" s="80"/>
      <c r="V167" s="83" t="str">
        <f>HYPERLINK("https://pbs.twimg.com/profile_images/1273677951603744772/CJQe1t08_normal.jpg")</f>
        <v>https://pbs.twimg.com/profile_images/1273677951603744772/CJQe1t08_normal.jpg</v>
      </c>
      <c r="W167" s="82">
        <v>44463.73783564815</v>
      </c>
      <c r="X167" s="88">
        <v>44463</v>
      </c>
      <c r="Y167" s="85" t="s">
        <v>680</v>
      </c>
      <c r="Z167" s="83" t="str">
        <f>HYPERLINK("https://twitter.com/the_watcher_man/status/1441458026611838977")</f>
        <v>https://twitter.com/the_watcher_man/status/1441458026611838977</v>
      </c>
      <c r="AA167" s="80"/>
      <c r="AB167" s="80"/>
      <c r="AC167" s="85" t="s">
        <v>854</v>
      </c>
      <c r="AD167" s="85" t="s">
        <v>870</v>
      </c>
      <c r="AE167" s="80" t="b">
        <v>0</v>
      </c>
      <c r="AF167" s="80">
        <v>0</v>
      </c>
      <c r="AG167" s="85" t="s">
        <v>879</v>
      </c>
      <c r="AH167" s="80" t="b">
        <v>0</v>
      </c>
      <c r="AI167" s="80" t="s">
        <v>882</v>
      </c>
      <c r="AJ167" s="80"/>
      <c r="AK167" s="85" t="s">
        <v>871</v>
      </c>
      <c r="AL167" s="80" t="b">
        <v>0</v>
      </c>
      <c r="AM167" s="80">
        <v>0</v>
      </c>
      <c r="AN167" s="85" t="s">
        <v>871</v>
      </c>
      <c r="AO167" s="85" t="s">
        <v>889</v>
      </c>
      <c r="AP167" s="80" t="b">
        <v>0</v>
      </c>
      <c r="AQ167" s="85" t="s">
        <v>870</v>
      </c>
      <c r="AR167" s="80" t="s">
        <v>178</v>
      </c>
      <c r="AS167" s="80">
        <v>0</v>
      </c>
      <c r="AT167" s="80">
        <v>0</v>
      </c>
      <c r="AU167" s="80"/>
      <c r="AV167" s="80"/>
      <c r="AW167" s="80"/>
      <c r="AX167" s="80"/>
      <c r="AY167" s="80"/>
      <c r="AZ167" s="80"/>
      <c r="BA167" s="80"/>
      <c r="BB167" s="80"/>
      <c r="BC167">
        <v>1</v>
      </c>
      <c r="BD167" s="79" t="str">
        <f>REPLACE(INDEX(GroupVertices[Group],MATCH(Edges35[[#This Row],[Vertex 1]],GroupVertices[Vertex],0)),1,1,"")</f>
        <v>19</v>
      </c>
      <c r="BE167" s="79" t="str">
        <f>REPLACE(INDEX(GroupVertices[Group],MATCH(Edges35[[#This Row],[Vertex 2]],GroupVertices[Vertex],0)),1,1,"")</f>
        <v>19</v>
      </c>
      <c r="BF167" s="49">
        <v>0</v>
      </c>
      <c r="BG167" s="50">
        <v>0</v>
      </c>
      <c r="BH167" s="49">
        <v>0</v>
      </c>
      <c r="BI167" s="50">
        <v>0</v>
      </c>
      <c r="BJ167" s="49">
        <v>0</v>
      </c>
      <c r="BK167" s="50">
        <v>0</v>
      </c>
      <c r="BL167" s="49">
        <v>8</v>
      </c>
      <c r="BM167" s="50">
        <v>100</v>
      </c>
      <c r="BN167" s="49">
        <v>8</v>
      </c>
    </row>
    <row r="168" spans="1:66" ht="15">
      <c r="A168" s="65" t="s">
        <v>354</v>
      </c>
      <c r="B168" s="65" t="s">
        <v>354</v>
      </c>
      <c r="C168" s="66" t="s">
        <v>2647</v>
      </c>
      <c r="D168" s="67">
        <v>5</v>
      </c>
      <c r="E168" s="68"/>
      <c r="F168" s="69">
        <v>40</v>
      </c>
      <c r="G168" s="66"/>
      <c r="H168" s="70"/>
      <c r="I168" s="71"/>
      <c r="J168" s="71"/>
      <c r="K168" s="35" t="s">
        <v>65</v>
      </c>
      <c r="L168" s="78">
        <v>255</v>
      </c>
      <c r="M168" s="78"/>
      <c r="N168" s="73"/>
      <c r="O168" s="80" t="s">
        <v>178</v>
      </c>
      <c r="P168" s="82">
        <v>44464.05101851852</v>
      </c>
      <c r="Q168" s="80" t="s">
        <v>441</v>
      </c>
      <c r="R168" s="83" t="str">
        <f>HYPERLINK("https://twitter.com/Arcariam85/status/1441559222328647687")</f>
        <v>https://twitter.com/Arcariam85/status/1441559222328647687</v>
      </c>
      <c r="S168" s="80" t="s">
        <v>460</v>
      </c>
      <c r="T168" s="85" t="s">
        <v>511</v>
      </c>
      <c r="U168" s="80"/>
      <c r="V168" s="83" t="str">
        <f>HYPERLINK("https://pbs.twimg.com/profile_images/1215046605746966531/qsWJeXQy_normal.jpg")</f>
        <v>https://pbs.twimg.com/profile_images/1215046605746966531/qsWJeXQy_normal.jpg</v>
      </c>
      <c r="W168" s="82">
        <v>44464.05101851852</v>
      </c>
      <c r="X168" s="88">
        <v>44464</v>
      </c>
      <c r="Y168" s="85" t="s">
        <v>681</v>
      </c>
      <c r="Z168" s="83" t="str">
        <f>HYPERLINK("https://twitter.com/atenea_cb/status/1441571521466494978")</f>
        <v>https://twitter.com/atenea_cb/status/1441571521466494978</v>
      </c>
      <c r="AA168" s="80"/>
      <c r="AB168" s="80"/>
      <c r="AC168" s="85" t="s">
        <v>855</v>
      </c>
      <c r="AD168" s="80"/>
      <c r="AE168" s="80" t="b">
        <v>0</v>
      </c>
      <c r="AF168" s="80">
        <v>0</v>
      </c>
      <c r="AG168" s="85" t="s">
        <v>871</v>
      </c>
      <c r="AH168" s="80" t="b">
        <v>1</v>
      </c>
      <c r="AI168" s="80" t="s">
        <v>882</v>
      </c>
      <c r="AJ168" s="80"/>
      <c r="AK168" s="85" t="s">
        <v>888</v>
      </c>
      <c r="AL168" s="80" t="b">
        <v>0</v>
      </c>
      <c r="AM168" s="80">
        <v>0</v>
      </c>
      <c r="AN168" s="85" t="s">
        <v>871</v>
      </c>
      <c r="AO168" s="85" t="s">
        <v>891</v>
      </c>
      <c r="AP168" s="80" t="b">
        <v>0</v>
      </c>
      <c r="AQ168" s="85" t="s">
        <v>855</v>
      </c>
      <c r="AR168" s="80" t="s">
        <v>178</v>
      </c>
      <c r="AS168" s="80">
        <v>0</v>
      </c>
      <c r="AT168" s="80">
        <v>0</v>
      </c>
      <c r="AU168" s="80"/>
      <c r="AV168" s="80"/>
      <c r="AW168" s="80"/>
      <c r="AX168" s="80"/>
      <c r="AY168" s="80"/>
      <c r="AZ168" s="80"/>
      <c r="BA168" s="80"/>
      <c r="BB168" s="80"/>
      <c r="BC168">
        <v>1</v>
      </c>
      <c r="BD168" s="79" t="str">
        <f>REPLACE(INDEX(GroupVertices[Group],MATCH(Edges35[[#This Row],[Vertex 1]],GroupVertices[Vertex],0)),1,1,"")</f>
        <v>4</v>
      </c>
      <c r="BE168" s="79" t="str">
        <f>REPLACE(INDEX(GroupVertices[Group],MATCH(Edges35[[#This Row],[Vertex 2]],GroupVertices[Vertex],0)),1,1,"")</f>
        <v>4</v>
      </c>
      <c r="BF168" s="49">
        <v>0</v>
      </c>
      <c r="BG168" s="50">
        <v>0</v>
      </c>
      <c r="BH168" s="49">
        <v>0</v>
      </c>
      <c r="BI168" s="50">
        <v>0</v>
      </c>
      <c r="BJ168" s="49">
        <v>0</v>
      </c>
      <c r="BK168" s="50">
        <v>0</v>
      </c>
      <c r="BL168" s="49">
        <v>25</v>
      </c>
      <c r="BM168" s="50">
        <v>100</v>
      </c>
      <c r="BN168" s="49">
        <v>25</v>
      </c>
    </row>
    <row r="169" spans="1:66" ht="15">
      <c r="A169" s="65" t="s">
        <v>355</v>
      </c>
      <c r="B169" s="65" t="s">
        <v>381</v>
      </c>
      <c r="C169" s="66" t="s">
        <v>2647</v>
      </c>
      <c r="D169" s="67">
        <v>5</v>
      </c>
      <c r="E169" s="68"/>
      <c r="F169" s="69">
        <v>40</v>
      </c>
      <c r="G169" s="66"/>
      <c r="H169" s="70"/>
      <c r="I169" s="71"/>
      <c r="J169" s="71"/>
      <c r="K169" s="35" t="s">
        <v>65</v>
      </c>
      <c r="L169" s="78">
        <v>256</v>
      </c>
      <c r="M169" s="78"/>
      <c r="N169" s="73"/>
      <c r="O169" s="80" t="s">
        <v>384</v>
      </c>
      <c r="P169" s="82">
        <v>44459.798842592594</v>
      </c>
      <c r="Q169" s="80" t="s">
        <v>442</v>
      </c>
      <c r="R169" s="83" t="str">
        <f>HYPERLINK("https://versusmedia.mx/lo-que-queda-en-el-camino-estrena-en-el-giff-2021/")</f>
        <v>https://versusmedia.mx/lo-que-queda-en-el-camino-estrena-en-el-giff-2021/</v>
      </c>
      <c r="S169" s="80" t="s">
        <v>465</v>
      </c>
      <c r="T169" s="85" t="s">
        <v>512</v>
      </c>
      <c r="U169" s="80"/>
      <c r="V169" s="83" t="str">
        <f>HYPERLINK("https://pbs.twimg.com/profile_images/1434562316260020227/iFWiRrk1_normal.jpg")</f>
        <v>https://pbs.twimg.com/profile_images/1434562316260020227/iFWiRrk1_normal.jpg</v>
      </c>
      <c r="W169" s="82">
        <v>44459.798842592594</v>
      </c>
      <c r="X169" s="88">
        <v>44459</v>
      </c>
      <c r="Y169" s="85" t="s">
        <v>682</v>
      </c>
      <c r="Z169" s="83" t="str">
        <f>HYPERLINK("https://twitter.com/doculqqeec/status/1440030585229959172")</f>
        <v>https://twitter.com/doculqqeec/status/1440030585229959172</v>
      </c>
      <c r="AA169" s="80"/>
      <c r="AB169" s="80"/>
      <c r="AC169" s="85" t="s">
        <v>856</v>
      </c>
      <c r="AD169" s="80"/>
      <c r="AE169" s="80" t="b">
        <v>0</v>
      </c>
      <c r="AF169" s="80">
        <v>2</v>
      </c>
      <c r="AG169" s="85" t="s">
        <v>871</v>
      </c>
      <c r="AH169" s="80" t="b">
        <v>0</v>
      </c>
      <c r="AI169" s="80" t="s">
        <v>882</v>
      </c>
      <c r="AJ169" s="80"/>
      <c r="AK169" s="85" t="s">
        <v>871</v>
      </c>
      <c r="AL169" s="80" t="b">
        <v>0</v>
      </c>
      <c r="AM169" s="80">
        <v>0</v>
      </c>
      <c r="AN169" s="85" t="s">
        <v>871</v>
      </c>
      <c r="AO169" s="85" t="s">
        <v>891</v>
      </c>
      <c r="AP169" s="80" t="b">
        <v>0</v>
      </c>
      <c r="AQ169" s="85" t="s">
        <v>856</v>
      </c>
      <c r="AR169" s="80" t="s">
        <v>178</v>
      </c>
      <c r="AS169" s="80">
        <v>0</v>
      </c>
      <c r="AT169" s="80">
        <v>0</v>
      </c>
      <c r="AU169" s="80"/>
      <c r="AV169" s="80"/>
      <c r="AW169" s="80"/>
      <c r="AX169" s="80"/>
      <c r="AY169" s="80"/>
      <c r="AZ169" s="80"/>
      <c r="BA169" s="80"/>
      <c r="BB169" s="80"/>
      <c r="BC169">
        <v>1</v>
      </c>
      <c r="BD169" s="79" t="str">
        <f>REPLACE(INDEX(GroupVertices[Group],MATCH(Edges35[[#This Row],[Vertex 1]],GroupVertices[Vertex],0)),1,1,"")</f>
        <v>7</v>
      </c>
      <c r="BE169" s="79" t="str">
        <f>REPLACE(INDEX(GroupVertices[Group],MATCH(Edges35[[#This Row],[Vertex 2]],GroupVertices[Vertex],0)),1,1,"")</f>
        <v>7</v>
      </c>
      <c r="BF169" s="49">
        <v>0</v>
      </c>
      <c r="BG169" s="50">
        <v>0</v>
      </c>
      <c r="BH169" s="49">
        <v>0</v>
      </c>
      <c r="BI169" s="50">
        <v>0</v>
      </c>
      <c r="BJ169" s="49">
        <v>0</v>
      </c>
      <c r="BK169" s="50">
        <v>0</v>
      </c>
      <c r="BL169" s="49">
        <v>11</v>
      </c>
      <c r="BM169" s="50">
        <v>100</v>
      </c>
      <c r="BN169" s="49">
        <v>11</v>
      </c>
    </row>
    <row r="170" spans="1:66" ht="15">
      <c r="A170" s="65" t="s">
        <v>355</v>
      </c>
      <c r="B170" s="65" t="s">
        <v>376</v>
      </c>
      <c r="C170" s="66" t="s">
        <v>2648</v>
      </c>
      <c r="D170" s="67">
        <v>10</v>
      </c>
      <c r="E170" s="68"/>
      <c r="F170" s="69">
        <v>20</v>
      </c>
      <c r="G170" s="66"/>
      <c r="H170" s="70"/>
      <c r="I170" s="71"/>
      <c r="J170" s="71"/>
      <c r="K170" s="35" t="s">
        <v>65</v>
      </c>
      <c r="L170" s="78">
        <v>257</v>
      </c>
      <c r="M170" s="78"/>
      <c r="N170" s="73"/>
      <c r="O170" s="80" t="s">
        <v>384</v>
      </c>
      <c r="P170" s="82">
        <v>44460.80269675926</v>
      </c>
      <c r="Q170" s="80" t="s">
        <v>426</v>
      </c>
      <c r="R170" s="80"/>
      <c r="S170" s="80"/>
      <c r="T170" s="85" t="s">
        <v>499</v>
      </c>
      <c r="U170" s="83" t="str">
        <f>HYPERLINK("https://pbs.twimg.com/media/E_1Ow97UUAYV0Is.jpg")</f>
        <v>https://pbs.twimg.com/media/E_1Ow97UUAYV0Is.jpg</v>
      </c>
      <c r="V170" s="83" t="str">
        <f>HYPERLINK("https://pbs.twimg.com/media/E_1Ow97UUAYV0Is.jpg")</f>
        <v>https://pbs.twimg.com/media/E_1Ow97UUAYV0Is.jpg</v>
      </c>
      <c r="W170" s="82">
        <v>44460.80269675926</v>
      </c>
      <c r="X170" s="88">
        <v>44460</v>
      </c>
      <c r="Y170" s="85" t="s">
        <v>683</v>
      </c>
      <c r="Z170" s="83" t="str">
        <f>HYPERLINK("https://twitter.com/doculqqeec/status/1440394370226667525")</f>
        <v>https://twitter.com/doculqqeec/status/1440394370226667525</v>
      </c>
      <c r="AA170" s="80"/>
      <c r="AB170" s="80"/>
      <c r="AC170" s="85" t="s">
        <v>857</v>
      </c>
      <c r="AD170" s="80"/>
      <c r="AE170" s="80" t="b">
        <v>0</v>
      </c>
      <c r="AF170" s="80">
        <v>8</v>
      </c>
      <c r="AG170" s="85" t="s">
        <v>871</v>
      </c>
      <c r="AH170" s="80" t="b">
        <v>0</v>
      </c>
      <c r="AI170" s="80" t="s">
        <v>882</v>
      </c>
      <c r="AJ170" s="80"/>
      <c r="AK170" s="85" t="s">
        <v>871</v>
      </c>
      <c r="AL170" s="80" t="b">
        <v>0</v>
      </c>
      <c r="AM170" s="80">
        <v>3</v>
      </c>
      <c r="AN170" s="85" t="s">
        <v>871</v>
      </c>
      <c r="AO170" s="85" t="s">
        <v>891</v>
      </c>
      <c r="AP170" s="80" t="b">
        <v>0</v>
      </c>
      <c r="AQ170" s="85" t="s">
        <v>857</v>
      </c>
      <c r="AR170" s="80" t="s">
        <v>178</v>
      </c>
      <c r="AS170" s="80">
        <v>0</v>
      </c>
      <c r="AT170" s="80">
        <v>0</v>
      </c>
      <c r="AU170" s="80"/>
      <c r="AV170" s="80"/>
      <c r="AW170" s="80"/>
      <c r="AX170" s="80"/>
      <c r="AY170" s="80"/>
      <c r="AZ170" s="80"/>
      <c r="BA170" s="80"/>
      <c r="BB170" s="80"/>
      <c r="BC170">
        <v>9</v>
      </c>
      <c r="BD170" s="79" t="str">
        <f>REPLACE(INDEX(GroupVertices[Group],MATCH(Edges35[[#This Row],[Vertex 1]],GroupVertices[Vertex],0)),1,1,"")</f>
        <v>7</v>
      </c>
      <c r="BE170" s="79" t="str">
        <f>REPLACE(INDEX(GroupVertices[Group],MATCH(Edges35[[#This Row],[Vertex 2]],GroupVertices[Vertex],0)),1,1,"")</f>
        <v>7</v>
      </c>
      <c r="BF170" s="49">
        <v>0</v>
      </c>
      <c r="BG170" s="50">
        <v>0</v>
      </c>
      <c r="BH170" s="49">
        <v>0</v>
      </c>
      <c r="BI170" s="50">
        <v>0</v>
      </c>
      <c r="BJ170" s="49">
        <v>0</v>
      </c>
      <c r="BK170" s="50">
        <v>0</v>
      </c>
      <c r="BL170" s="49">
        <v>22</v>
      </c>
      <c r="BM170" s="50">
        <v>100</v>
      </c>
      <c r="BN170" s="49">
        <v>22</v>
      </c>
    </row>
    <row r="171" spans="1:66" ht="15">
      <c r="A171" s="65" t="s">
        <v>355</v>
      </c>
      <c r="B171" s="65" t="s">
        <v>376</v>
      </c>
      <c r="C171" s="66" t="s">
        <v>2648</v>
      </c>
      <c r="D171" s="67">
        <v>10</v>
      </c>
      <c r="E171" s="68"/>
      <c r="F171" s="69">
        <v>20</v>
      </c>
      <c r="G171" s="66"/>
      <c r="H171" s="70"/>
      <c r="I171" s="71"/>
      <c r="J171" s="71"/>
      <c r="K171" s="35" t="s">
        <v>65</v>
      </c>
      <c r="L171" s="78">
        <v>258</v>
      </c>
      <c r="M171" s="78"/>
      <c r="N171" s="73"/>
      <c r="O171" s="80" t="s">
        <v>384</v>
      </c>
      <c r="P171" s="82">
        <v>44464.21675925926</v>
      </c>
      <c r="Q171" s="80" t="s">
        <v>443</v>
      </c>
      <c r="R171" s="80"/>
      <c r="S171" s="80"/>
      <c r="T171" s="85" t="s">
        <v>513</v>
      </c>
      <c r="U171" s="83" t="str">
        <f>HYPERLINK("https://pbs.twimg.com/media/FAG0RG2XMAEwlp7.jpg")</f>
        <v>https://pbs.twimg.com/media/FAG0RG2XMAEwlp7.jpg</v>
      </c>
      <c r="V171" s="83" t="str">
        <f>HYPERLINK("https://pbs.twimg.com/media/FAG0RG2XMAEwlp7.jpg")</f>
        <v>https://pbs.twimg.com/media/FAG0RG2XMAEwlp7.jpg</v>
      </c>
      <c r="W171" s="82">
        <v>44464.21675925926</v>
      </c>
      <c r="X171" s="88">
        <v>44464</v>
      </c>
      <c r="Y171" s="85" t="s">
        <v>684</v>
      </c>
      <c r="Z171" s="83" t="str">
        <f>HYPERLINK("https://twitter.com/doculqqeec/status/1441631582436028418")</f>
        <v>https://twitter.com/doculqqeec/status/1441631582436028418</v>
      </c>
      <c r="AA171" s="80"/>
      <c r="AB171" s="80"/>
      <c r="AC171" s="85" t="s">
        <v>858</v>
      </c>
      <c r="AD171" s="80"/>
      <c r="AE171" s="80" t="b">
        <v>0</v>
      </c>
      <c r="AF171" s="80">
        <v>1</v>
      </c>
      <c r="AG171" s="85" t="s">
        <v>871</v>
      </c>
      <c r="AH171" s="80" t="b">
        <v>0</v>
      </c>
      <c r="AI171" s="80" t="s">
        <v>882</v>
      </c>
      <c r="AJ171" s="80"/>
      <c r="AK171" s="85" t="s">
        <v>871</v>
      </c>
      <c r="AL171" s="80" t="b">
        <v>0</v>
      </c>
      <c r="AM171" s="80">
        <v>0</v>
      </c>
      <c r="AN171" s="85" t="s">
        <v>871</v>
      </c>
      <c r="AO171" s="85" t="s">
        <v>890</v>
      </c>
      <c r="AP171" s="80" t="b">
        <v>0</v>
      </c>
      <c r="AQ171" s="85" t="s">
        <v>858</v>
      </c>
      <c r="AR171" s="80" t="s">
        <v>178</v>
      </c>
      <c r="AS171" s="80">
        <v>0</v>
      </c>
      <c r="AT171" s="80">
        <v>0</v>
      </c>
      <c r="AU171" s="80"/>
      <c r="AV171" s="80"/>
      <c r="AW171" s="80"/>
      <c r="AX171" s="80"/>
      <c r="AY171" s="80"/>
      <c r="AZ171" s="80"/>
      <c r="BA171" s="80"/>
      <c r="BB171" s="80"/>
      <c r="BC171">
        <v>9</v>
      </c>
      <c r="BD171" s="79" t="str">
        <f>REPLACE(INDEX(GroupVertices[Group],MATCH(Edges35[[#This Row],[Vertex 1]],GroupVertices[Vertex],0)),1,1,"")</f>
        <v>7</v>
      </c>
      <c r="BE171" s="79" t="str">
        <f>REPLACE(INDEX(GroupVertices[Group],MATCH(Edges35[[#This Row],[Vertex 2]],GroupVertices[Vertex],0)),1,1,"")</f>
        <v>7</v>
      </c>
      <c r="BF171" s="49">
        <v>1</v>
      </c>
      <c r="BG171" s="50">
        <v>4.3478260869565215</v>
      </c>
      <c r="BH171" s="49">
        <v>0</v>
      </c>
      <c r="BI171" s="50">
        <v>0</v>
      </c>
      <c r="BJ171" s="49">
        <v>0</v>
      </c>
      <c r="BK171" s="50">
        <v>0</v>
      </c>
      <c r="BL171" s="49">
        <v>22</v>
      </c>
      <c r="BM171" s="50">
        <v>95.65217391304348</v>
      </c>
      <c r="BN171" s="49">
        <v>23</v>
      </c>
    </row>
    <row r="172" spans="1:66" ht="15">
      <c r="A172" s="65" t="s">
        <v>355</v>
      </c>
      <c r="B172" s="65" t="s">
        <v>376</v>
      </c>
      <c r="C172" s="66" t="s">
        <v>2648</v>
      </c>
      <c r="D172" s="67">
        <v>10</v>
      </c>
      <c r="E172" s="68"/>
      <c r="F172" s="69">
        <v>20</v>
      </c>
      <c r="G172" s="66"/>
      <c r="H172" s="70"/>
      <c r="I172" s="71"/>
      <c r="J172" s="71"/>
      <c r="K172" s="35" t="s">
        <v>65</v>
      </c>
      <c r="L172" s="78">
        <v>259</v>
      </c>
      <c r="M172" s="78"/>
      <c r="N172" s="73"/>
      <c r="O172" s="80" t="s">
        <v>384</v>
      </c>
      <c r="P172" s="82">
        <v>44464.224224537036</v>
      </c>
      <c r="Q172" s="80" t="s">
        <v>444</v>
      </c>
      <c r="R172" s="80"/>
      <c r="S172" s="80"/>
      <c r="T172" s="85" t="s">
        <v>514</v>
      </c>
      <c r="U172" s="83" t="str">
        <f>HYPERLINK("https://pbs.twimg.com/media/FAG2vXKXsAAgM6P.jpg")</f>
        <v>https://pbs.twimg.com/media/FAG2vXKXsAAgM6P.jpg</v>
      </c>
      <c r="V172" s="83" t="str">
        <f>HYPERLINK("https://pbs.twimg.com/media/FAG2vXKXsAAgM6P.jpg")</f>
        <v>https://pbs.twimg.com/media/FAG2vXKXsAAgM6P.jpg</v>
      </c>
      <c r="W172" s="82">
        <v>44464.224224537036</v>
      </c>
      <c r="X172" s="88">
        <v>44464</v>
      </c>
      <c r="Y172" s="85" t="s">
        <v>685</v>
      </c>
      <c r="Z172" s="83" t="str">
        <f>HYPERLINK("https://twitter.com/doculqqeec/status/1441634288500449282")</f>
        <v>https://twitter.com/doculqqeec/status/1441634288500449282</v>
      </c>
      <c r="AA172" s="80"/>
      <c r="AB172" s="80"/>
      <c r="AC172" s="85" t="s">
        <v>859</v>
      </c>
      <c r="AD172" s="80"/>
      <c r="AE172" s="80" t="b">
        <v>0</v>
      </c>
      <c r="AF172" s="80">
        <v>0</v>
      </c>
      <c r="AG172" s="85" t="s">
        <v>871</v>
      </c>
      <c r="AH172" s="80" t="b">
        <v>0</v>
      </c>
      <c r="AI172" s="80" t="s">
        <v>882</v>
      </c>
      <c r="AJ172" s="80"/>
      <c r="AK172" s="85" t="s">
        <v>871</v>
      </c>
      <c r="AL172" s="80" t="b">
        <v>0</v>
      </c>
      <c r="AM172" s="80">
        <v>0</v>
      </c>
      <c r="AN172" s="85" t="s">
        <v>871</v>
      </c>
      <c r="AO172" s="85" t="s">
        <v>890</v>
      </c>
      <c r="AP172" s="80" t="b">
        <v>0</v>
      </c>
      <c r="AQ172" s="85" t="s">
        <v>859</v>
      </c>
      <c r="AR172" s="80" t="s">
        <v>178</v>
      </c>
      <c r="AS172" s="80">
        <v>0</v>
      </c>
      <c r="AT172" s="80">
        <v>0</v>
      </c>
      <c r="AU172" s="80"/>
      <c r="AV172" s="80"/>
      <c r="AW172" s="80"/>
      <c r="AX172" s="80"/>
      <c r="AY172" s="80"/>
      <c r="AZ172" s="80"/>
      <c r="BA172" s="80"/>
      <c r="BB172" s="80"/>
      <c r="BC172">
        <v>9</v>
      </c>
      <c r="BD172" s="79" t="str">
        <f>REPLACE(INDEX(GroupVertices[Group],MATCH(Edges35[[#This Row],[Vertex 1]],GroupVertices[Vertex],0)),1,1,"")</f>
        <v>7</v>
      </c>
      <c r="BE172" s="79" t="str">
        <f>REPLACE(INDEX(GroupVertices[Group],MATCH(Edges35[[#This Row],[Vertex 2]],GroupVertices[Vertex],0)),1,1,"")</f>
        <v>7</v>
      </c>
      <c r="BF172" s="49">
        <v>0</v>
      </c>
      <c r="BG172" s="50">
        <v>0</v>
      </c>
      <c r="BH172" s="49">
        <v>0</v>
      </c>
      <c r="BI172" s="50">
        <v>0</v>
      </c>
      <c r="BJ172" s="49">
        <v>0</v>
      </c>
      <c r="BK172" s="50">
        <v>0</v>
      </c>
      <c r="BL172" s="49">
        <v>20</v>
      </c>
      <c r="BM172" s="50">
        <v>100</v>
      </c>
      <c r="BN172" s="49">
        <v>20</v>
      </c>
    </row>
    <row r="173" spans="1:66" ht="15">
      <c r="A173" s="65" t="s">
        <v>355</v>
      </c>
      <c r="B173" s="65" t="s">
        <v>355</v>
      </c>
      <c r="C173" s="66" t="s">
        <v>2648</v>
      </c>
      <c r="D173" s="67">
        <v>10</v>
      </c>
      <c r="E173" s="68"/>
      <c r="F173" s="69">
        <v>20</v>
      </c>
      <c r="G173" s="66"/>
      <c r="H173" s="70"/>
      <c r="I173" s="71"/>
      <c r="J173" s="71"/>
      <c r="K173" s="35" t="s">
        <v>65</v>
      </c>
      <c r="L173" s="78">
        <v>260</v>
      </c>
      <c r="M173" s="78"/>
      <c r="N173" s="73"/>
      <c r="O173" s="80" t="s">
        <v>178</v>
      </c>
      <c r="P173" s="82">
        <v>44459.80018518519</v>
      </c>
      <c r="Q173" s="80" t="s">
        <v>445</v>
      </c>
      <c r="R173" s="83" t="str">
        <f>HYPERLINK("https://www.elsiglodedurango.com.mx/2021/09/1341510.cinta-sobre-caravana-migrante-se-estrena-en-el-giff.html#.YUjc25Gos58.twitter")</f>
        <v>https://www.elsiglodedurango.com.mx/2021/09/1341510.cinta-sobre-caravana-migrante-se-estrena-en-el-giff.html#.YUjc25Gos58.twitter</v>
      </c>
      <c r="S173" s="80" t="s">
        <v>451</v>
      </c>
      <c r="T173" s="85" t="s">
        <v>512</v>
      </c>
      <c r="U173" s="80"/>
      <c r="V173" s="83" t="str">
        <f>HYPERLINK("https://pbs.twimg.com/profile_images/1434562316260020227/iFWiRrk1_normal.jpg")</f>
        <v>https://pbs.twimg.com/profile_images/1434562316260020227/iFWiRrk1_normal.jpg</v>
      </c>
      <c r="W173" s="82">
        <v>44459.80018518519</v>
      </c>
      <c r="X173" s="88">
        <v>44459</v>
      </c>
      <c r="Y173" s="85" t="s">
        <v>686</v>
      </c>
      <c r="Z173" s="83" t="str">
        <f>HYPERLINK("https://twitter.com/doculqqeec/status/1440031072331259909")</f>
        <v>https://twitter.com/doculqqeec/status/1440031072331259909</v>
      </c>
      <c r="AA173" s="80"/>
      <c r="AB173" s="80"/>
      <c r="AC173" s="85" t="s">
        <v>860</v>
      </c>
      <c r="AD173" s="80"/>
      <c r="AE173" s="80" t="b">
        <v>0</v>
      </c>
      <c r="AF173" s="80">
        <v>1</v>
      </c>
      <c r="AG173" s="85" t="s">
        <v>871</v>
      </c>
      <c r="AH173" s="80" t="b">
        <v>0</v>
      </c>
      <c r="AI173" s="80" t="s">
        <v>882</v>
      </c>
      <c r="AJ173" s="80"/>
      <c r="AK173" s="85" t="s">
        <v>871</v>
      </c>
      <c r="AL173" s="80" t="b">
        <v>0</v>
      </c>
      <c r="AM173" s="80">
        <v>0</v>
      </c>
      <c r="AN173" s="85" t="s">
        <v>871</v>
      </c>
      <c r="AO173" s="85" t="s">
        <v>891</v>
      </c>
      <c r="AP173" s="80" t="b">
        <v>0</v>
      </c>
      <c r="AQ173" s="85" t="s">
        <v>860</v>
      </c>
      <c r="AR173" s="80" t="s">
        <v>178</v>
      </c>
      <c r="AS173" s="80">
        <v>0</v>
      </c>
      <c r="AT173" s="80">
        <v>0</v>
      </c>
      <c r="AU173" s="80"/>
      <c r="AV173" s="80"/>
      <c r="AW173" s="80"/>
      <c r="AX173" s="80"/>
      <c r="AY173" s="80"/>
      <c r="AZ173" s="80"/>
      <c r="BA173" s="80"/>
      <c r="BB173" s="80"/>
      <c r="BC173">
        <v>4</v>
      </c>
      <c r="BD173" s="79" t="str">
        <f>REPLACE(INDEX(GroupVertices[Group],MATCH(Edges35[[#This Row],[Vertex 1]],GroupVertices[Vertex],0)),1,1,"")</f>
        <v>7</v>
      </c>
      <c r="BE173" s="79" t="str">
        <f>REPLACE(INDEX(GroupVertices[Group],MATCH(Edges35[[#This Row],[Vertex 2]],GroupVertices[Vertex],0)),1,1,"")</f>
        <v>7</v>
      </c>
      <c r="BF173" s="49">
        <v>0</v>
      </c>
      <c r="BG173" s="50">
        <v>0</v>
      </c>
      <c r="BH173" s="49">
        <v>0</v>
      </c>
      <c r="BI173" s="50">
        <v>0</v>
      </c>
      <c r="BJ173" s="49">
        <v>0</v>
      </c>
      <c r="BK173" s="50">
        <v>0</v>
      </c>
      <c r="BL173" s="49">
        <v>26</v>
      </c>
      <c r="BM173" s="50">
        <v>100</v>
      </c>
      <c r="BN173" s="49">
        <v>26</v>
      </c>
    </row>
    <row r="174" spans="1:66" ht="15">
      <c r="A174" s="65" t="s">
        <v>355</v>
      </c>
      <c r="B174" s="65" t="s">
        <v>355</v>
      </c>
      <c r="C174" s="66" t="s">
        <v>2648</v>
      </c>
      <c r="D174" s="67">
        <v>10</v>
      </c>
      <c r="E174" s="68"/>
      <c r="F174" s="69">
        <v>20</v>
      </c>
      <c r="G174" s="66"/>
      <c r="H174" s="70"/>
      <c r="I174" s="71"/>
      <c r="J174" s="71"/>
      <c r="K174" s="35" t="s">
        <v>65</v>
      </c>
      <c r="L174" s="78">
        <v>261</v>
      </c>
      <c r="M174" s="78"/>
      <c r="N174" s="73"/>
      <c r="O174" s="80" t="s">
        <v>178</v>
      </c>
      <c r="P174" s="82">
        <v>44464.243796296294</v>
      </c>
      <c r="Q174" s="80" t="s">
        <v>446</v>
      </c>
      <c r="R174" s="80"/>
      <c r="S174" s="80"/>
      <c r="T174" s="85" t="s">
        <v>515</v>
      </c>
      <c r="U174" s="83" t="str">
        <f>HYPERLINK("https://pbs.twimg.com/media/FAG9LlMX0AYojVq.jpg")</f>
        <v>https://pbs.twimg.com/media/FAG9LlMX0AYojVq.jpg</v>
      </c>
      <c r="V174" s="83" t="str">
        <f>HYPERLINK("https://pbs.twimg.com/media/FAG9LlMX0AYojVq.jpg")</f>
        <v>https://pbs.twimg.com/media/FAG9LlMX0AYojVq.jpg</v>
      </c>
      <c r="W174" s="82">
        <v>44464.243796296294</v>
      </c>
      <c r="X174" s="88">
        <v>44464</v>
      </c>
      <c r="Y174" s="85" t="s">
        <v>687</v>
      </c>
      <c r="Z174" s="83" t="str">
        <f>HYPERLINK("https://twitter.com/doculqqeec/status/1441641380644749316")</f>
        <v>https://twitter.com/doculqqeec/status/1441641380644749316</v>
      </c>
      <c r="AA174" s="80"/>
      <c r="AB174" s="80"/>
      <c r="AC174" s="85" t="s">
        <v>861</v>
      </c>
      <c r="AD174" s="80"/>
      <c r="AE174" s="80" t="b">
        <v>0</v>
      </c>
      <c r="AF174" s="80">
        <v>0</v>
      </c>
      <c r="AG174" s="85" t="s">
        <v>871</v>
      </c>
      <c r="AH174" s="80" t="b">
        <v>0</v>
      </c>
      <c r="AI174" s="80" t="s">
        <v>882</v>
      </c>
      <c r="AJ174" s="80"/>
      <c r="AK174" s="85" t="s">
        <v>871</v>
      </c>
      <c r="AL174" s="80" t="b">
        <v>0</v>
      </c>
      <c r="AM174" s="80">
        <v>0</v>
      </c>
      <c r="AN174" s="85" t="s">
        <v>871</v>
      </c>
      <c r="AO174" s="85" t="s">
        <v>890</v>
      </c>
      <c r="AP174" s="80" t="b">
        <v>0</v>
      </c>
      <c r="AQ174" s="85" t="s">
        <v>861</v>
      </c>
      <c r="AR174" s="80" t="s">
        <v>178</v>
      </c>
      <c r="AS174" s="80">
        <v>0</v>
      </c>
      <c r="AT174" s="80">
        <v>0</v>
      </c>
      <c r="AU174" s="80"/>
      <c r="AV174" s="80"/>
      <c r="AW174" s="80"/>
      <c r="AX174" s="80"/>
      <c r="AY174" s="80"/>
      <c r="AZ174" s="80"/>
      <c r="BA174" s="80"/>
      <c r="BB174" s="80"/>
      <c r="BC174">
        <v>4</v>
      </c>
      <c r="BD174" s="79" t="str">
        <f>REPLACE(INDEX(GroupVertices[Group],MATCH(Edges35[[#This Row],[Vertex 1]],GroupVertices[Vertex],0)),1,1,"")</f>
        <v>7</v>
      </c>
      <c r="BE174" s="79" t="str">
        <f>REPLACE(INDEX(GroupVertices[Group],MATCH(Edges35[[#This Row],[Vertex 2]],GroupVertices[Vertex],0)),1,1,"")</f>
        <v>7</v>
      </c>
      <c r="BF174" s="49">
        <v>0</v>
      </c>
      <c r="BG174" s="50">
        <v>0</v>
      </c>
      <c r="BH174" s="49">
        <v>0</v>
      </c>
      <c r="BI174" s="50">
        <v>0</v>
      </c>
      <c r="BJ174" s="49">
        <v>0</v>
      </c>
      <c r="BK174" s="50">
        <v>0</v>
      </c>
      <c r="BL174" s="49">
        <v>22</v>
      </c>
      <c r="BM174" s="50">
        <v>100</v>
      </c>
      <c r="BN174" s="49">
        <v>22</v>
      </c>
    </row>
    <row r="175" spans="1:66" ht="15">
      <c r="A175" s="65" t="s">
        <v>356</v>
      </c>
      <c r="B175" s="65" t="s">
        <v>356</v>
      </c>
      <c r="C175" s="66" t="s">
        <v>2647</v>
      </c>
      <c r="D175" s="67">
        <v>5</v>
      </c>
      <c r="E175" s="68"/>
      <c r="F175" s="69">
        <v>40</v>
      </c>
      <c r="G175" s="66"/>
      <c r="H175" s="70"/>
      <c r="I175" s="71"/>
      <c r="J175" s="71"/>
      <c r="K175" s="35" t="s">
        <v>65</v>
      </c>
      <c r="L175" s="78">
        <v>262</v>
      </c>
      <c r="M175" s="78"/>
      <c r="N175" s="73"/>
      <c r="O175" s="80" t="s">
        <v>178</v>
      </c>
      <c r="P175" s="82">
        <v>44464.56361111111</v>
      </c>
      <c r="Q175" s="80" t="s">
        <v>447</v>
      </c>
      <c r="R175" s="83" t="str">
        <f>HYPERLINK("https://laopinion.com/2021/09/22/migrantes-haitianos-secuestraron-brevemente-un-autobus-que-los-llevaba-a-un-aeropuerto-para-su-deportacion-en-texas/")</f>
        <v>https://laopinion.com/2021/09/22/migrantes-haitianos-secuestraron-brevemente-un-autobus-que-los-llevaba-a-un-aeropuerto-para-su-deportacion-en-texas/</v>
      </c>
      <c r="S175" s="80" t="s">
        <v>466</v>
      </c>
      <c r="T175" s="85" t="s">
        <v>516</v>
      </c>
      <c r="U175" s="80"/>
      <c r="V175" s="83" t="str">
        <f>HYPERLINK("https://pbs.twimg.com/profile_images/1190664336181800960/q0hSqNrB_normal.jpg")</f>
        <v>https://pbs.twimg.com/profile_images/1190664336181800960/q0hSqNrB_normal.jpg</v>
      </c>
      <c r="W175" s="82">
        <v>44464.56361111111</v>
      </c>
      <c r="X175" s="88">
        <v>44464</v>
      </c>
      <c r="Y175" s="85" t="s">
        <v>688</v>
      </c>
      <c r="Z175" s="83" t="str">
        <f>HYPERLINK("https://twitter.com/vrodriguezphd/status/1441757280681218048")</f>
        <v>https://twitter.com/vrodriguezphd/status/1441757280681218048</v>
      </c>
      <c r="AA175" s="80"/>
      <c r="AB175" s="80"/>
      <c r="AC175" s="85" t="s">
        <v>862</v>
      </c>
      <c r="AD175" s="80"/>
      <c r="AE175" s="80" t="b">
        <v>0</v>
      </c>
      <c r="AF175" s="80">
        <v>1</v>
      </c>
      <c r="AG175" s="85" t="s">
        <v>871</v>
      </c>
      <c r="AH175" s="80" t="b">
        <v>0</v>
      </c>
      <c r="AI175" s="80" t="s">
        <v>882</v>
      </c>
      <c r="AJ175" s="80"/>
      <c r="AK175" s="85" t="s">
        <v>871</v>
      </c>
      <c r="AL175" s="80" t="b">
        <v>0</v>
      </c>
      <c r="AM175" s="80">
        <v>1</v>
      </c>
      <c r="AN175" s="85" t="s">
        <v>871</v>
      </c>
      <c r="AO175" s="85" t="s">
        <v>891</v>
      </c>
      <c r="AP175" s="80" t="b">
        <v>0</v>
      </c>
      <c r="AQ175" s="85" t="s">
        <v>862</v>
      </c>
      <c r="AR175" s="80" t="s">
        <v>178</v>
      </c>
      <c r="AS175" s="80">
        <v>0</v>
      </c>
      <c r="AT175" s="80">
        <v>0</v>
      </c>
      <c r="AU175" s="80"/>
      <c r="AV175" s="80"/>
      <c r="AW175" s="80"/>
      <c r="AX175" s="80"/>
      <c r="AY175" s="80"/>
      <c r="AZ175" s="80"/>
      <c r="BA175" s="80"/>
      <c r="BB175" s="80"/>
      <c r="BC175">
        <v>1</v>
      </c>
      <c r="BD175" s="79" t="str">
        <f>REPLACE(INDEX(GroupVertices[Group],MATCH(Edges35[[#This Row],[Vertex 1]],GroupVertices[Vertex],0)),1,1,"")</f>
        <v>18</v>
      </c>
      <c r="BE175" s="79" t="str">
        <f>REPLACE(INDEX(GroupVertices[Group],MATCH(Edges35[[#This Row],[Vertex 2]],GroupVertices[Vertex],0)),1,1,"")</f>
        <v>18</v>
      </c>
      <c r="BF175" s="49">
        <v>0</v>
      </c>
      <c r="BG175" s="50">
        <v>0</v>
      </c>
      <c r="BH175" s="49">
        <v>0</v>
      </c>
      <c r="BI175" s="50">
        <v>0</v>
      </c>
      <c r="BJ175" s="49">
        <v>0</v>
      </c>
      <c r="BK175" s="50">
        <v>0</v>
      </c>
      <c r="BL175" s="49">
        <v>29</v>
      </c>
      <c r="BM175" s="50">
        <v>100</v>
      </c>
      <c r="BN175" s="49">
        <v>29</v>
      </c>
    </row>
    <row r="176" spans="1:66" ht="15">
      <c r="A176" s="65" t="s">
        <v>357</v>
      </c>
      <c r="B176" s="65" t="s">
        <v>356</v>
      </c>
      <c r="C176" s="66" t="s">
        <v>2647</v>
      </c>
      <c r="D176" s="67">
        <v>5</v>
      </c>
      <c r="E176" s="68"/>
      <c r="F176" s="69">
        <v>40</v>
      </c>
      <c r="G176" s="66"/>
      <c r="H176" s="70"/>
      <c r="I176" s="71"/>
      <c r="J176" s="71"/>
      <c r="K176" s="35" t="s">
        <v>65</v>
      </c>
      <c r="L176" s="78">
        <v>263</v>
      </c>
      <c r="M176" s="78"/>
      <c r="N176" s="73"/>
      <c r="O176" s="80" t="s">
        <v>383</v>
      </c>
      <c r="P176" s="82">
        <v>44464.56815972222</v>
      </c>
      <c r="Q176" s="80" t="s">
        <v>447</v>
      </c>
      <c r="R176" s="83" t="str">
        <f>HYPERLINK("https://laopinion.com/2021/09/22/migrantes-haitianos-secuestraron-brevemente-un-autobus-que-los-llevaba-a-un-aeropuerto-para-su-deportacion-en-texas/")</f>
        <v>https://laopinion.com/2021/09/22/migrantes-haitianos-secuestraron-brevemente-un-autobus-que-los-llevaba-a-un-aeropuerto-para-su-deportacion-en-texas/</v>
      </c>
      <c r="S176" s="80" t="s">
        <v>466</v>
      </c>
      <c r="T176" s="85" t="s">
        <v>516</v>
      </c>
      <c r="U176" s="80"/>
      <c r="V176" s="83" t="str">
        <f>HYPERLINK("https://pbs.twimg.com/profile_images/787265503828054016/kFUqcwx4_normal.jpg")</f>
        <v>https://pbs.twimg.com/profile_images/787265503828054016/kFUqcwx4_normal.jpg</v>
      </c>
      <c r="W176" s="82">
        <v>44464.56815972222</v>
      </c>
      <c r="X176" s="88">
        <v>44464</v>
      </c>
      <c r="Y176" s="85" t="s">
        <v>689</v>
      </c>
      <c r="Z176" s="83" t="str">
        <f>HYPERLINK("https://twitter.com/chefbaez/status/1441758925989154816")</f>
        <v>https://twitter.com/chefbaez/status/1441758925989154816</v>
      </c>
      <c r="AA176" s="80"/>
      <c r="AB176" s="80"/>
      <c r="AC176" s="85" t="s">
        <v>863</v>
      </c>
      <c r="AD176" s="80"/>
      <c r="AE176" s="80" t="b">
        <v>0</v>
      </c>
      <c r="AF176" s="80">
        <v>0</v>
      </c>
      <c r="AG176" s="85" t="s">
        <v>871</v>
      </c>
      <c r="AH176" s="80" t="b">
        <v>0</v>
      </c>
      <c r="AI176" s="80" t="s">
        <v>882</v>
      </c>
      <c r="AJ176" s="80"/>
      <c r="AK176" s="85" t="s">
        <v>871</v>
      </c>
      <c r="AL176" s="80" t="b">
        <v>0</v>
      </c>
      <c r="AM176" s="80">
        <v>1</v>
      </c>
      <c r="AN176" s="85" t="s">
        <v>862</v>
      </c>
      <c r="AO176" s="85" t="s">
        <v>891</v>
      </c>
      <c r="AP176" s="80" t="b">
        <v>0</v>
      </c>
      <c r="AQ176" s="85" t="s">
        <v>862</v>
      </c>
      <c r="AR176" s="80" t="s">
        <v>178</v>
      </c>
      <c r="AS176" s="80">
        <v>0</v>
      </c>
      <c r="AT176" s="80">
        <v>0</v>
      </c>
      <c r="AU176" s="80"/>
      <c r="AV176" s="80"/>
      <c r="AW176" s="80"/>
      <c r="AX176" s="80"/>
      <c r="AY176" s="80"/>
      <c r="AZ176" s="80"/>
      <c r="BA176" s="80"/>
      <c r="BB176" s="80"/>
      <c r="BC176">
        <v>1</v>
      </c>
      <c r="BD176" s="79" t="str">
        <f>REPLACE(INDEX(GroupVertices[Group],MATCH(Edges35[[#This Row],[Vertex 1]],GroupVertices[Vertex],0)),1,1,"")</f>
        <v>18</v>
      </c>
      <c r="BE176" s="79" t="str">
        <f>REPLACE(INDEX(GroupVertices[Group],MATCH(Edges35[[#This Row],[Vertex 2]],GroupVertices[Vertex],0)),1,1,"")</f>
        <v>18</v>
      </c>
      <c r="BF176" s="49">
        <v>0</v>
      </c>
      <c r="BG176" s="50">
        <v>0</v>
      </c>
      <c r="BH176" s="49">
        <v>0</v>
      </c>
      <c r="BI176" s="50">
        <v>0</v>
      </c>
      <c r="BJ176" s="49">
        <v>0</v>
      </c>
      <c r="BK176" s="50">
        <v>0</v>
      </c>
      <c r="BL176" s="49">
        <v>29</v>
      </c>
      <c r="BM176" s="50">
        <v>100</v>
      </c>
      <c r="BN176" s="49">
        <v>29</v>
      </c>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6"/>
    <dataValidation allowBlank="1" showInputMessage="1" showErrorMessage="1" promptTitle="Vertex 2 Name" prompt="Enter the name of the edge's second vertex." sqref="B3:B176"/>
    <dataValidation allowBlank="1" showInputMessage="1" showErrorMessage="1" promptTitle="Vertex 1 Name" prompt="Enter the name of the edge's first vertex." sqref="A3:A1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6"/>
    <dataValidation allowBlank="1" showInputMessage="1" promptTitle="Edge Width" prompt="Enter an optional edge width between 1 and 10." errorTitle="Invalid Edge Width" error="The optional edge width must be a whole number between 1 and 10." sqref="D3:D176"/>
    <dataValidation allowBlank="1" showInputMessage="1" promptTitle="Edge Color" prompt="To select an optional edge color, right-click and select Select Color on the right-click menu." sqref="C3:C1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6"/>
    <dataValidation allowBlank="1" showErrorMessage="1" sqref="N2:N1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6"/>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FC208-A235-4142-BAC4-02D77B4B6E7C}">
  <dimension ref="A25:B51"/>
  <sheetViews>
    <sheetView tabSelected="1" workbookViewId="0" topLeftCell="A1"/>
  </sheetViews>
  <sheetFormatPr defaultColWidth="9.140625" defaultRowHeight="15"/>
  <cols>
    <col min="1" max="1" width="13.140625" style="0" bestFit="1" customWidth="1"/>
    <col min="2" max="2" width="30.8515625" style="0" bestFit="1" customWidth="1"/>
  </cols>
  <sheetData>
    <row r="25" spans="1:2" ht="15">
      <c r="A25" s="116" t="s">
        <v>2620</v>
      </c>
      <c r="B25" t="s">
        <v>2619</v>
      </c>
    </row>
    <row r="26" spans="1:2" ht="15">
      <c r="A26" s="117" t="s">
        <v>2622</v>
      </c>
      <c r="B26" s="3">
        <v>2</v>
      </c>
    </row>
    <row r="27" spans="1:2" ht="15">
      <c r="A27" s="118" t="s">
        <v>2623</v>
      </c>
      <c r="B27" s="3">
        <v>1</v>
      </c>
    </row>
    <row r="28" spans="1:2" ht="15">
      <c r="A28" s="119" t="s">
        <v>2624</v>
      </c>
      <c r="B28" s="3">
        <v>1</v>
      </c>
    </row>
    <row r="29" spans="1:2" ht="15">
      <c r="A29" s="118" t="s">
        <v>2625</v>
      </c>
      <c r="B29" s="3">
        <v>1</v>
      </c>
    </row>
    <row r="30" spans="1:2" ht="15">
      <c r="A30" s="119" t="s">
        <v>2626</v>
      </c>
      <c r="B30" s="3">
        <v>1</v>
      </c>
    </row>
    <row r="31" spans="1:2" ht="15">
      <c r="A31" s="117" t="s">
        <v>2627</v>
      </c>
      <c r="B31" s="3">
        <v>1</v>
      </c>
    </row>
    <row r="32" spans="1:2" ht="15">
      <c r="A32" s="118" t="s">
        <v>2628</v>
      </c>
      <c r="B32" s="3">
        <v>1</v>
      </c>
    </row>
    <row r="33" spans="1:2" ht="15">
      <c r="A33" s="119" t="s">
        <v>2629</v>
      </c>
      <c r="B33" s="3">
        <v>1</v>
      </c>
    </row>
    <row r="34" spans="1:2" ht="15">
      <c r="A34" s="117" t="s">
        <v>2630</v>
      </c>
      <c r="B34" s="3">
        <v>171</v>
      </c>
    </row>
    <row r="35" spans="1:2" ht="15">
      <c r="A35" s="118" t="s">
        <v>2631</v>
      </c>
      <c r="B35" s="3">
        <v>1</v>
      </c>
    </row>
    <row r="36" spans="1:2" ht="15">
      <c r="A36" s="119" t="s">
        <v>2632</v>
      </c>
      <c r="B36" s="3">
        <v>1</v>
      </c>
    </row>
    <row r="37" spans="1:2" ht="15">
      <c r="A37" s="118" t="s">
        <v>2633</v>
      </c>
      <c r="B37" s="3">
        <v>170</v>
      </c>
    </row>
    <row r="38" spans="1:2" ht="15">
      <c r="A38" s="119" t="s">
        <v>2634</v>
      </c>
      <c r="B38" s="3">
        <v>1</v>
      </c>
    </row>
    <row r="39" spans="1:2" ht="15">
      <c r="A39" s="119" t="s">
        <v>2635</v>
      </c>
      <c r="B39" s="3">
        <v>1</v>
      </c>
    </row>
    <row r="40" spans="1:2" ht="15">
      <c r="A40" s="119" t="s">
        <v>2636</v>
      </c>
      <c r="B40" s="3">
        <v>2</v>
      </c>
    </row>
    <row r="41" spans="1:2" ht="15">
      <c r="A41" s="119" t="s">
        <v>2637</v>
      </c>
      <c r="B41" s="3">
        <v>8</v>
      </c>
    </row>
    <row r="42" spans="1:2" ht="15">
      <c r="A42" s="119" t="s">
        <v>2638</v>
      </c>
      <c r="B42" s="3">
        <v>21</v>
      </c>
    </row>
    <row r="43" spans="1:2" ht="15">
      <c r="A43" s="119" t="s">
        <v>2639</v>
      </c>
      <c r="B43" s="3">
        <v>17</v>
      </c>
    </row>
    <row r="44" spans="1:2" ht="15">
      <c r="A44" s="119" t="s">
        <v>2640</v>
      </c>
      <c r="B44" s="3">
        <v>15</v>
      </c>
    </row>
    <row r="45" spans="1:2" ht="15">
      <c r="A45" s="119" t="s">
        <v>2641</v>
      </c>
      <c r="B45" s="3">
        <v>10</v>
      </c>
    </row>
    <row r="46" spans="1:2" ht="15">
      <c r="A46" s="119" t="s">
        <v>2642</v>
      </c>
      <c r="B46" s="3">
        <v>52</v>
      </c>
    </row>
    <row r="47" spans="1:2" ht="15">
      <c r="A47" s="119" t="s">
        <v>2643</v>
      </c>
      <c r="B47" s="3">
        <v>23</v>
      </c>
    </row>
    <row r="48" spans="1:2" ht="15">
      <c r="A48" s="119" t="s">
        <v>2644</v>
      </c>
      <c r="B48" s="3">
        <v>10</v>
      </c>
    </row>
    <row r="49" spans="1:2" ht="15">
      <c r="A49" s="119" t="s">
        <v>2645</v>
      </c>
      <c r="B49" s="3">
        <v>4</v>
      </c>
    </row>
    <row r="50" spans="1:2" ht="15">
      <c r="A50" s="119" t="s">
        <v>2646</v>
      </c>
      <c r="B50" s="3">
        <v>6</v>
      </c>
    </row>
    <row r="51" spans="1:2" ht="15">
      <c r="A51" s="117" t="s">
        <v>2621</v>
      </c>
      <c r="B51" s="3">
        <v>174</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6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908</v>
      </c>
      <c r="AE2" s="13" t="s">
        <v>909</v>
      </c>
      <c r="AF2" s="13" t="s">
        <v>910</v>
      </c>
      <c r="AG2" s="13" t="s">
        <v>911</v>
      </c>
      <c r="AH2" s="13" t="s">
        <v>912</v>
      </c>
      <c r="AI2" s="13" t="s">
        <v>913</v>
      </c>
      <c r="AJ2" s="13" t="s">
        <v>914</v>
      </c>
      <c r="AK2" s="13" t="s">
        <v>915</v>
      </c>
      <c r="AL2" s="13" t="s">
        <v>916</v>
      </c>
      <c r="AM2" s="13" t="s">
        <v>917</v>
      </c>
      <c r="AN2" s="13" t="s">
        <v>918</v>
      </c>
      <c r="AO2" s="13" t="s">
        <v>919</v>
      </c>
      <c r="AP2" s="13" t="s">
        <v>920</v>
      </c>
      <c r="AQ2" s="13" t="s">
        <v>921</v>
      </c>
      <c r="AR2" s="13" t="s">
        <v>922</v>
      </c>
      <c r="AS2" s="13" t="s">
        <v>923</v>
      </c>
      <c r="AT2" s="13" t="s">
        <v>196</v>
      </c>
      <c r="AU2" s="13" t="s">
        <v>924</v>
      </c>
      <c r="AV2" s="13" t="s">
        <v>925</v>
      </c>
      <c r="AW2" s="13" t="s">
        <v>926</v>
      </c>
      <c r="AX2" s="13" t="s">
        <v>927</v>
      </c>
      <c r="AY2" s="13" t="s">
        <v>928</v>
      </c>
      <c r="AZ2" s="13" t="s">
        <v>929</v>
      </c>
      <c r="BA2" s="13" t="s">
        <v>1690</v>
      </c>
      <c r="BB2" s="111" t="s">
        <v>2098</v>
      </c>
      <c r="BC2" s="111" t="s">
        <v>2099</v>
      </c>
      <c r="BD2" s="111" t="s">
        <v>2100</v>
      </c>
      <c r="BE2" s="111" t="s">
        <v>2101</v>
      </c>
      <c r="BF2" s="111" t="s">
        <v>2102</v>
      </c>
      <c r="BG2" s="111" t="s">
        <v>2103</v>
      </c>
      <c r="BH2" s="111" t="s">
        <v>2104</v>
      </c>
      <c r="BI2" s="111" t="s">
        <v>2105</v>
      </c>
      <c r="BJ2" s="111" t="s">
        <v>2107</v>
      </c>
      <c r="BK2" s="111" t="s">
        <v>2482</v>
      </c>
      <c r="BL2" s="111" t="s">
        <v>2491</v>
      </c>
      <c r="BM2" s="111" t="s">
        <v>2492</v>
      </c>
      <c r="BN2" s="111" t="s">
        <v>2496</v>
      </c>
      <c r="BO2" s="111" t="s">
        <v>2497</v>
      </c>
      <c r="BP2" s="111" t="s">
        <v>2508</v>
      </c>
      <c r="BQ2" s="111" t="s">
        <v>2519</v>
      </c>
      <c r="BR2" s="111" t="s">
        <v>2567</v>
      </c>
      <c r="BS2" s="111" t="s">
        <v>2579</v>
      </c>
      <c r="BT2" s="111" t="s">
        <v>2613</v>
      </c>
      <c r="BU2" s="3"/>
      <c r="BV2" s="3"/>
    </row>
    <row r="3" spans="1:74" ht="15" customHeight="1">
      <c r="A3" s="65" t="s">
        <v>216</v>
      </c>
      <c r="B3" s="66"/>
      <c r="C3" s="66"/>
      <c r="D3" s="67">
        <v>100</v>
      </c>
      <c r="E3" s="69"/>
      <c r="F3" s="103" t="str">
        <f>HYPERLINK("https://pbs.twimg.com/profile_images/1417924319259381760/z_bKq7yd_normal.jpg")</f>
        <v>https://pbs.twimg.com/profile_images/1417924319259381760/z_bKq7yd_normal.jpg</v>
      </c>
      <c r="G3" s="66"/>
      <c r="H3" s="70" t="s">
        <v>216</v>
      </c>
      <c r="I3" s="71"/>
      <c r="J3" s="71" t="s">
        <v>159</v>
      </c>
      <c r="K3" s="70" t="s">
        <v>1624</v>
      </c>
      <c r="L3" s="74">
        <v>1</v>
      </c>
      <c r="M3" s="75">
        <v>5753.61474609375</v>
      </c>
      <c r="N3" s="75">
        <v>7039.48828125</v>
      </c>
      <c r="O3" s="76"/>
      <c r="P3" s="77"/>
      <c r="Q3" s="77"/>
      <c r="R3" s="49"/>
      <c r="S3" s="49">
        <v>0</v>
      </c>
      <c r="T3" s="49">
        <v>5</v>
      </c>
      <c r="U3" s="50">
        <v>0</v>
      </c>
      <c r="V3" s="50">
        <v>0.142857</v>
      </c>
      <c r="W3" s="50">
        <v>0</v>
      </c>
      <c r="X3" s="50">
        <v>0.871198</v>
      </c>
      <c r="Y3" s="50">
        <v>0.8</v>
      </c>
      <c r="Z3" s="50">
        <v>0</v>
      </c>
      <c r="AA3" s="72">
        <v>3</v>
      </c>
      <c r="AB3" s="72"/>
      <c r="AC3" s="73"/>
      <c r="AD3" s="79" t="s">
        <v>1092</v>
      </c>
      <c r="AE3" s="84" t="s">
        <v>1250</v>
      </c>
      <c r="AF3" s="79">
        <v>2415</v>
      </c>
      <c r="AG3" s="79">
        <v>830</v>
      </c>
      <c r="AH3" s="79">
        <v>24439</v>
      </c>
      <c r="AI3" s="79">
        <v>1083</v>
      </c>
      <c r="AJ3" s="79"/>
      <c r="AK3" s="79" t="s">
        <v>1389</v>
      </c>
      <c r="AL3" s="79"/>
      <c r="AM3" s="79"/>
      <c r="AN3" s="79"/>
      <c r="AO3" s="81">
        <v>41835.725</v>
      </c>
      <c r="AP3" s="86" t="str">
        <f>HYPERLINK("https://pbs.twimg.com/profile_banners/2648808085/1626894477")</f>
        <v>https://pbs.twimg.com/profile_banners/2648808085/1626894477</v>
      </c>
      <c r="AQ3" s="79" t="b">
        <v>0</v>
      </c>
      <c r="AR3" s="79" t="b">
        <v>0</v>
      </c>
      <c r="AS3" s="79" t="b">
        <v>1</v>
      </c>
      <c r="AT3" s="79"/>
      <c r="AU3" s="79">
        <v>0</v>
      </c>
      <c r="AV3" s="86" t="str">
        <f>HYPERLINK("https://abs.twimg.com/images/themes/theme1/bg.png")</f>
        <v>https://abs.twimg.com/images/themes/theme1/bg.png</v>
      </c>
      <c r="AW3" s="79" t="b">
        <v>0</v>
      </c>
      <c r="AX3" s="79" t="s">
        <v>1458</v>
      </c>
      <c r="AY3" s="86" t="str">
        <f>HYPERLINK("https://twitter.com/xxiperiodismo")</f>
        <v>https://twitter.com/xxiperiodismo</v>
      </c>
      <c r="AZ3" s="79" t="s">
        <v>66</v>
      </c>
      <c r="BA3" s="79" t="str">
        <f>REPLACE(INDEX(GroupVertices[Group],MATCH(Vertices[[#This Row],[Vertex]],GroupVertices[Vertex],0)),1,1,"")</f>
        <v>6</v>
      </c>
      <c r="BB3" s="49">
        <v>0</v>
      </c>
      <c r="BC3" s="50">
        <v>0</v>
      </c>
      <c r="BD3" s="49">
        <v>0</v>
      </c>
      <c r="BE3" s="50">
        <v>0</v>
      </c>
      <c r="BF3" s="49">
        <v>0</v>
      </c>
      <c r="BG3" s="50">
        <v>0</v>
      </c>
      <c r="BH3" s="49">
        <v>24</v>
      </c>
      <c r="BI3" s="50">
        <v>100</v>
      </c>
      <c r="BJ3" s="49">
        <v>24</v>
      </c>
      <c r="BK3" s="49" t="s">
        <v>448</v>
      </c>
      <c r="BL3" s="49" t="s">
        <v>448</v>
      </c>
      <c r="BM3" s="49" t="s">
        <v>2215</v>
      </c>
      <c r="BN3" s="49" t="s">
        <v>2215</v>
      </c>
      <c r="BO3" s="49" t="s">
        <v>467</v>
      </c>
      <c r="BP3" s="49" t="s">
        <v>467</v>
      </c>
      <c r="BQ3" s="115" t="s">
        <v>2282</v>
      </c>
      <c r="BR3" s="115" t="s">
        <v>2282</v>
      </c>
      <c r="BS3" s="115" t="s">
        <v>2396</v>
      </c>
      <c r="BT3" s="115" t="s">
        <v>2396</v>
      </c>
      <c r="BU3" s="3"/>
      <c r="BV3" s="3"/>
    </row>
    <row r="4" spans="1:77" ht="15">
      <c r="A4" s="65" t="s">
        <v>221</v>
      </c>
      <c r="B4" s="66"/>
      <c r="C4" s="66"/>
      <c r="D4" s="67">
        <v>102.48275862068965</v>
      </c>
      <c r="E4" s="69"/>
      <c r="F4" s="103" t="str">
        <f>HYPERLINK("https://pbs.twimg.com/profile_images/1305640716958220289/g_FQMmzE_normal.jpg")</f>
        <v>https://pbs.twimg.com/profile_images/1305640716958220289/g_FQMmzE_normal.jpg</v>
      </c>
      <c r="G4" s="66"/>
      <c r="H4" s="70" t="s">
        <v>221</v>
      </c>
      <c r="I4" s="71"/>
      <c r="J4" s="71" t="s">
        <v>159</v>
      </c>
      <c r="K4" s="70" t="s">
        <v>1459</v>
      </c>
      <c r="L4" s="74">
        <v>4.173968253968255</v>
      </c>
      <c r="M4" s="75">
        <v>4331.4833984375</v>
      </c>
      <c r="N4" s="75">
        <v>7172.97607421875</v>
      </c>
      <c r="O4" s="76"/>
      <c r="P4" s="77"/>
      <c r="Q4" s="77"/>
      <c r="R4" s="89"/>
      <c r="S4" s="49">
        <v>5</v>
      </c>
      <c r="T4" s="49">
        <v>4</v>
      </c>
      <c r="U4" s="50">
        <v>0.4</v>
      </c>
      <c r="V4" s="50">
        <v>0.166667</v>
      </c>
      <c r="W4" s="50">
        <v>0</v>
      </c>
      <c r="X4" s="50">
        <v>1.022544</v>
      </c>
      <c r="Y4" s="50">
        <v>0.5666666666666667</v>
      </c>
      <c r="Z4" s="50">
        <v>0.5</v>
      </c>
      <c r="AA4" s="72">
        <v>4</v>
      </c>
      <c r="AB4" s="72"/>
      <c r="AC4" s="73"/>
      <c r="AD4" s="79" t="s">
        <v>930</v>
      </c>
      <c r="AE4" s="84" t="s">
        <v>1093</v>
      </c>
      <c r="AF4" s="79">
        <v>1544</v>
      </c>
      <c r="AG4" s="79">
        <v>6637</v>
      </c>
      <c r="AH4" s="79">
        <v>13640</v>
      </c>
      <c r="AI4" s="79">
        <v>82</v>
      </c>
      <c r="AJ4" s="79"/>
      <c r="AK4" s="79" t="s">
        <v>1251</v>
      </c>
      <c r="AL4" s="79" t="s">
        <v>1390</v>
      </c>
      <c r="AM4" s="86" t="str">
        <f>HYPERLINK("https://t.co/v2dEeaDi6S")</f>
        <v>https://t.co/v2dEeaDi6S</v>
      </c>
      <c r="AN4" s="79"/>
      <c r="AO4" s="81">
        <v>41139.64712962963</v>
      </c>
      <c r="AP4" s="86" t="str">
        <f>HYPERLINK("https://pbs.twimg.com/profile_banners/765899462/1381722459")</f>
        <v>https://pbs.twimg.com/profile_banners/765899462/1381722459</v>
      </c>
      <c r="AQ4" s="79" t="b">
        <v>1</v>
      </c>
      <c r="AR4" s="79" t="b">
        <v>0</v>
      </c>
      <c r="AS4" s="79" t="b">
        <v>0</v>
      </c>
      <c r="AT4" s="79"/>
      <c r="AU4" s="79">
        <v>83</v>
      </c>
      <c r="AV4" s="86" t="str">
        <f>HYPERLINK("https://abs.twimg.com/images/themes/theme1/bg.png")</f>
        <v>https://abs.twimg.com/images/themes/theme1/bg.png</v>
      </c>
      <c r="AW4" s="79" t="b">
        <v>0</v>
      </c>
      <c r="AX4" s="79" t="s">
        <v>1458</v>
      </c>
      <c r="AY4" s="86" t="str">
        <f>HYPERLINK("https://twitter.com/rravelo27")</f>
        <v>https://twitter.com/rravelo27</v>
      </c>
      <c r="AZ4" s="79" t="s">
        <v>66</v>
      </c>
      <c r="BA4" s="79" t="str">
        <f>REPLACE(INDEX(GroupVertices[Group],MATCH(Vertices[[#This Row],[Vertex]],GroupVertices[Vertex],0)),1,1,"")</f>
        <v>6</v>
      </c>
      <c r="BB4" s="49">
        <v>0</v>
      </c>
      <c r="BC4" s="50">
        <v>0</v>
      </c>
      <c r="BD4" s="49">
        <v>0</v>
      </c>
      <c r="BE4" s="50">
        <v>0</v>
      </c>
      <c r="BF4" s="49">
        <v>0</v>
      </c>
      <c r="BG4" s="50">
        <v>0</v>
      </c>
      <c r="BH4" s="49">
        <v>24</v>
      </c>
      <c r="BI4" s="50">
        <v>100</v>
      </c>
      <c r="BJ4" s="49">
        <v>24</v>
      </c>
      <c r="BK4" s="49" t="s">
        <v>448</v>
      </c>
      <c r="BL4" s="49" t="s">
        <v>448</v>
      </c>
      <c r="BM4" s="49" t="s">
        <v>2215</v>
      </c>
      <c r="BN4" s="49" t="s">
        <v>2215</v>
      </c>
      <c r="BO4" s="49" t="s">
        <v>467</v>
      </c>
      <c r="BP4" s="49" t="s">
        <v>467</v>
      </c>
      <c r="BQ4" s="115" t="s">
        <v>2282</v>
      </c>
      <c r="BR4" s="115" t="s">
        <v>2282</v>
      </c>
      <c r="BS4" s="115" t="s">
        <v>2396</v>
      </c>
      <c r="BT4" s="115" t="s">
        <v>2396</v>
      </c>
      <c r="BU4" s="2"/>
      <c r="BV4" s="3"/>
      <c r="BW4" s="3"/>
      <c r="BX4" s="3"/>
      <c r="BY4" s="3"/>
    </row>
    <row r="5" spans="1:77" ht="15">
      <c r="A5" s="65" t="s">
        <v>358</v>
      </c>
      <c r="B5" s="66"/>
      <c r="C5" s="66"/>
      <c r="D5" s="67">
        <v>102.48275862068965</v>
      </c>
      <c r="E5" s="69"/>
      <c r="F5" s="103" t="str">
        <f>HYPERLINK("https://pbs.twimg.com/profile_images/812015282738692096/zzeog0CC_normal.jpg")</f>
        <v>https://pbs.twimg.com/profile_images/812015282738692096/zzeog0CC_normal.jpg</v>
      </c>
      <c r="G5" s="66"/>
      <c r="H5" s="70" t="s">
        <v>358</v>
      </c>
      <c r="I5" s="71"/>
      <c r="J5" s="71" t="s">
        <v>159</v>
      </c>
      <c r="K5" s="70" t="s">
        <v>1460</v>
      </c>
      <c r="L5" s="74">
        <v>4.173968253968255</v>
      </c>
      <c r="M5" s="75">
        <v>5251.97119140625</v>
      </c>
      <c r="N5" s="75">
        <v>5980.41455078125</v>
      </c>
      <c r="O5" s="76"/>
      <c r="P5" s="77"/>
      <c r="Q5" s="77"/>
      <c r="R5" s="89"/>
      <c r="S5" s="49">
        <v>6</v>
      </c>
      <c r="T5" s="49">
        <v>0</v>
      </c>
      <c r="U5" s="50">
        <v>0.4</v>
      </c>
      <c r="V5" s="50">
        <v>0.166667</v>
      </c>
      <c r="W5" s="50">
        <v>0</v>
      </c>
      <c r="X5" s="50">
        <v>1.022544</v>
      </c>
      <c r="Y5" s="50">
        <v>0.6666666666666666</v>
      </c>
      <c r="Z5" s="50">
        <v>0</v>
      </c>
      <c r="AA5" s="72">
        <v>5</v>
      </c>
      <c r="AB5" s="72"/>
      <c r="AC5" s="73"/>
      <c r="AD5" s="79" t="s">
        <v>931</v>
      </c>
      <c r="AE5" s="84" t="s">
        <v>1094</v>
      </c>
      <c r="AF5" s="79">
        <v>54</v>
      </c>
      <c r="AG5" s="79">
        <v>800</v>
      </c>
      <c r="AH5" s="79">
        <v>5</v>
      </c>
      <c r="AI5" s="79">
        <v>1</v>
      </c>
      <c r="AJ5" s="79"/>
      <c r="AK5" s="79" t="s">
        <v>1252</v>
      </c>
      <c r="AL5" s="79"/>
      <c r="AM5" s="79"/>
      <c r="AN5" s="79"/>
      <c r="AO5" s="81">
        <v>42726.78524305556</v>
      </c>
      <c r="AP5" s="79"/>
      <c r="AQ5" s="79" t="b">
        <v>1</v>
      </c>
      <c r="AR5" s="79" t="b">
        <v>0</v>
      </c>
      <c r="AS5" s="79" t="b">
        <v>0</v>
      </c>
      <c r="AT5" s="79"/>
      <c r="AU5" s="79">
        <v>12</v>
      </c>
      <c r="AV5" s="79"/>
      <c r="AW5" s="79" t="b">
        <v>0</v>
      </c>
      <c r="AX5" s="79" t="s">
        <v>1458</v>
      </c>
      <c r="AY5" s="86" t="str">
        <f>HYPERLINK("https://twitter.com/roncoblu")</f>
        <v>https://twitter.com/roncoblu</v>
      </c>
      <c r="AZ5" s="79" t="s">
        <v>65</v>
      </c>
      <c r="BA5" s="79" t="str">
        <f>REPLACE(INDEX(GroupVertices[Group],MATCH(Vertices[[#This Row],[Vertex]],GroupVertices[Vertex],0)),1,1,"")</f>
        <v>6</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220</v>
      </c>
      <c r="B6" s="66"/>
      <c r="C6" s="66"/>
      <c r="D6" s="67">
        <v>102.48275862068965</v>
      </c>
      <c r="E6" s="69"/>
      <c r="F6" s="103" t="str">
        <f>HYPERLINK("https://pbs.twimg.com/profile_images/1150771818359169024/8PJXeiLq_normal.png")</f>
        <v>https://pbs.twimg.com/profile_images/1150771818359169024/8PJXeiLq_normal.png</v>
      </c>
      <c r="G6" s="66"/>
      <c r="H6" s="70" t="s">
        <v>220</v>
      </c>
      <c r="I6" s="71"/>
      <c r="J6" s="71" t="s">
        <v>159</v>
      </c>
      <c r="K6" s="70" t="s">
        <v>1461</v>
      </c>
      <c r="L6" s="74">
        <v>4.173968253968255</v>
      </c>
      <c r="M6" s="75">
        <v>4610.68359375</v>
      </c>
      <c r="N6" s="75">
        <v>5986.44091796875</v>
      </c>
      <c r="O6" s="76"/>
      <c r="P6" s="77"/>
      <c r="Q6" s="77"/>
      <c r="R6" s="89"/>
      <c r="S6" s="49">
        <v>5</v>
      </c>
      <c r="T6" s="49">
        <v>4</v>
      </c>
      <c r="U6" s="50">
        <v>0.4</v>
      </c>
      <c r="V6" s="50">
        <v>0.166667</v>
      </c>
      <c r="W6" s="50">
        <v>0</v>
      </c>
      <c r="X6" s="50">
        <v>1.022544</v>
      </c>
      <c r="Y6" s="50">
        <v>0.5666666666666667</v>
      </c>
      <c r="Z6" s="50">
        <v>0.5</v>
      </c>
      <c r="AA6" s="72">
        <v>6</v>
      </c>
      <c r="AB6" s="72"/>
      <c r="AC6" s="73"/>
      <c r="AD6" s="79" t="s">
        <v>932</v>
      </c>
      <c r="AE6" s="84" t="s">
        <v>1095</v>
      </c>
      <c r="AF6" s="79">
        <v>538</v>
      </c>
      <c r="AG6" s="79">
        <v>5573</v>
      </c>
      <c r="AH6" s="79">
        <v>22273</v>
      </c>
      <c r="AI6" s="79">
        <v>21651</v>
      </c>
      <c r="AJ6" s="79"/>
      <c r="AK6" s="79" t="s">
        <v>1253</v>
      </c>
      <c r="AL6" s="79" t="s">
        <v>1391</v>
      </c>
      <c r="AM6" s="86" t="str">
        <f>HYPERLINK("https://t.co/2iTTdC5LDC")</f>
        <v>https://t.co/2iTTdC5LDC</v>
      </c>
      <c r="AN6" s="79"/>
      <c r="AO6" s="81">
        <v>42366.0278587963</v>
      </c>
      <c r="AP6" s="86" t="str">
        <f>HYPERLINK("https://pbs.twimg.com/profile_banners/4664304554/1563201395")</f>
        <v>https://pbs.twimg.com/profile_banners/4664304554/1563201395</v>
      </c>
      <c r="AQ6" s="79" t="b">
        <v>0</v>
      </c>
      <c r="AR6" s="79" t="b">
        <v>0</v>
      </c>
      <c r="AS6" s="79" t="b">
        <v>0</v>
      </c>
      <c r="AT6" s="79"/>
      <c r="AU6" s="79">
        <v>70</v>
      </c>
      <c r="AV6" s="86" t="str">
        <f>HYPERLINK("https://abs.twimg.com/images/themes/theme1/bg.png")</f>
        <v>https://abs.twimg.com/images/themes/theme1/bg.png</v>
      </c>
      <c r="AW6" s="79" t="b">
        <v>0</v>
      </c>
      <c r="AX6" s="79" t="s">
        <v>1458</v>
      </c>
      <c r="AY6" s="86" t="str">
        <f>HYPERLINK("https://twitter.com/gcorreacabrera")</f>
        <v>https://twitter.com/gcorreacabrera</v>
      </c>
      <c r="AZ6" s="79" t="s">
        <v>66</v>
      </c>
      <c r="BA6" s="79" t="str">
        <f>REPLACE(INDEX(GroupVertices[Group],MATCH(Vertices[[#This Row],[Vertex]],GroupVertices[Vertex],0)),1,1,"")</f>
        <v>6</v>
      </c>
      <c r="BB6" s="49">
        <v>0</v>
      </c>
      <c r="BC6" s="50">
        <v>0</v>
      </c>
      <c r="BD6" s="49">
        <v>0</v>
      </c>
      <c r="BE6" s="50">
        <v>0</v>
      </c>
      <c r="BF6" s="49">
        <v>0</v>
      </c>
      <c r="BG6" s="50">
        <v>0</v>
      </c>
      <c r="BH6" s="49">
        <v>24</v>
      </c>
      <c r="BI6" s="50">
        <v>100</v>
      </c>
      <c r="BJ6" s="49">
        <v>24</v>
      </c>
      <c r="BK6" s="49" t="s">
        <v>448</v>
      </c>
      <c r="BL6" s="49" t="s">
        <v>448</v>
      </c>
      <c r="BM6" s="49" t="s">
        <v>2215</v>
      </c>
      <c r="BN6" s="49" t="s">
        <v>2215</v>
      </c>
      <c r="BO6" s="49" t="s">
        <v>467</v>
      </c>
      <c r="BP6" s="49" t="s">
        <v>467</v>
      </c>
      <c r="BQ6" s="115" t="s">
        <v>2282</v>
      </c>
      <c r="BR6" s="115" t="s">
        <v>2282</v>
      </c>
      <c r="BS6" s="115" t="s">
        <v>2396</v>
      </c>
      <c r="BT6" s="115" t="s">
        <v>2396</v>
      </c>
      <c r="BU6" s="2"/>
      <c r="BV6" s="3"/>
      <c r="BW6" s="3"/>
      <c r="BX6" s="3"/>
      <c r="BY6" s="3"/>
    </row>
    <row r="7" spans="1:77" ht="15">
      <c r="A7" s="65" t="s">
        <v>219</v>
      </c>
      <c r="B7" s="66"/>
      <c r="C7" s="66"/>
      <c r="D7" s="67">
        <v>102.48275862068965</v>
      </c>
      <c r="E7" s="69"/>
      <c r="F7" s="103" t="str">
        <f>HYPERLINK("https://pbs.twimg.com/profile_images/426006258089340928/4HTqjiTI_normal.png")</f>
        <v>https://pbs.twimg.com/profile_images/426006258089340928/4HTqjiTI_normal.png</v>
      </c>
      <c r="G7" s="66"/>
      <c r="H7" s="70" t="s">
        <v>219</v>
      </c>
      <c r="I7" s="71"/>
      <c r="J7" s="71" t="s">
        <v>159</v>
      </c>
      <c r="K7" s="70" t="s">
        <v>1462</v>
      </c>
      <c r="L7" s="74">
        <v>4.173968253968255</v>
      </c>
      <c r="M7" s="75">
        <v>5056.95751953125</v>
      </c>
      <c r="N7" s="75">
        <v>6741.08154296875</v>
      </c>
      <c r="O7" s="76"/>
      <c r="P7" s="77"/>
      <c r="Q7" s="77"/>
      <c r="R7" s="89"/>
      <c r="S7" s="49">
        <v>5</v>
      </c>
      <c r="T7" s="49">
        <v>4</v>
      </c>
      <c r="U7" s="50">
        <v>0.4</v>
      </c>
      <c r="V7" s="50">
        <v>0.166667</v>
      </c>
      <c r="W7" s="50">
        <v>0</v>
      </c>
      <c r="X7" s="50">
        <v>1.022544</v>
      </c>
      <c r="Y7" s="50">
        <v>0.5666666666666667</v>
      </c>
      <c r="Z7" s="50">
        <v>0.5</v>
      </c>
      <c r="AA7" s="72">
        <v>7</v>
      </c>
      <c r="AB7" s="72"/>
      <c r="AC7" s="73"/>
      <c r="AD7" s="79" t="s">
        <v>933</v>
      </c>
      <c r="AE7" s="84" t="s">
        <v>1096</v>
      </c>
      <c r="AF7" s="79">
        <v>31552</v>
      </c>
      <c r="AG7" s="79">
        <v>756517</v>
      </c>
      <c r="AH7" s="79">
        <v>277603</v>
      </c>
      <c r="AI7" s="79">
        <v>1148</v>
      </c>
      <c r="AJ7" s="79"/>
      <c r="AK7" s="79" t="s">
        <v>1254</v>
      </c>
      <c r="AL7" s="79" t="s">
        <v>1392</v>
      </c>
      <c r="AM7" s="86" t="str">
        <f>HYPERLINK("https://t.co/z2aPgW7d6L")</f>
        <v>https://t.co/z2aPgW7d6L</v>
      </c>
      <c r="AN7" s="79"/>
      <c r="AO7" s="81">
        <v>39994.63952546296</v>
      </c>
      <c r="AP7" s="86" t="str">
        <f>HYPERLINK("https://pbs.twimg.com/profile_banners/52422182/1495743568")</f>
        <v>https://pbs.twimg.com/profile_banners/52422182/1495743568</v>
      </c>
      <c r="AQ7" s="79" t="b">
        <v>0</v>
      </c>
      <c r="AR7" s="79" t="b">
        <v>0</v>
      </c>
      <c r="AS7" s="79" t="b">
        <v>0</v>
      </c>
      <c r="AT7" s="79"/>
      <c r="AU7" s="79">
        <v>3983</v>
      </c>
      <c r="AV7" s="86" t="str">
        <f>HYPERLINK("https://abs.twimg.com/images/themes/theme18/bg.gif")</f>
        <v>https://abs.twimg.com/images/themes/theme18/bg.gif</v>
      </c>
      <c r="AW7" s="79" t="b">
        <v>0</v>
      </c>
      <c r="AX7" s="79" t="s">
        <v>1458</v>
      </c>
      <c r="AY7" s="86" t="str">
        <f>HYPERLINK("https://twitter.com/julioastillero")</f>
        <v>https://twitter.com/julioastillero</v>
      </c>
      <c r="AZ7" s="79" t="s">
        <v>66</v>
      </c>
      <c r="BA7" s="79" t="str">
        <f>REPLACE(INDEX(GroupVertices[Group],MATCH(Vertices[[#This Row],[Vertex]],GroupVertices[Vertex],0)),1,1,"")</f>
        <v>6</v>
      </c>
      <c r="BB7" s="49">
        <v>0</v>
      </c>
      <c r="BC7" s="50">
        <v>0</v>
      </c>
      <c r="BD7" s="49">
        <v>0</v>
      </c>
      <c r="BE7" s="50">
        <v>0</v>
      </c>
      <c r="BF7" s="49">
        <v>0</v>
      </c>
      <c r="BG7" s="50">
        <v>0</v>
      </c>
      <c r="BH7" s="49">
        <v>24</v>
      </c>
      <c r="BI7" s="50">
        <v>100</v>
      </c>
      <c r="BJ7" s="49">
        <v>24</v>
      </c>
      <c r="BK7" s="49" t="s">
        <v>448</v>
      </c>
      <c r="BL7" s="49" t="s">
        <v>448</v>
      </c>
      <c r="BM7" s="49" t="s">
        <v>2215</v>
      </c>
      <c r="BN7" s="49" t="s">
        <v>2215</v>
      </c>
      <c r="BO7" s="49" t="s">
        <v>467</v>
      </c>
      <c r="BP7" s="49" t="s">
        <v>467</v>
      </c>
      <c r="BQ7" s="115" t="s">
        <v>2282</v>
      </c>
      <c r="BR7" s="115" t="s">
        <v>2282</v>
      </c>
      <c r="BS7" s="115" t="s">
        <v>2396</v>
      </c>
      <c r="BT7" s="115" t="s">
        <v>2396</v>
      </c>
      <c r="BU7" s="2"/>
      <c r="BV7" s="3"/>
      <c r="BW7" s="3"/>
      <c r="BX7" s="3"/>
      <c r="BY7" s="3"/>
    </row>
    <row r="8" spans="1:77" ht="15">
      <c r="A8" s="65" t="s">
        <v>222</v>
      </c>
      <c r="B8" s="66"/>
      <c r="C8" s="66"/>
      <c r="D8" s="67">
        <v>102.48275862068965</v>
      </c>
      <c r="E8" s="69"/>
      <c r="F8" s="103" t="str">
        <f>HYPERLINK("https://pbs.twimg.com/profile_images/496569788/bici07_normal.gif")</f>
        <v>https://pbs.twimg.com/profile_images/496569788/bici07_normal.gif</v>
      </c>
      <c r="G8" s="66"/>
      <c r="H8" s="70" t="s">
        <v>222</v>
      </c>
      <c r="I8" s="71"/>
      <c r="J8" s="71" t="s">
        <v>159</v>
      </c>
      <c r="K8" s="70" t="s">
        <v>1463</v>
      </c>
      <c r="L8" s="74">
        <v>4.173968253968255</v>
      </c>
      <c r="M8" s="75">
        <v>4886.66845703125</v>
      </c>
      <c r="N8" s="75">
        <v>7530.892578125</v>
      </c>
      <c r="O8" s="76"/>
      <c r="P8" s="77"/>
      <c r="Q8" s="77"/>
      <c r="R8" s="89"/>
      <c r="S8" s="49">
        <v>6</v>
      </c>
      <c r="T8" s="49">
        <v>5</v>
      </c>
      <c r="U8" s="50">
        <v>0.4</v>
      </c>
      <c r="V8" s="50">
        <v>0.166667</v>
      </c>
      <c r="W8" s="50">
        <v>0</v>
      </c>
      <c r="X8" s="50">
        <v>1.167405</v>
      </c>
      <c r="Y8" s="50">
        <v>0.5666666666666667</v>
      </c>
      <c r="Z8" s="50">
        <v>0.5</v>
      </c>
      <c r="AA8" s="72">
        <v>8</v>
      </c>
      <c r="AB8" s="72"/>
      <c r="AC8" s="73"/>
      <c r="AD8" s="79" t="s">
        <v>934</v>
      </c>
      <c r="AE8" s="84" t="s">
        <v>1097</v>
      </c>
      <c r="AF8" s="79">
        <v>2281</v>
      </c>
      <c r="AG8" s="79">
        <v>5973</v>
      </c>
      <c r="AH8" s="79">
        <v>195789</v>
      </c>
      <c r="AI8" s="79">
        <v>7469</v>
      </c>
      <c r="AJ8" s="79"/>
      <c r="AK8" s="79" t="s">
        <v>1255</v>
      </c>
      <c r="AL8" s="79" t="s">
        <v>1393</v>
      </c>
      <c r="AM8" s="86" t="str">
        <f>HYPERLINK("https://t.co/hobpxw8Qvb")</f>
        <v>https://t.co/hobpxw8Qvb</v>
      </c>
      <c r="AN8" s="79"/>
      <c r="AO8" s="81">
        <v>40108.70866898148</v>
      </c>
      <c r="AP8" s="86" t="str">
        <f>HYPERLINK("https://pbs.twimg.com/profile_banners/84370502/1459133824")</f>
        <v>https://pbs.twimg.com/profile_banners/84370502/1459133824</v>
      </c>
      <c r="AQ8" s="79" t="b">
        <v>0</v>
      </c>
      <c r="AR8" s="79" t="b">
        <v>0</v>
      </c>
      <c r="AS8" s="79" t="b">
        <v>1</v>
      </c>
      <c r="AT8" s="79"/>
      <c r="AU8" s="79">
        <v>154</v>
      </c>
      <c r="AV8" s="86" t="str">
        <f>HYPERLINK("https://abs.twimg.com/images/themes/theme1/bg.png")</f>
        <v>https://abs.twimg.com/images/themes/theme1/bg.png</v>
      </c>
      <c r="AW8" s="79" t="b">
        <v>0</v>
      </c>
      <c r="AX8" s="79" t="s">
        <v>1458</v>
      </c>
      <c r="AY8" s="86" t="str">
        <f>HYPERLINK("https://twitter.com/comoleerenbici")</f>
        <v>https://twitter.com/comoleerenbici</v>
      </c>
      <c r="AZ8" s="79" t="s">
        <v>66</v>
      </c>
      <c r="BA8" s="79" t="str">
        <f>REPLACE(INDEX(GroupVertices[Group],MATCH(Vertices[[#This Row],[Vertex]],GroupVertices[Vertex],0)),1,1,"")</f>
        <v>6</v>
      </c>
      <c r="BB8" s="49">
        <v>0</v>
      </c>
      <c r="BC8" s="50">
        <v>0</v>
      </c>
      <c r="BD8" s="49">
        <v>0</v>
      </c>
      <c r="BE8" s="50">
        <v>0</v>
      </c>
      <c r="BF8" s="49">
        <v>0</v>
      </c>
      <c r="BG8" s="50">
        <v>0</v>
      </c>
      <c r="BH8" s="49">
        <v>48</v>
      </c>
      <c r="BI8" s="50">
        <v>100</v>
      </c>
      <c r="BJ8" s="49">
        <v>48</v>
      </c>
      <c r="BK8" s="49" t="s">
        <v>448</v>
      </c>
      <c r="BL8" s="49" t="s">
        <v>448</v>
      </c>
      <c r="BM8" s="49" t="s">
        <v>2215</v>
      </c>
      <c r="BN8" s="49" t="s">
        <v>2215</v>
      </c>
      <c r="BO8" s="49" t="s">
        <v>467</v>
      </c>
      <c r="BP8" s="49" t="s">
        <v>467</v>
      </c>
      <c r="BQ8" s="115" t="s">
        <v>2282</v>
      </c>
      <c r="BR8" s="115" t="s">
        <v>2282</v>
      </c>
      <c r="BS8" s="115" t="s">
        <v>2396</v>
      </c>
      <c r="BT8" s="115" t="s">
        <v>2396</v>
      </c>
      <c r="BU8" s="2"/>
      <c r="BV8" s="3"/>
      <c r="BW8" s="3"/>
      <c r="BX8" s="3"/>
      <c r="BY8" s="3"/>
    </row>
    <row r="9" spans="1:77" ht="15">
      <c r="A9" s="65" t="s">
        <v>217</v>
      </c>
      <c r="B9" s="66"/>
      <c r="C9" s="66"/>
      <c r="D9" s="67">
        <v>100</v>
      </c>
      <c r="E9" s="69"/>
      <c r="F9" s="103" t="str">
        <f>HYPERLINK("https://pbs.twimg.com/profile_images/1025447117211361280/7qBeMaiT_normal.jpg")</f>
        <v>https://pbs.twimg.com/profile_images/1025447117211361280/7qBeMaiT_normal.jpg</v>
      </c>
      <c r="G9" s="66"/>
      <c r="H9" s="70" t="s">
        <v>217</v>
      </c>
      <c r="I9" s="71"/>
      <c r="J9" s="71" t="s">
        <v>159</v>
      </c>
      <c r="K9" s="70" t="s">
        <v>1464</v>
      </c>
      <c r="L9" s="74">
        <v>1</v>
      </c>
      <c r="M9" s="75">
        <v>6326.18310546875</v>
      </c>
      <c r="N9" s="75">
        <v>2491.83935546875</v>
      </c>
      <c r="O9" s="76"/>
      <c r="P9" s="77"/>
      <c r="Q9" s="77"/>
      <c r="R9" s="89"/>
      <c r="S9" s="49">
        <v>1</v>
      </c>
      <c r="T9" s="49">
        <v>1</v>
      </c>
      <c r="U9" s="50">
        <v>0</v>
      </c>
      <c r="V9" s="50">
        <v>0.5</v>
      </c>
      <c r="W9" s="50">
        <v>0</v>
      </c>
      <c r="X9" s="50">
        <v>0.999997</v>
      </c>
      <c r="Y9" s="50">
        <v>0.5</v>
      </c>
      <c r="Z9" s="50">
        <v>0</v>
      </c>
      <c r="AA9" s="72">
        <v>9</v>
      </c>
      <c r="AB9" s="72"/>
      <c r="AC9" s="73"/>
      <c r="AD9" s="79" t="s">
        <v>935</v>
      </c>
      <c r="AE9" s="84" t="s">
        <v>1098</v>
      </c>
      <c r="AF9" s="79">
        <v>903</v>
      </c>
      <c r="AG9" s="79">
        <v>6731</v>
      </c>
      <c r="AH9" s="79">
        <v>2564</v>
      </c>
      <c r="AI9" s="79">
        <v>6571</v>
      </c>
      <c r="AJ9" s="79"/>
      <c r="AK9" s="79" t="s">
        <v>1256</v>
      </c>
      <c r="AL9" s="79" t="s">
        <v>1394</v>
      </c>
      <c r="AM9" s="86" t="str">
        <f>HYPERLINK("https://t.co/y7wZABVgJn")</f>
        <v>https://t.co/y7wZABVgJn</v>
      </c>
      <c r="AN9" s="79"/>
      <c r="AO9" s="81">
        <v>43120.88585648148</v>
      </c>
      <c r="AP9" s="86" t="str">
        <f>HYPERLINK("https://pbs.twimg.com/profile_banners/954824765449166848/1589353142")</f>
        <v>https://pbs.twimg.com/profile_banners/954824765449166848/1589353142</v>
      </c>
      <c r="AQ9" s="79" t="b">
        <v>0</v>
      </c>
      <c r="AR9" s="79" t="b">
        <v>0</v>
      </c>
      <c r="AS9" s="79" t="b">
        <v>0</v>
      </c>
      <c r="AT9" s="79"/>
      <c r="AU9" s="79">
        <v>38</v>
      </c>
      <c r="AV9" s="86" t="str">
        <f>HYPERLINK("https://abs.twimg.com/images/themes/theme1/bg.png")</f>
        <v>https://abs.twimg.com/images/themes/theme1/bg.png</v>
      </c>
      <c r="AW9" s="79" t="b">
        <v>0</v>
      </c>
      <c r="AX9" s="79" t="s">
        <v>1458</v>
      </c>
      <c r="AY9" s="86" t="str">
        <f>HYPERLINK("https://twitter.com/vim_media")</f>
        <v>https://twitter.com/vim_media</v>
      </c>
      <c r="AZ9" s="79" t="s">
        <v>66</v>
      </c>
      <c r="BA9" s="79" t="str">
        <f>REPLACE(INDEX(GroupVertices[Group],MATCH(Vertices[[#This Row],[Vertex]],GroupVertices[Vertex],0)),1,1,"")</f>
        <v>17</v>
      </c>
      <c r="BB9" s="49">
        <v>1</v>
      </c>
      <c r="BC9" s="50">
        <v>2.7777777777777777</v>
      </c>
      <c r="BD9" s="49">
        <v>0</v>
      </c>
      <c r="BE9" s="50">
        <v>0</v>
      </c>
      <c r="BF9" s="49">
        <v>0</v>
      </c>
      <c r="BG9" s="50">
        <v>0</v>
      </c>
      <c r="BH9" s="49">
        <v>35</v>
      </c>
      <c r="BI9" s="50">
        <v>97.22222222222223</v>
      </c>
      <c r="BJ9" s="49">
        <v>36</v>
      </c>
      <c r="BK9" s="49"/>
      <c r="BL9" s="49"/>
      <c r="BM9" s="49"/>
      <c r="BN9" s="49"/>
      <c r="BO9" s="49" t="s">
        <v>468</v>
      </c>
      <c r="BP9" s="49" t="s">
        <v>468</v>
      </c>
      <c r="BQ9" s="115" t="s">
        <v>2696</v>
      </c>
      <c r="BR9" s="115" t="s">
        <v>2696</v>
      </c>
      <c r="BS9" s="115" t="s">
        <v>2697</v>
      </c>
      <c r="BT9" s="115" t="s">
        <v>2697</v>
      </c>
      <c r="BU9" s="2"/>
      <c r="BV9" s="3"/>
      <c r="BW9" s="3"/>
      <c r="BX9" s="3"/>
      <c r="BY9" s="3"/>
    </row>
    <row r="10" spans="1:77" ht="15">
      <c r="A10" s="65" t="s">
        <v>359</v>
      </c>
      <c r="B10" s="66"/>
      <c r="C10" s="66"/>
      <c r="D10" s="67">
        <v>100</v>
      </c>
      <c r="E10" s="69"/>
      <c r="F10" s="103" t="str">
        <f>HYPERLINK("https://pbs.twimg.com/profile_images/1344468002113163264/t5_ndw-L_normal.jpg")</f>
        <v>https://pbs.twimg.com/profile_images/1344468002113163264/t5_ndw-L_normal.jpg</v>
      </c>
      <c r="G10" s="66"/>
      <c r="H10" s="70" t="s">
        <v>359</v>
      </c>
      <c r="I10" s="71"/>
      <c r="J10" s="71" t="s">
        <v>159</v>
      </c>
      <c r="K10" s="70" t="s">
        <v>1465</v>
      </c>
      <c r="L10" s="74">
        <v>1</v>
      </c>
      <c r="M10" s="75">
        <v>5851.3701171875</v>
      </c>
      <c r="N10" s="75">
        <v>2491.83935546875</v>
      </c>
      <c r="O10" s="76"/>
      <c r="P10" s="77"/>
      <c r="Q10" s="77"/>
      <c r="R10" s="89"/>
      <c r="S10" s="49">
        <v>2</v>
      </c>
      <c r="T10" s="49">
        <v>0</v>
      </c>
      <c r="U10" s="50">
        <v>0</v>
      </c>
      <c r="V10" s="50">
        <v>0.5</v>
      </c>
      <c r="W10" s="50">
        <v>0</v>
      </c>
      <c r="X10" s="50">
        <v>0.999997</v>
      </c>
      <c r="Y10" s="50">
        <v>0.5</v>
      </c>
      <c r="Z10" s="50">
        <v>0</v>
      </c>
      <c r="AA10" s="72">
        <v>10</v>
      </c>
      <c r="AB10" s="72"/>
      <c r="AC10" s="73"/>
      <c r="AD10" s="79" t="s">
        <v>936</v>
      </c>
      <c r="AE10" s="84" t="s">
        <v>1099</v>
      </c>
      <c r="AF10" s="79">
        <v>585</v>
      </c>
      <c r="AG10" s="79">
        <v>1939</v>
      </c>
      <c r="AH10" s="79">
        <v>10462</v>
      </c>
      <c r="AI10" s="79">
        <v>2908</v>
      </c>
      <c r="AJ10" s="79"/>
      <c r="AK10" s="79" t="s">
        <v>1257</v>
      </c>
      <c r="AL10" s="79" t="s">
        <v>1395</v>
      </c>
      <c r="AM10" s="86" t="str">
        <f>HYPERLINK("https://t.co/d95DCY9ecf")</f>
        <v>https://t.co/d95DCY9ecf</v>
      </c>
      <c r="AN10" s="79"/>
      <c r="AO10" s="81">
        <v>41091.630902777775</v>
      </c>
      <c r="AP10" s="86" t="str">
        <f>HYPERLINK("https://pbs.twimg.com/profile_banners/623827099/1624681485")</f>
        <v>https://pbs.twimg.com/profile_banners/623827099/1624681485</v>
      </c>
      <c r="AQ10" s="79" t="b">
        <v>1</v>
      </c>
      <c r="AR10" s="79" t="b">
        <v>0</v>
      </c>
      <c r="AS10" s="79" t="b">
        <v>0</v>
      </c>
      <c r="AT10" s="79"/>
      <c r="AU10" s="79">
        <v>12</v>
      </c>
      <c r="AV10" s="86" t="str">
        <f>HYPERLINK("https://abs.twimg.com/images/themes/theme1/bg.png")</f>
        <v>https://abs.twimg.com/images/themes/theme1/bg.png</v>
      </c>
      <c r="AW10" s="79" t="b">
        <v>0</v>
      </c>
      <c r="AX10" s="79" t="s">
        <v>1458</v>
      </c>
      <c r="AY10" s="86" t="str">
        <f>HYPERLINK("https://twitter.com/darinelzacarias")</f>
        <v>https://twitter.com/darinelzacarias</v>
      </c>
      <c r="AZ10" s="79" t="s">
        <v>65</v>
      </c>
      <c r="BA10" s="79" t="str">
        <f>REPLACE(INDEX(GroupVertices[Group],MATCH(Vertices[[#This Row],[Vertex]],GroupVertices[Vertex],0)),1,1,"")</f>
        <v>17</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218</v>
      </c>
      <c r="B11" s="66"/>
      <c r="C11" s="66"/>
      <c r="D11" s="67">
        <v>100</v>
      </c>
      <c r="E11" s="69"/>
      <c r="F11" s="103" t="str">
        <f>HYPERLINK("https://pbs.twimg.com/profile_images/1420485625367732234/V5EazhSE_normal.jpg")</f>
        <v>https://pbs.twimg.com/profile_images/1420485625367732234/V5EazhSE_normal.jpg</v>
      </c>
      <c r="G11" s="66"/>
      <c r="H11" s="70" t="s">
        <v>218</v>
      </c>
      <c r="I11" s="71"/>
      <c r="J11" s="71" t="s">
        <v>159</v>
      </c>
      <c r="K11" s="70" t="s">
        <v>1466</v>
      </c>
      <c r="L11" s="74">
        <v>1</v>
      </c>
      <c r="M11" s="75">
        <v>5851.3701171875</v>
      </c>
      <c r="N11" s="75">
        <v>1969.73974609375</v>
      </c>
      <c r="O11" s="76"/>
      <c r="P11" s="77"/>
      <c r="Q11" s="77"/>
      <c r="R11" s="89"/>
      <c r="S11" s="49">
        <v>0</v>
      </c>
      <c r="T11" s="49">
        <v>2</v>
      </c>
      <c r="U11" s="50">
        <v>0</v>
      </c>
      <c r="V11" s="50">
        <v>0.5</v>
      </c>
      <c r="W11" s="50">
        <v>0</v>
      </c>
      <c r="X11" s="50">
        <v>0.999997</v>
      </c>
      <c r="Y11" s="50">
        <v>0.5</v>
      </c>
      <c r="Z11" s="50">
        <v>0</v>
      </c>
      <c r="AA11" s="72">
        <v>11</v>
      </c>
      <c r="AB11" s="72"/>
      <c r="AC11" s="73"/>
      <c r="AD11" s="79" t="s">
        <v>937</v>
      </c>
      <c r="AE11" s="84" t="s">
        <v>1100</v>
      </c>
      <c r="AF11" s="79">
        <v>1590</v>
      </c>
      <c r="AG11" s="79">
        <v>332</v>
      </c>
      <c r="AH11" s="79">
        <v>42977</v>
      </c>
      <c r="AI11" s="79">
        <v>78207</v>
      </c>
      <c r="AJ11" s="79"/>
      <c r="AK11" s="79" t="s">
        <v>1258</v>
      </c>
      <c r="AL11" s="79"/>
      <c r="AM11" s="79"/>
      <c r="AN11" s="79"/>
      <c r="AO11" s="81">
        <v>40904.16059027778</v>
      </c>
      <c r="AP11" s="86" t="str">
        <f>HYPERLINK("https://pbs.twimg.com/profile_banners/447646870/1627505140")</f>
        <v>https://pbs.twimg.com/profile_banners/447646870/1627505140</v>
      </c>
      <c r="AQ11" s="79" t="b">
        <v>1</v>
      </c>
      <c r="AR11" s="79" t="b">
        <v>0</v>
      </c>
      <c r="AS11" s="79" t="b">
        <v>0</v>
      </c>
      <c r="AT11" s="79"/>
      <c r="AU11" s="79">
        <v>0</v>
      </c>
      <c r="AV11" s="86" t="str">
        <f>HYPERLINK("https://abs.twimg.com/images/themes/theme1/bg.png")</f>
        <v>https://abs.twimg.com/images/themes/theme1/bg.png</v>
      </c>
      <c r="AW11" s="79" t="b">
        <v>0</v>
      </c>
      <c r="AX11" s="79" t="s">
        <v>1458</v>
      </c>
      <c r="AY11" s="86" t="str">
        <f>HYPERLINK("https://twitter.com/dontreadthis97")</f>
        <v>https://twitter.com/dontreadthis97</v>
      </c>
      <c r="AZ11" s="79" t="s">
        <v>66</v>
      </c>
      <c r="BA11" s="79" t="str">
        <f>REPLACE(INDEX(GroupVertices[Group],MATCH(Vertices[[#This Row],[Vertex]],GroupVertices[Vertex],0)),1,1,"")</f>
        <v>17</v>
      </c>
      <c r="BB11" s="49">
        <v>1</v>
      </c>
      <c r="BC11" s="50">
        <v>2.7777777777777777</v>
      </c>
      <c r="BD11" s="49">
        <v>0</v>
      </c>
      <c r="BE11" s="50">
        <v>0</v>
      </c>
      <c r="BF11" s="49">
        <v>0</v>
      </c>
      <c r="BG11" s="50">
        <v>0</v>
      </c>
      <c r="BH11" s="49">
        <v>35</v>
      </c>
      <c r="BI11" s="50">
        <v>97.22222222222223</v>
      </c>
      <c r="BJ11" s="49">
        <v>36</v>
      </c>
      <c r="BK11" s="49"/>
      <c r="BL11" s="49"/>
      <c r="BM11" s="49"/>
      <c r="BN11" s="49"/>
      <c r="BO11" s="49" t="s">
        <v>468</v>
      </c>
      <c r="BP11" s="49" t="s">
        <v>468</v>
      </c>
      <c r="BQ11" s="115" t="s">
        <v>2696</v>
      </c>
      <c r="BR11" s="115" t="s">
        <v>2696</v>
      </c>
      <c r="BS11" s="115" t="s">
        <v>2697</v>
      </c>
      <c r="BT11" s="115" t="s">
        <v>2697</v>
      </c>
      <c r="BU11" s="2"/>
      <c r="BV11" s="3"/>
      <c r="BW11" s="3"/>
      <c r="BX11" s="3"/>
      <c r="BY11" s="3"/>
    </row>
    <row r="12" spans="1:77" ht="15">
      <c r="A12" s="65" t="s">
        <v>223</v>
      </c>
      <c r="B12" s="66"/>
      <c r="C12" s="66"/>
      <c r="D12" s="67">
        <v>100</v>
      </c>
      <c r="E12" s="69"/>
      <c r="F12" s="103" t="str">
        <f>HYPERLINK("https://pbs.twimg.com/profile_images/483341169644929024/0Hgk5gwQ_normal.png")</f>
        <v>https://pbs.twimg.com/profile_images/483341169644929024/0Hgk5gwQ_normal.png</v>
      </c>
      <c r="G12" s="66"/>
      <c r="H12" s="70" t="s">
        <v>223</v>
      </c>
      <c r="I12" s="71"/>
      <c r="J12" s="71" t="s">
        <v>159</v>
      </c>
      <c r="K12" s="70" t="s">
        <v>1467</v>
      </c>
      <c r="L12" s="74">
        <v>1</v>
      </c>
      <c r="M12" s="75">
        <v>3910.223388671875</v>
      </c>
      <c r="N12" s="75">
        <v>6361.16259765625</v>
      </c>
      <c r="O12" s="76"/>
      <c r="P12" s="77"/>
      <c r="Q12" s="77"/>
      <c r="R12" s="89"/>
      <c r="S12" s="49">
        <v>0</v>
      </c>
      <c r="T12" s="49">
        <v>5</v>
      </c>
      <c r="U12" s="50">
        <v>0</v>
      </c>
      <c r="V12" s="50">
        <v>0.142857</v>
      </c>
      <c r="W12" s="50">
        <v>0</v>
      </c>
      <c r="X12" s="50">
        <v>0.871198</v>
      </c>
      <c r="Y12" s="50">
        <v>0.8</v>
      </c>
      <c r="Z12" s="50">
        <v>0</v>
      </c>
      <c r="AA12" s="72">
        <v>12</v>
      </c>
      <c r="AB12" s="72"/>
      <c r="AC12" s="73"/>
      <c r="AD12" s="79" t="s">
        <v>938</v>
      </c>
      <c r="AE12" s="84" t="s">
        <v>1101</v>
      </c>
      <c r="AF12" s="79">
        <v>1096</v>
      </c>
      <c r="AG12" s="79">
        <v>115</v>
      </c>
      <c r="AH12" s="79">
        <v>7178</v>
      </c>
      <c r="AI12" s="79">
        <v>7588</v>
      </c>
      <c r="AJ12" s="79"/>
      <c r="AK12" s="79"/>
      <c r="AL12" s="79"/>
      <c r="AM12" s="79"/>
      <c r="AN12" s="79"/>
      <c r="AO12" s="81">
        <v>41742.108506944445</v>
      </c>
      <c r="AP12" s="79"/>
      <c r="AQ12" s="79" t="b">
        <v>0</v>
      </c>
      <c r="AR12" s="79" t="b">
        <v>0</v>
      </c>
      <c r="AS12" s="79" t="b">
        <v>0</v>
      </c>
      <c r="AT12" s="79"/>
      <c r="AU12" s="79">
        <v>1</v>
      </c>
      <c r="AV12" s="86" t="str">
        <f>HYPERLINK("https://abs.twimg.com/images/themes/theme1/bg.png")</f>
        <v>https://abs.twimg.com/images/themes/theme1/bg.png</v>
      </c>
      <c r="AW12" s="79" t="b">
        <v>0</v>
      </c>
      <c r="AX12" s="79" t="s">
        <v>1458</v>
      </c>
      <c r="AY12" s="86" t="str">
        <f>HYPERLINK("https://twitter.com/carminamontesi2")</f>
        <v>https://twitter.com/carminamontesi2</v>
      </c>
      <c r="AZ12" s="79" t="s">
        <v>66</v>
      </c>
      <c r="BA12" s="79" t="str">
        <f>REPLACE(INDEX(GroupVertices[Group],MATCH(Vertices[[#This Row],[Vertex]],GroupVertices[Vertex],0)),1,1,"")</f>
        <v>6</v>
      </c>
      <c r="BB12" s="49">
        <v>0</v>
      </c>
      <c r="BC12" s="50">
        <v>0</v>
      </c>
      <c r="BD12" s="49">
        <v>0</v>
      </c>
      <c r="BE12" s="50">
        <v>0</v>
      </c>
      <c r="BF12" s="49">
        <v>0</v>
      </c>
      <c r="BG12" s="50">
        <v>0</v>
      </c>
      <c r="BH12" s="49">
        <v>24</v>
      </c>
      <c r="BI12" s="50">
        <v>100</v>
      </c>
      <c r="BJ12" s="49">
        <v>24</v>
      </c>
      <c r="BK12" s="49" t="s">
        <v>448</v>
      </c>
      <c r="BL12" s="49" t="s">
        <v>448</v>
      </c>
      <c r="BM12" s="49" t="s">
        <v>2215</v>
      </c>
      <c r="BN12" s="49" t="s">
        <v>2215</v>
      </c>
      <c r="BO12" s="49" t="s">
        <v>467</v>
      </c>
      <c r="BP12" s="49" t="s">
        <v>467</v>
      </c>
      <c r="BQ12" s="115" t="s">
        <v>2282</v>
      </c>
      <c r="BR12" s="115" t="s">
        <v>2282</v>
      </c>
      <c r="BS12" s="115" t="s">
        <v>2396</v>
      </c>
      <c r="BT12" s="115" t="s">
        <v>2396</v>
      </c>
      <c r="BU12" s="2"/>
      <c r="BV12" s="3"/>
      <c r="BW12" s="3"/>
      <c r="BX12" s="3"/>
      <c r="BY12" s="3"/>
    </row>
    <row r="13" spans="1:77" ht="15">
      <c r="A13" s="65" t="s">
        <v>224</v>
      </c>
      <c r="B13" s="66"/>
      <c r="C13" s="66"/>
      <c r="D13" s="67">
        <v>100</v>
      </c>
      <c r="E13" s="69"/>
      <c r="F13" s="103" t="str">
        <f>HYPERLINK("https://pbs.twimg.com/profile_images/1280959478968602634/RoWxx_BL_normal.jpg")</f>
        <v>https://pbs.twimg.com/profile_images/1280959478968602634/RoWxx_BL_normal.jpg</v>
      </c>
      <c r="G13" s="66"/>
      <c r="H13" s="70" t="s">
        <v>224</v>
      </c>
      <c r="I13" s="71"/>
      <c r="J13" s="71" t="s">
        <v>159</v>
      </c>
      <c r="K13" s="70" t="s">
        <v>1468</v>
      </c>
      <c r="L13" s="74">
        <v>1</v>
      </c>
      <c r="M13" s="75">
        <v>9391.5185546875</v>
      </c>
      <c r="N13" s="75">
        <v>8764.9462890625</v>
      </c>
      <c r="O13" s="76"/>
      <c r="P13" s="77"/>
      <c r="Q13" s="77"/>
      <c r="R13" s="89"/>
      <c r="S13" s="49">
        <v>1</v>
      </c>
      <c r="T13" s="49">
        <v>1</v>
      </c>
      <c r="U13" s="50">
        <v>0</v>
      </c>
      <c r="V13" s="50">
        <v>0</v>
      </c>
      <c r="W13" s="50">
        <v>0</v>
      </c>
      <c r="X13" s="50">
        <v>0.999997</v>
      </c>
      <c r="Y13" s="50">
        <v>0</v>
      </c>
      <c r="Z13" s="50">
        <v>0</v>
      </c>
      <c r="AA13" s="72">
        <v>13</v>
      </c>
      <c r="AB13" s="72"/>
      <c r="AC13" s="73"/>
      <c r="AD13" s="79" t="s">
        <v>939</v>
      </c>
      <c r="AE13" s="84" t="s">
        <v>1102</v>
      </c>
      <c r="AF13" s="79">
        <v>946</v>
      </c>
      <c r="AG13" s="79">
        <v>452</v>
      </c>
      <c r="AH13" s="79">
        <v>467</v>
      </c>
      <c r="AI13" s="79">
        <v>453</v>
      </c>
      <c r="AJ13" s="79"/>
      <c r="AK13" s="79" t="s">
        <v>1259</v>
      </c>
      <c r="AL13" s="79" t="s">
        <v>1393</v>
      </c>
      <c r="AM13" s="86" t="str">
        <f>HYPERLINK("https://t.co/KAw24EHAtP")</f>
        <v>https://t.co/KAw24EHAtP</v>
      </c>
      <c r="AN13" s="79"/>
      <c r="AO13" s="81">
        <v>41198.12527777778</v>
      </c>
      <c r="AP13" s="86" t="str">
        <f>HYPERLINK("https://pbs.twimg.com/profile_banners/883563198/1489103525")</f>
        <v>https://pbs.twimg.com/profile_banners/883563198/1489103525</v>
      </c>
      <c r="AQ13" s="79" t="b">
        <v>1</v>
      </c>
      <c r="AR13" s="79" t="b">
        <v>0</v>
      </c>
      <c r="AS13" s="79" t="b">
        <v>0</v>
      </c>
      <c r="AT13" s="79"/>
      <c r="AU13" s="79">
        <v>6</v>
      </c>
      <c r="AV13" s="86" t="str">
        <f>HYPERLINK("https://abs.twimg.com/images/themes/theme1/bg.png")</f>
        <v>https://abs.twimg.com/images/themes/theme1/bg.png</v>
      </c>
      <c r="AW13" s="79" t="b">
        <v>0</v>
      </c>
      <c r="AX13" s="79" t="s">
        <v>1458</v>
      </c>
      <c r="AY13" s="86" t="str">
        <f>HYPERLINK("https://twitter.com/cbarrachina1")</f>
        <v>https://twitter.com/cbarrachina1</v>
      </c>
      <c r="AZ13" s="79" t="s">
        <v>66</v>
      </c>
      <c r="BA13" s="79" t="str">
        <f>REPLACE(INDEX(GroupVertices[Group],MATCH(Vertices[[#This Row],[Vertex]],GroupVertices[Vertex],0)),1,1,"")</f>
        <v>4</v>
      </c>
      <c r="BB13" s="49">
        <v>0</v>
      </c>
      <c r="BC13" s="50">
        <v>0</v>
      </c>
      <c r="BD13" s="49">
        <v>0</v>
      </c>
      <c r="BE13" s="50">
        <v>0</v>
      </c>
      <c r="BF13" s="49">
        <v>0</v>
      </c>
      <c r="BG13" s="50">
        <v>0</v>
      </c>
      <c r="BH13" s="49">
        <v>17</v>
      </c>
      <c r="BI13" s="50">
        <v>100</v>
      </c>
      <c r="BJ13" s="49">
        <v>17</v>
      </c>
      <c r="BK13" s="49" t="s">
        <v>2162</v>
      </c>
      <c r="BL13" s="49" t="s">
        <v>2162</v>
      </c>
      <c r="BM13" s="49" t="s">
        <v>450</v>
      </c>
      <c r="BN13" s="49" t="s">
        <v>450</v>
      </c>
      <c r="BO13" s="49" t="s">
        <v>469</v>
      </c>
      <c r="BP13" s="49" t="s">
        <v>469</v>
      </c>
      <c r="BQ13" s="115" t="s">
        <v>2520</v>
      </c>
      <c r="BR13" s="115" t="s">
        <v>2520</v>
      </c>
      <c r="BS13" s="115" t="s">
        <v>2580</v>
      </c>
      <c r="BT13" s="115" t="s">
        <v>2580</v>
      </c>
      <c r="BU13" s="2"/>
      <c r="BV13" s="3"/>
      <c r="BW13" s="3"/>
      <c r="BX13" s="3"/>
      <c r="BY13" s="3"/>
    </row>
    <row r="14" spans="1:77" ht="15">
      <c r="A14" s="65" t="s">
        <v>225</v>
      </c>
      <c r="B14" s="66"/>
      <c r="C14" s="66"/>
      <c r="D14" s="67">
        <v>100</v>
      </c>
      <c r="E14" s="69"/>
      <c r="F14" s="103" t="str">
        <f>HYPERLINK("https://pbs.twimg.com/profile_images/1403720673319604229/iqWgXDdc_normal.jpg")</f>
        <v>https://pbs.twimg.com/profile_images/1403720673319604229/iqWgXDdc_normal.jpg</v>
      </c>
      <c r="G14" s="66"/>
      <c r="H14" s="70" t="s">
        <v>225</v>
      </c>
      <c r="I14" s="71"/>
      <c r="J14" s="71" t="s">
        <v>159</v>
      </c>
      <c r="K14" s="70" t="s">
        <v>1469</v>
      </c>
      <c r="L14" s="74">
        <v>1</v>
      </c>
      <c r="M14" s="75">
        <v>4410.60986328125</v>
      </c>
      <c r="N14" s="75">
        <v>9449.8447265625</v>
      </c>
      <c r="O14" s="76"/>
      <c r="P14" s="77"/>
      <c r="Q14" s="77"/>
      <c r="R14" s="89"/>
      <c r="S14" s="49">
        <v>0</v>
      </c>
      <c r="T14" s="49">
        <v>1</v>
      </c>
      <c r="U14" s="50">
        <v>0</v>
      </c>
      <c r="V14" s="50">
        <v>0.047619</v>
      </c>
      <c r="W14" s="50">
        <v>0</v>
      </c>
      <c r="X14" s="50">
        <v>0.462912</v>
      </c>
      <c r="Y14" s="50">
        <v>0</v>
      </c>
      <c r="Z14" s="50">
        <v>0</v>
      </c>
      <c r="AA14" s="72">
        <v>14</v>
      </c>
      <c r="AB14" s="72"/>
      <c r="AC14" s="73"/>
      <c r="AD14" s="79" t="s">
        <v>940</v>
      </c>
      <c r="AE14" s="84" t="s">
        <v>1103</v>
      </c>
      <c r="AF14" s="79">
        <v>77</v>
      </c>
      <c r="AG14" s="79">
        <v>104</v>
      </c>
      <c r="AH14" s="79">
        <v>5050</v>
      </c>
      <c r="AI14" s="79">
        <v>10616</v>
      </c>
      <c r="AJ14" s="79"/>
      <c r="AK14" s="79"/>
      <c r="AL14" s="79"/>
      <c r="AM14" s="86" t="str">
        <f>HYPERLINK("https://t.co/vIxSapdVdN")</f>
        <v>https://t.co/vIxSapdVdN</v>
      </c>
      <c r="AN14" s="79"/>
      <c r="AO14" s="81">
        <v>42275.833136574074</v>
      </c>
      <c r="AP14" s="79"/>
      <c r="AQ14" s="79" t="b">
        <v>1</v>
      </c>
      <c r="AR14" s="79" t="b">
        <v>0</v>
      </c>
      <c r="AS14" s="79" t="b">
        <v>0</v>
      </c>
      <c r="AT14" s="79"/>
      <c r="AU14" s="79">
        <v>2</v>
      </c>
      <c r="AV14" s="86" t="str">
        <f>HYPERLINK("https://abs.twimg.com/images/themes/theme1/bg.png")</f>
        <v>https://abs.twimg.com/images/themes/theme1/bg.png</v>
      </c>
      <c r="AW14" s="79" t="b">
        <v>0</v>
      </c>
      <c r="AX14" s="79" t="s">
        <v>1458</v>
      </c>
      <c r="AY14" s="86" t="str">
        <f>HYPERLINK("https://twitter.com/annamaribel4")</f>
        <v>https://twitter.com/annamaribel4</v>
      </c>
      <c r="AZ14" s="79" t="s">
        <v>66</v>
      </c>
      <c r="BA14" s="79" t="str">
        <f>REPLACE(INDEX(GroupVertices[Group],MATCH(Vertices[[#This Row],[Vertex]],GroupVertices[Vertex],0)),1,1,"")</f>
        <v>3</v>
      </c>
      <c r="BB14" s="49">
        <v>1</v>
      </c>
      <c r="BC14" s="50">
        <v>2.5</v>
      </c>
      <c r="BD14" s="49">
        <v>0</v>
      </c>
      <c r="BE14" s="50">
        <v>0</v>
      </c>
      <c r="BF14" s="49">
        <v>0</v>
      </c>
      <c r="BG14" s="50">
        <v>0</v>
      </c>
      <c r="BH14" s="49">
        <v>39</v>
      </c>
      <c r="BI14" s="50">
        <v>97.5</v>
      </c>
      <c r="BJ14" s="49">
        <v>40</v>
      </c>
      <c r="BK14" s="49" t="s">
        <v>2149</v>
      </c>
      <c r="BL14" s="49" t="s">
        <v>2149</v>
      </c>
      <c r="BM14" s="49" t="s">
        <v>451</v>
      </c>
      <c r="BN14" s="49" t="s">
        <v>451</v>
      </c>
      <c r="BO14" s="49" t="s">
        <v>470</v>
      </c>
      <c r="BP14" s="49" t="s">
        <v>470</v>
      </c>
      <c r="BQ14" s="115" t="s">
        <v>2521</v>
      </c>
      <c r="BR14" s="115" t="s">
        <v>2521</v>
      </c>
      <c r="BS14" s="115" t="s">
        <v>2581</v>
      </c>
      <c r="BT14" s="115" t="s">
        <v>2581</v>
      </c>
      <c r="BU14" s="2"/>
      <c r="BV14" s="3"/>
      <c r="BW14" s="3"/>
      <c r="BX14" s="3"/>
      <c r="BY14" s="3"/>
    </row>
    <row r="15" spans="1:77" ht="15">
      <c r="A15" s="65" t="s">
        <v>269</v>
      </c>
      <c r="B15" s="66"/>
      <c r="C15" s="66"/>
      <c r="D15" s="67">
        <v>695.8620689655172</v>
      </c>
      <c r="E15" s="69"/>
      <c r="F15" s="103" t="str">
        <f>HYPERLINK("https://pbs.twimg.com/profile_images/1290604044021637121/mkF_MKL3_normal.jpg")</f>
        <v>https://pbs.twimg.com/profile_images/1290604044021637121/mkF_MKL3_normal.jpg</v>
      </c>
      <c r="G15" s="66"/>
      <c r="H15" s="70" t="s">
        <v>269</v>
      </c>
      <c r="I15" s="71"/>
      <c r="J15" s="71" t="s">
        <v>75</v>
      </c>
      <c r="K15" s="70" t="s">
        <v>1470</v>
      </c>
      <c r="L15" s="74">
        <v>762.7523809523809</v>
      </c>
      <c r="M15" s="75">
        <v>5355.34765625</v>
      </c>
      <c r="N15" s="75">
        <v>8813.2705078125</v>
      </c>
      <c r="O15" s="76"/>
      <c r="P15" s="77"/>
      <c r="Q15" s="77"/>
      <c r="R15" s="89"/>
      <c r="S15" s="49">
        <v>12</v>
      </c>
      <c r="T15" s="49">
        <v>2</v>
      </c>
      <c r="U15" s="50">
        <v>96</v>
      </c>
      <c r="V15" s="50">
        <v>0.090909</v>
      </c>
      <c r="W15" s="50">
        <v>0</v>
      </c>
      <c r="X15" s="50">
        <v>4.417584</v>
      </c>
      <c r="Y15" s="50">
        <v>0.03636363636363636</v>
      </c>
      <c r="Z15" s="50">
        <v>0.09090909090909091</v>
      </c>
      <c r="AA15" s="72">
        <v>15</v>
      </c>
      <c r="AB15" s="72"/>
      <c r="AC15" s="73"/>
      <c r="AD15" s="79" t="s">
        <v>941</v>
      </c>
      <c r="AE15" s="84" t="s">
        <v>1104</v>
      </c>
      <c r="AF15" s="79">
        <v>1096</v>
      </c>
      <c r="AG15" s="79">
        <v>2584</v>
      </c>
      <c r="AH15" s="79">
        <v>32840</v>
      </c>
      <c r="AI15" s="79">
        <v>7706</v>
      </c>
      <c r="AJ15" s="79"/>
      <c r="AK15" s="79" t="s">
        <v>1260</v>
      </c>
      <c r="AL15" s="79" t="s">
        <v>1396</v>
      </c>
      <c r="AM15" s="86" t="str">
        <f>HYPERLINK("https://t.co/HanEl0hXGT")</f>
        <v>https://t.co/HanEl0hXGT</v>
      </c>
      <c r="AN15" s="79"/>
      <c r="AO15" s="81">
        <v>40896.64355324074</v>
      </c>
      <c r="AP15" s="86" t="str">
        <f>HYPERLINK("https://pbs.twimg.com/profile_banners/440932233/1606074642")</f>
        <v>https://pbs.twimg.com/profile_banners/440932233/1606074642</v>
      </c>
      <c r="AQ15" s="79" t="b">
        <v>0</v>
      </c>
      <c r="AR15" s="79" t="b">
        <v>0</v>
      </c>
      <c r="AS15" s="79" t="b">
        <v>1</v>
      </c>
      <c r="AT15" s="79"/>
      <c r="AU15" s="79">
        <v>44</v>
      </c>
      <c r="AV15" s="86" t="str">
        <f>HYPERLINK("https://abs.twimg.com/images/themes/theme14/bg.gif")</f>
        <v>https://abs.twimg.com/images/themes/theme14/bg.gif</v>
      </c>
      <c r="AW15" s="79" t="b">
        <v>0</v>
      </c>
      <c r="AX15" s="79" t="s">
        <v>1458</v>
      </c>
      <c r="AY15" s="86" t="str">
        <f>HYPERLINK("https://twitter.com/chrispeverieri")</f>
        <v>https://twitter.com/chrispeverieri</v>
      </c>
      <c r="AZ15" s="79" t="s">
        <v>66</v>
      </c>
      <c r="BA15" s="79" t="str">
        <f>REPLACE(INDEX(GroupVertices[Group],MATCH(Vertices[[#This Row],[Vertex]],GroupVertices[Vertex],0)),1,1,"")</f>
        <v>3</v>
      </c>
      <c r="BB15" s="49">
        <v>1</v>
      </c>
      <c r="BC15" s="50">
        <v>0.6024096385542169</v>
      </c>
      <c r="BD15" s="49">
        <v>0</v>
      </c>
      <c r="BE15" s="50">
        <v>0</v>
      </c>
      <c r="BF15" s="49">
        <v>0</v>
      </c>
      <c r="BG15" s="50">
        <v>0</v>
      </c>
      <c r="BH15" s="49">
        <v>165</v>
      </c>
      <c r="BI15" s="50">
        <v>99.39759036144578</v>
      </c>
      <c r="BJ15" s="49">
        <v>166</v>
      </c>
      <c r="BK15" s="49" t="s">
        <v>2483</v>
      </c>
      <c r="BL15" s="49" t="s">
        <v>2483</v>
      </c>
      <c r="BM15" s="49" t="s">
        <v>2493</v>
      </c>
      <c r="BN15" s="49" t="s">
        <v>2493</v>
      </c>
      <c r="BO15" s="49" t="s">
        <v>2255</v>
      </c>
      <c r="BP15" s="49" t="s">
        <v>2509</v>
      </c>
      <c r="BQ15" s="115" t="s">
        <v>2522</v>
      </c>
      <c r="BR15" s="115" t="s">
        <v>2568</v>
      </c>
      <c r="BS15" s="115" t="s">
        <v>2394</v>
      </c>
      <c r="BT15" s="115" t="s">
        <v>2394</v>
      </c>
      <c r="BU15" s="2"/>
      <c r="BV15" s="3"/>
      <c r="BW15" s="3"/>
      <c r="BX15" s="3"/>
      <c r="BY15" s="3"/>
    </row>
    <row r="16" spans="1:77" ht="15">
      <c r="A16" s="65" t="s">
        <v>226</v>
      </c>
      <c r="B16" s="66"/>
      <c r="C16" s="66"/>
      <c r="D16" s="67">
        <v>100</v>
      </c>
      <c r="E16" s="69"/>
      <c r="F16" s="103" t="str">
        <f>HYPERLINK("https://pbs.twimg.com/profile_images/1249795862336802816/F6P8jK6s_normal.jpg")</f>
        <v>https://pbs.twimg.com/profile_images/1249795862336802816/F6P8jK6s_normal.jpg</v>
      </c>
      <c r="G16" s="66"/>
      <c r="H16" s="70" t="s">
        <v>226</v>
      </c>
      <c r="I16" s="71"/>
      <c r="J16" s="71" t="s">
        <v>159</v>
      </c>
      <c r="K16" s="70" t="s">
        <v>1471</v>
      </c>
      <c r="L16" s="74">
        <v>1</v>
      </c>
      <c r="M16" s="75">
        <v>6814.9609375</v>
      </c>
      <c r="N16" s="75">
        <v>8704.138671875</v>
      </c>
      <c r="O16" s="76"/>
      <c r="P16" s="77"/>
      <c r="Q16" s="77"/>
      <c r="R16" s="89"/>
      <c r="S16" s="49">
        <v>0</v>
      </c>
      <c r="T16" s="49">
        <v>1</v>
      </c>
      <c r="U16" s="50">
        <v>0</v>
      </c>
      <c r="V16" s="50">
        <v>0.047619</v>
      </c>
      <c r="W16" s="50">
        <v>0</v>
      </c>
      <c r="X16" s="50">
        <v>0.462912</v>
      </c>
      <c r="Y16" s="50">
        <v>0</v>
      </c>
      <c r="Z16" s="50">
        <v>0</v>
      </c>
      <c r="AA16" s="72">
        <v>16</v>
      </c>
      <c r="AB16" s="72"/>
      <c r="AC16" s="73"/>
      <c r="AD16" s="79" t="s">
        <v>942</v>
      </c>
      <c r="AE16" s="84" t="s">
        <v>1105</v>
      </c>
      <c r="AF16" s="79">
        <v>535</v>
      </c>
      <c r="AG16" s="79">
        <v>523</v>
      </c>
      <c r="AH16" s="79">
        <v>33703</v>
      </c>
      <c r="AI16" s="79">
        <v>31344</v>
      </c>
      <c r="AJ16" s="79"/>
      <c r="AK16" s="79" t="s">
        <v>1261</v>
      </c>
      <c r="AL16" s="79" t="s">
        <v>1397</v>
      </c>
      <c r="AM16" s="86" t="str">
        <f>HYPERLINK("https://t.co/VaePUDp3hn")</f>
        <v>https://t.co/VaePUDp3hn</v>
      </c>
      <c r="AN16" s="79"/>
      <c r="AO16" s="81">
        <v>43930.325740740744</v>
      </c>
      <c r="AP16" s="86" t="str">
        <f>HYPERLINK("https://pbs.twimg.com/profile_banners/1248155451683979264/1629521327")</f>
        <v>https://pbs.twimg.com/profile_banners/1248155451683979264/1629521327</v>
      </c>
      <c r="AQ16" s="79" t="b">
        <v>1</v>
      </c>
      <c r="AR16" s="79" t="b">
        <v>0</v>
      </c>
      <c r="AS16" s="79" t="b">
        <v>0</v>
      </c>
      <c r="AT16" s="79"/>
      <c r="AU16" s="79">
        <v>0</v>
      </c>
      <c r="AV16" s="79"/>
      <c r="AW16" s="79" t="b">
        <v>0</v>
      </c>
      <c r="AX16" s="79" t="s">
        <v>1458</v>
      </c>
      <c r="AY16" s="86" t="str">
        <f>HYPERLINK("https://twitter.com/svirgola2")</f>
        <v>https://twitter.com/svirgola2</v>
      </c>
      <c r="AZ16" s="79" t="s">
        <v>66</v>
      </c>
      <c r="BA16" s="79" t="str">
        <f>REPLACE(INDEX(GroupVertices[Group],MATCH(Vertices[[#This Row],[Vertex]],GroupVertices[Vertex],0)),1,1,"")</f>
        <v>3</v>
      </c>
      <c r="BB16" s="49">
        <v>1</v>
      </c>
      <c r="BC16" s="50">
        <v>2.5</v>
      </c>
      <c r="BD16" s="49">
        <v>0</v>
      </c>
      <c r="BE16" s="50">
        <v>0</v>
      </c>
      <c r="BF16" s="49">
        <v>0</v>
      </c>
      <c r="BG16" s="50">
        <v>0</v>
      </c>
      <c r="BH16" s="49">
        <v>39</v>
      </c>
      <c r="BI16" s="50">
        <v>97.5</v>
      </c>
      <c r="BJ16" s="49">
        <v>40</v>
      </c>
      <c r="BK16" s="49" t="s">
        <v>2149</v>
      </c>
      <c r="BL16" s="49" t="s">
        <v>2149</v>
      </c>
      <c r="BM16" s="49" t="s">
        <v>451</v>
      </c>
      <c r="BN16" s="49" t="s">
        <v>451</v>
      </c>
      <c r="BO16" s="49" t="s">
        <v>470</v>
      </c>
      <c r="BP16" s="49" t="s">
        <v>470</v>
      </c>
      <c r="BQ16" s="115" t="s">
        <v>2521</v>
      </c>
      <c r="BR16" s="115" t="s">
        <v>2521</v>
      </c>
      <c r="BS16" s="115" t="s">
        <v>2581</v>
      </c>
      <c r="BT16" s="115" t="s">
        <v>2581</v>
      </c>
      <c r="BU16" s="2"/>
      <c r="BV16" s="3"/>
      <c r="BW16" s="3"/>
      <c r="BX16" s="3"/>
      <c r="BY16" s="3"/>
    </row>
    <row r="17" spans="1:77" ht="15">
      <c r="A17" s="65" t="s">
        <v>227</v>
      </c>
      <c r="B17" s="66"/>
      <c r="C17" s="66"/>
      <c r="D17" s="67">
        <v>100</v>
      </c>
      <c r="E17" s="69"/>
      <c r="F17" s="103" t="str">
        <f>HYPERLINK("https://pbs.twimg.com/profile_images/1410405860644433921/u8QoGS1a_normal.jpg")</f>
        <v>https://pbs.twimg.com/profile_images/1410405860644433921/u8QoGS1a_normal.jpg</v>
      </c>
      <c r="G17" s="66"/>
      <c r="H17" s="70" t="s">
        <v>227</v>
      </c>
      <c r="I17" s="71"/>
      <c r="J17" s="71" t="s">
        <v>159</v>
      </c>
      <c r="K17" s="70" t="s">
        <v>1472</v>
      </c>
      <c r="L17" s="74">
        <v>1</v>
      </c>
      <c r="M17" s="75">
        <v>7289.77392578125</v>
      </c>
      <c r="N17" s="75">
        <v>1764.0640869140625</v>
      </c>
      <c r="O17" s="76"/>
      <c r="P17" s="77"/>
      <c r="Q17" s="77"/>
      <c r="R17" s="89"/>
      <c r="S17" s="49">
        <v>2</v>
      </c>
      <c r="T17" s="49">
        <v>1</v>
      </c>
      <c r="U17" s="50">
        <v>0</v>
      </c>
      <c r="V17" s="50">
        <v>1</v>
      </c>
      <c r="W17" s="50">
        <v>0</v>
      </c>
      <c r="X17" s="50">
        <v>1.298241</v>
      </c>
      <c r="Y17" s="50">
        <v>0</v>
      </c>
      <c r="Z17" s="50">
        <v>0</v>
      </c>
      <c r="AA17" s="72">
        <v>17</v>
      </c>
      <c r="AB17" s="72"/>
      <c r="AC17" s="73"/>
      <c r="AD17" s="79" t="s">
        <v>943</v>
      </c>
      <c r="AE17" s="84" t="s">
        <v>1106</v>
      </c>
      <c r="AF17" s="79">
        <v>1574</v>
      </c>
      <c r="AG17" s="79">
        <v>136</v>
      </c>
      <c r="AH17" s="79">
        <v>2130</v>
      </c>
      <c r="AI17" s="79">
        <v>2397</v>
      </c>
      <c r="AJ17" s="79"/>
      <c r="AK17" s="79"/>
      <c r="AL17" s="79" t="s">
        <v>1398</v>
      </c>
      <c r="AM17" s="79"/>
      <c r="AN17" s="79"/>
      <c r="AO17" s="81">
        <v>40471.61070601852</v>
      </c>
      <c r="AP17" s="86" t="str">
        <f>HYPERLINK("https://pbs.twimg.com/profile_banners/205284922/1591591591")</f>
        <v>https://pbs.twimg.com/profile_banners/205284922/1591591591</v>
      </c>
      <c r="AQ17" s="79" t="b">
        <v>1</v>
      </c>
      <c r="AR17" s="79" t="b">
        <v>0</v>
      </c>
      <c r="AS17" s="79" t="b">
        <v>1</v>
      </c>
      <c r="AT17" s="79"/>
      <c r="AU17" s="79">
        <v>0</v>
      </c>
      <c r="AV17" s="86" t="str">
        <f>HYPERLINK("https://abs.twimg.com/images/themes/theme1/bg.png")</f>
        <v>https://abs.twimg.com/images/themes/theme1/bg.png</v>
      </c>
      <c r="AW17" s="79" t="b">
        <v>0</v>
      </c>
      <c r="AX17" s="79" t="s">
        <v>1458</v>
      </c>
      <c r="AY17" s="86" t="str">
        <f>HYPERLINK("https://twitter.com/cokteleria")</f>
        <v>https://twitter.com/cokteleria</v>
      </c>
      <c r="AZ17" s="79" t="s">
        <v>66</v>
      </c>
      <c r="BA17" s="79" t="str">
        <f>REPLACE(INDEX(GroupVertices[Group],MATCH(Vertices[[#This Row],[Vertex]],GroupVertices[Vertex],0)),1,1,"")</f>
        <v>27</v>
      </c>
      <c r="BB17" s="49">
        <v>0</v>
      </c>
      <c r="BC17" s="50">
        <v>0</v>
      </c>
      <c r="BD17" s="49">
        <v>0</v>
      </c>
      <c r="BE17" s="50">
        <v>0</v>
      </c>
      <c r="BF17" s="49">
        <v>0</v>
      </c>
      <c r="BG17" s="50">
        <v>0</v>
      </c>
      <c r="BH17" s="49">
        <v>28</v>
      </c>
      <c r="BI17" s="50">
        <v>100</v>
      </c>
      <c r="BJ17" s="49">
        <v>28</v>
      </c>
      <c r="BK17" s="49"/>
      <c r="BL17" s="49"/>
      <c r="BM17" s="49"/>
      <c r="BN17" s="49"/>
      <c r="BO17" s="49" t="s">
        <v>2264</v>
      </c>
      <c r="BP17" s="49" t="s">
        <v>2264</v>
      </c>
      <c r="BQ17" s="115" t="s">
        <v>2297</v>
      </c>
      <c r="BR17" s="115" t="s">
        <v>2297</v>
      </c>
      <c r="BS17" s="115" t="s">
        <v>2411</v>
      </c>
      <c r="BT17" s="115" t="s">
        <v>2411</v>
      </c>
      <c r="BU17" s="2"/>
      <c r="BV17" s="3"/>
      <c r="BW17" s="3"/>
      <c r="BX17" s="3"/>
      <c r="BY17" s="3"/>
    </row>
    <row r="18" spans="1:77" ht="15">
      <c r="A18" s="65" t="s">
        <v>228</v>
      </c>
      <c r="B18" s="66"/>
      <c r="C18" s="66"/>
      <c r="D18" s="67">
        <v>100</v>
      </c>
      <c r="E18" s="69"/>
      <c r="F18" s="103" t="str">
        <f>HYPERLINK("https://pbs.twimg.com/profile_images/1431782485357211651/QJ15nomI_normal.jpg")</f>
        <v>https://pbs.twimg.com/profile_images/1431782485357211651/QJ15nomI_normal.jpg</v>
      </c>
      <c r="G18" s="66"/>
      <c r="H18" s="70" t="s">
        <v>228</v>
      </c>
      <c r="I18" s="71"/>
      <c r="J18" s="71" t="s">
        <v>159</v>
      </c>
      <c r="K18" s="70" t="s">
        <v>1473</v>
      </c>
      <c r="L18" s="74">
        <v>1</v>
      </c>
      <c r="M18" s="75">
        <v>7289.77392578125</v>
      </c>
      <c r="N18" s="75">
        <v>1431.81884765625</v>
      </c>
      <c r="O18" s="76"/>
      <c r="P18" s="77"/>
      <c r="Q18" s="77"/>
      <c r="R18" s="89"/>
      <c r="S18" s="49">
        <v>0</v>
      </c>
      <c r="T18" s="49">
        <v>1</v>
      </c>
      <c r="U18" s="50">
        <v>0</v>
      </c>
      <c r="V18" s="50">
        <v>1</v>
      </c>
      <c r="W18" s="50">
        <v>0</v>
      </c>
      <c r="X18" s="50">
        <v>0.701752</v>
      </c>
      <c r="Y18" s="50">
        <v>0</v>
      </c>
      <c r="Z18" s="50">
        <v>0</v>
      </c>
      <c r="AA18" s="72">
        <v>18</v>
      </c>
      <c r="AB18" s="72"/>
      <c r="AC18" s="73"/>
      <c r="AD18" s="79" t="s">
        <v>944</v>
      </c>
      <c r="AE18" s="84" t="s">
        <v>1107</v>
      </c>
      <c r="AF18" s="79">
        <v>495</v>
      </c>
      <c r="AG18" s="79">
        <v>618</v>
      </c>
      <c r="AH18" s="79">
        <v>43068</v>
      </c>
      <c r="AI18" s="79">
        <v>10540</v>
      </c>
      <c r="AJ18" s="79"/>
      <c r="AK18" s="79" t="s">
        <v>1262</v>
      </c>
      <c r="AL18" s="79" t="s">
        <v>1398</v>
      </c>
      <c r="AM18" s="79"/>
      <c r="AN18" s="79"/>
      <c r="AO18" s="81">
        <v>43782.71674768518</v>
      </c>
      <c r="AP18" s="86" t="str">
        <f>HYPERLINK("https://pbs.twimg.com/profile_banners/1194664134501122048/1630198520")</f>
        <v>https://pbs.twimg.com/profile_banners/1194664134501122048/1630198520</v>
      </c>
      <c r="AQ18" s="79" t="b">
        <v>1</v>
      </c>
      <c r="AR18" s="79" t="b">
        <v>0</v>
      </c>
      <c r="AS18" s="79" t="b">
        <v>0</v>
      </c>
      <c r="AT18" s="79"/>
      <c r="AU18" s="79">
        <v>0</v>
      </c>
      <c r="AV18" s="79"/>
      <c r="AW18" s="79" t="b">
        <v>0</v>
      </c>
      <c r="AX18" s="79" t="s">
        <v>1458</v>
      </c>
      <c r="AY18" s="86" t="str">
        <f>HYPERLINK("https://twitter.com/bauzaoficial")</f>
        <v>https://twitter.com/bauzaoficial</v>
      </c>
      <c r="AZ18" s="79" t="s">
        <v>66</v>
      </c>
      <c r="BA18" s="79" t="str">
        <f>REPLACE(INDEX(GroupVertices[Group],MATCH(Vertices[[#This Row],[Vertex]],GroupVertices[Vertex],0)),1,1,"")</f>
        <v>27</v>
      </c>
      <c r="BB18" s="49">
        <v>0</v>
      </c>
      <c r="BC18" s="50">
        <v>0</v>
      </c>
      <c r="BD18" s="49">
        <v>0</v>
      </c>
      <c r="BE18" s="50">
        <v>0</v>
      </c>
      <c r="BF18" s="49">
        <v>0</v>
      </c>
      <c r="BG18" s="50">
        <v>0</v>
      </c>
      <c r="BH18" s="49">
        <v>28</v>
      </c>
      <c r="BI18" s="50">
        <v>100</v>
      </c>
      <c r="BJ18" s="49">
        <v>28</v>
      </c>
      <c r="BK18" s="49"/>
      <c r="BL18" s="49"/>
      <c r="BM18" s="49"/>
      <c r="BN18" s="49"/>
      <c r="BO18" s="49" t="s">
        <v>2264</v>
      </c>
      <c r="BP18" s="49" t="s">
        <v>2264</v>
      </c>
      <c r="BQ18" s="115" t="s">
        <v>2297</v>
      </c>
      <c r="BR18" s="115" t="s">
        <v>2297</v>
      </c>
      <c r="BS18" s="115" t="s">
        <v>2411</v>
      </c>
      <c r="BT18" s="115" t="s">
        <v>2411</v>
      </c>
      <c r="BU18" s="2"/>
      <c r="BV18" s="3"/>
      <c r="BW18" s="3"/>
      <c r="BX18" s="3"/>
      <c r="BY18" s="3"/>
    </row>
    <row r="19" spans="1:77" ht="15">
      <c r="A19" s="65" t="s">
        <v>229</v>
      </c>
      <c r="B19" s="66"/>
      <c r="C19" s="66"/>
      <c r="D19" s="67">
        <v>100</v>
      </c>
      <c r="E19" s="69"/>
      <c r="F19" s="103" t="str">
        <f>HYPERLINK("https://pbs.twimg.com/profile_images/1372968003575369737/e3mIFZuA_normal.jpg")</f>
        <v>https://pbs.twimg.com/profile_images/1372968003575369737/e3mIFZuA_normal.jpg</v>
      </c>
      <c r="G19" s="66"/>
      <c r="H19" s="70" t="s">
        <v>229</v>
      </c>
      <c r="I19" s="71"/>
      <c r="J19" s="71" t="s">
        <v>159</v>
      </c>
      <c r="K19" s="70" t="s">
        <v>1474</v>
      </c>
      <c r="L19" s="74">
        <v>1</v>
      </c>
      <c r="M19" s="75">
        <v>8735.16015625</v>
      </c>
      <c r="N19" s="75">
        <v>8764.9462890625</v>
      </c>
      <c r="O19" s="76"/>
      <c r="P19" s="77"/>
      <c r="Q19" s="77"/>
      <c r="R19" s="89"/>
      <c r="S19" s="49">
        <v>1</v>
      </c>
      <c r="T19" s="49">
        <v>1</v>
      </c>
      <c r="U19" s="50">
        <v>0</v>
      </c>
      <c r="V19" s="50">
        <v>0</v>
      </c>
      <c r="W19" s="50">
        <v>0</v>
      </c>
      <c r="X19" s="50">
        <v>0.999997</v>
      </c>
      <c r="Y19" s="50">
        <v>0</v>
      </c>
      <c r="Z19" s="50">
        <v>0</v>
      </c>
      <c r="AA19" s="72">
        <v>19</v>
      </c>
      <c r="AB19" s="72"/>
      <c r="AC19" s="73"/>
      <c r="AD19" s="79" t="s">
        <v>945</v>
      </c>
      <c r="AE19" s="84" t="s">
        <v>1108</v>
      </c>
      <c r="AF19" s="79">
        <v>725</v>
      </c>
      <c r="AG19" s="79">
        <v>891</v>
      </c>
      <c r="AH19" s="79">
        <v>5873</v>
      </c>
      <c r="AI19" s="79">
        <v>3193</v>
      </c>
      <c r="AJ19" s="79"/>
      <c r="AK19" s="79" t="s">
        <v>1263</v>
      </c>
      <c r="AL19" s="79" t="s">
        <v>1399</v>
      </c>
      <c r="AM19" s="86" t="str">
        <f>HYPERLINK("https://t.co/C10j1wYMm2")</f>
        <v>https://t.co/C10j1wYMm2</v>
      </c>
      <c r="AN19" s="79"/>
      <c r="AO19" s="81">
        <v>40238.106469907405</v>
      </c>
      <c r="AP19" s="86" t="str">
        <f>HYPERLINK("https://pbs.twimg.com/profile_banners/118562978/1619580305")</f>
        <v>https://pbs.twimg.com/profile_banners/118562978/1619580305</v>
      </c>
      <c r="AQ19" s="79" t="b">
        <v>0</v>
      </c>
      <c r="AR19" s="79" t="b">
        <v>0</v>
      </c>
      <c r="AS19" s="79" t="b">
        <v>1</v>
      </c>
      <c r="AT19" s="79"/>
      <c r="AU19" s="79">
        <v>15</v>
      </c>
      <c r="AV19" s="86" t="str">
        <f>HYPERLINK("https://abs.twimg.com/images/themes/theme1/bg.png")</f>
        <v>https://abs.twimg.com/images/themes/theme1/bg.png</v>
      </c>
      <c r="AW19" s="79" t="b">
        <v>0</v>
      </c>
      <c r="AX19" s="79" t="s">
        <v>1458</v>
      </c>
      <c r="AY19" s="86" t="str">
        <f>HYPERLINK("https://twitter.com/obritob")</f>
        <v>https://twitter.com/obritob</v>
      </c>
      <c r="AZ19" s="79" t="s">
        <v>66</v>
      </c>
      <c r="BA19" s="79" t="str">
        <f>REPLACE(INDEX(GroupVertices[Group],MATCH(Vertices[[#This Row],[Vertex]],GroupVertices[Vertex],0)),1,1,"")</f>
        <v>4</v>
      </c>
      <c r="BB19" s="49">
        <v>0</v>
      </c>
      <c r="BC19" s="50">
        <v>0</v>
      </c>
      <c r="BD19" s="49">
        <v>0</v>
      </c>
      <c r="BE19" s="50">
        <v>0</v>
      </c>
      <c r="BF19" s="49">
        <v>0</v>
      </c>
      <c r="BG19" s="50">
        <v>0</v>
      </c>
      <c r="BH19" s="49">
        <v>36</v>
      </c>
      <c r="BI19" s="50">
        <v>100</v>
      </c>
      <c r="BJ19" s="49">
        <v>36</v>
      </c>
      <c r="BK19" s="49"/>
      <c r="BL19" s="49"/>
      <c r="BM19" s="49"/>
      <c r="BN19" s="49"/>
      <c r="BO19" s="49" t="s">
        <v>472</v>
      </c>
      <c r="BP19" s="49" t="s">
        <v>472</v>
      </c>
      <c r="BQ19" s="115" t="s">
        <v>2523</v>
      </c>
      <c r="BR19" s="115" t="s">
        <v>2523</v>
      </c>
      <c r="BS19" s="115" t="s">
        <v>2582</v>
      </c>
      <c r="BT19" s="115" t="s">
        <v>2582</v>
      </c>
      <c r="BU19" s="2"/>
      <c r="BV19" s="3"/>
      <c r="BW19" s="3"/>
      <c r="BX19" s="3"/>
      <c r="BY19" s="3"/>
    </row>
    <row r="20" spans="1:77" ht="15">
      <c r="A20" s="65" t="s">
        <v>230</v>
      </c>
      <c r="B20" s="66"/>
      <c r="C20" s="66"/>
      <c r="D20" s="67">
        <v>100</v>
      </c>
      <c r="E20" s="69"/>
      <c r="F20" s="103" t="str">
        <f>HYPERLINK("https://pbs.twimg.com/profile_images/1366463090972368897/k8tAJGzj_normal.jpg")</f>
        <v>https://pbs.twimg.com/profile_images/1366463090972368897/k8tAJGzj_normal.jpg</v>
      </c>
      <c r="G20" s="66"/>
      <c r="H20" s="70" t="s">
        <v>230</v>
      </c>
      <c r="I20" s="71"/>
      <c r="J20" s="71" t="s">
        <v>159</v>
      </c>
      <c r="K20" s="70" t="s">
        <v>1475</v>
      </c>
      <c r="L20" s="74">
        <v>1</v>
      </c>
      <c r="M20" s="75">
        <v>7289.77392578125</v>
      </c>
      <c r="N20" s="75">
        <v>791.0601196289062</v>
      </c>
      <c r="O20" s="76"/>
      <c r="P20" s="77"/>
      <c r="Q20" s="77"/>
      <c r="R20" s="89"/>
      <c r="S20" s="49">
        <v>0</v>
      </c>
      <c r="T20" s="49">
        <v>1</v>
      </c>
      <c r="U20" s="50">
        <v>0</v>
      </c>
      <c r="V20" s="50">
        <v>1</v>
      </c>
      <c r="W20" s="50">
        <v>0</v>
      </c>
      <c r="X20" s="50">
        <v>0.701752</v>
      </c>
      <c r="Y20" s="50">
        <v>0</v>
      </c>
      <c r="Z20" s="50">
        <v>0</v>
      </c>
      <c r="AA20" s="72">
        <v>20</v>
      </c>
      <c r="AB20" s="72"/>
      <c r="AC20" s="73"/>
      <c r="AD20" s="79" t="s">
        <v>946</v>
      </c>
      <c r="AE20" s="84" t="s">
        <v>1109</v>
      </c>
      <c r="AF20" s="79">
        <v>705</v>
      </c>
      <c r="AG20" s="79">
        <v>306</v>
      </c>
      <c r="AH20" s="79">
        <v>42070</v>
      </c>
      <c r="AI20" s="79">
        <v>7197</v>
      </c>
      <c r="AJ20" s="79"/>
      <c r="AK20" s="79" t="s">
        <v>1264</v>
      </c>
      <c r="AL20" s="79" t="s">
        <v>1400</v>
      </c>
      <c r="AM20" s="86" t="str">
        <f>HYPERLINK("https://t.co/ybLVCQmPa0")</f>
        <v>https://t.co/ybLVCQmPa0</v>
      </c>
      <c r="AN20" s="79"/>
      <c r="AO20" s="81">
        <v>42875.9137962963</v>
      </c>
      <c r="AP20" s="86" t="str">
        <f>HYPERLINK("https://pbs.twimg.com/profile_banners/866049861434707969/1614625161")</f>
        <v>https://pbs.twimg.com/profile_banners/866049861434707969/1614625161</v>
      </c>
      <c r="AQ20" s="79" t="b">
        <v>1</v>
      </c>
      <c r="AR20" s="79" t="b">
        <v>0</v>
      </c>
      <c r="AS20" s="79" t="b">
        <v>0</v>
      </c>
      <c r="AT20" s="79"/>
      <c r="AU20" s="79">
        <v>2</v>
      </c>
      <c r="AV20" s="79"/>
      <c r="AW20" s="79" t="b">
        <v>0</v>
      </c>
      <c r="AX20" s="79" t="s">
        <v>1458</v>
      </c>
      <c r="AY20" s="86" t="str">
        <f>HYPERLINK("https://twitter.com/mexnewztam")</f>
        <v>https://twitter.com/mexnewztam</v>
      </c>
      <c r="AZ20" s="79" t="s">
        <v>66</v>
      </c>
      <c r="BA20" s="79" t="str">
        <f>REPLACE(INDEX(GroupVertices[Group],MATCH(Vertices[[#This Row],[Vertex]],GroupVertices[Vertex],0)),1,1,"")</f>
        <v>26</v>
      </c>
      <c r="BB20" s="49">
        <v>0</v>
      </c>
      <c r="BC20" s="50">
        <v>0</v>
      </c>
      <c r="BD20" s="49">
        <v>0</v>
      </c>
      <c r="BE20" s="50">
        <v>0</v>
      </c>
      <c r="BF20" s="49">
        <v>0</v>
      </c>
      <c r="BG20" s="50">
        <v>0</v>
      </c>
      <c r="BH20" s="49">
        <v>15</v>
      </c>
      <c r="BI20" s="50">
        <v>100</v>
      </c>
      <c r="BJ20" s="49">
        <v>15</v>
      </c>
      <c r="BK20" s="49" t="s">
        <v>2163</v>
      </c>
      <c r="BL20" s="49" t="s">
        <v>2163</v>
      </c>
      <c r="BM20" s="49" t="s">
        <v>452</v>
      </c>
      <c r="BN20" s="49" t="s">
        <v>452</v>
      </c>
      <c r="BO20" s="49" t="s">
        <v>473</v>
      </c>
      <c r="BP20" s="49" t="s">
        <v>473</v>
      </c>
      <c r="BQ20" s="115" t="s">
        <v>2524</v>
      </c>
      <c r="BR20" s="115" t="s">
        <v>2524</v>
      </c>
      <c r="BS20" s="115" t="s">
        <v>2410</v>
      </c>
      <c r="BT20" s="115" t="s">
        <v>2410</v>
      </c>
      <c r="BU20" s="2"/>
      <c r="BV20" s="3"/>
      <c r="BW20" s="3"/>
      <c r="BX20" s="3"/>
      <c r="BY20" s="3"/>
    </row>
    <row r="21" spans="1:77" ht="15">
      <c r="A21" s="65" t="s">
        <v>254</v>
      </c>
      <c r="B21" s="66"/>
      <c r="C21" s="66"/>
      <c r="D21" s="67">
        <v>100</v>
      </c>
      <c r="E21" s="69"/>
      <c r="F21" s="103" t="str">
        <f>HYPERLINK("https://pbs.twimg.com/profile_images/1384968285490458625/aBJdt9xT_normal.jpg")</f>
        <v>https://pbs.twimg.com/profile_images/1384968285490458625/aBJdt9xT_normal.jpg</v>
      </c>
      <c r="G21" s="66"/>
      <c r="H21" s="70" t="s">
        <v>254</v>
      </c>
      <c r="I21" s="71"/>
      <c r="J21" s="71" t="s">
        <v>159</v>
      </c>
      <c r="K21" s="70" t="s">
        <v>1476</v>
      </c>
      <c r="L21" s="74">
        <v>1</v>
      </c>
      <c r="M21" s="75">
        <v>7289.77392578125</v>
      </c>
      <c r="N21" s="75">
        <v>474.6360778808594</v>
      </c>
      <c r="O21" s="76"/>
      <c r="P21" s="77"/>
      <c r="Q21" s="77"/>
      <c r="R21" s="89"/>
      <c r="S21" s="49">
        <v>2</v>
      </c>
      <c r="T21" s="49">
        <v>1</v>
      </c>
      <c r="U21" s="50">
        <v>0</v>
      </c>
      <c r="V21" s="50">
        <v>1</v>
      </c>
      <c r="W21" s="50">
        <v>0</v>
      </c>
      <c r="X21" s="50">
        <v>1.298241</v>
      </c>
      <c r="Y21" s="50">
        <v>0</v>
      </c>
      <c r="Z21" s="50">
        <v>0</v>
      </c>
      <c r="AA21" s="72">
        <v>21</v>
      </c>
      <c r="AB21" s="72"/>
      <c r="AC21" s="73"/>
      <c r="AD21" s="79" t="s">
        <v>947</v>
      </c>
      <c r="AE21" s="84" t="s">
        <v>1110</v>
      </c>
      <c r="AF21" s="79">
        <v>4273</v>
      </c>
      <c r="AG21" s="79">
        <v>15971</v>
      </c>
      <c r="AH21" s="79">
        <v>161723</v>
      </c>
      <c r="AI21" s="79">
        <v>143114</v>
      </c>
      <c r="AJ21" s="79"/>
      <c r="AK21" s="79" t="s">
        <v>1265</v>
      </c>
      <c r="AL21" s="79" t="s">
        <v>1393</v>
      </c>
      <c r="AM21" s="86" t="str">
        <f>HYPERLINK("https://t.co/LZIklhvue8")</f>
        <v>https://t.co/LZIklhvue8</v>
      </c>
      <c r="AN21" s="79"/>
      <c r="AO21" s="81">
        <v>41843.64350694444</v>
      </c>
      <c r="AP21" s="86" t="str">
        <f>HYPERLINK("https://pbs.twimg.com/profile_banners/2674163930/1623470011")</f>
        <v>https://pbs.twimg.com/profile_banners/2674163930/1623470011</v>
      </c>
      <c r="AQ21" s="79" t="b">
        <v>1</v>
      </c>
      <c r="AR21" s="79" t="b">
        <v>0</v>
      </c>
      <c r="AS21" s="79" t="b">
        <v>1</v>
      </c>
      <c r="AT21" s="79"/>
      <c r="AU21" s="79">
        <v>230</v>
      </c>
      <c r="AV21" s="86" t="str">
        <f>HYPERLINK("https://abs.twimg.com/images/themes/theme1/bg.png")</f>
        <v>https://abs.twimg.com/images/themes/theme1/bg.png</v>
      </c>
      <c r="AW21" s="79" t="b">
        <v>0</v>
      </c>
      <c r="AX21" s="79" t="s">
        <v>1458</v>
      </c>
      <c r="AY21" s="86" t="str">
        <f>HYPERLINK("https://twitter.com/mexnewz")</f>
        <v>https://twitter.com/mexnewz</v>
      </c>
      <c r="AZ21" s="79" t="s">
        <v>66</v>
      </c>
      <c r="BA21" s="79" t="str">
        <f>REPLACE(INDEX(GroupVertices[Group],MATCH(Vertices[[#This Row],[Vertex]],GroupVertices[Vertex],0)),1,1,"")</f>
        <v>26</v>
      </c>
      <c r="BB21" s="49">
        <v>0</v>
      </c>
      <c r="BC21" s="50">
        <v>0</v>
      </c>
      <c r="BD21" s="49">
        <v>0</v>
      </c>
      <c r="BE21" s="50">
        <v>0</v>
      </c>
      <c r="BF21" s="49">
        <v>0</v>
      </c>
      <c r="BG21" s="50">
        <v>0</v>
      </c>
      <c r="BH21" s="49">
        <v>28</v>
      </c>
      <c r="BI21" s="50">
        <v>100</v>
      </c>
      <c r="BJ21" s="49">
        <v>28</v>
      </c>
      <c r="BK21" s="49" t="s">
        <v>2484</v>
      </c>
      <c r="BL21" s="49" t="s">
        <v>2484</v>
      </c>
      <c r="BM21" s="49" t="s">
        <v>452</v>
      </c>
      <c r="BN21" s="49" t="s">
        <v>452</v>
      </c>
      <c r="BO21" s="49" t="s">
        <v>2498</v>
      </c>
      <c r="BP21" s="49" t="s">
        <v>2510</v>
      </c>
      <c r="BQ21" s="115" t="s">
        <v>2525</v>
      </c>
      <c r="BR21" s="115" t="s">
        <v>2569</v>
      </c>
      <c r="BS21" s="115" t="s">
        <v>2583</v>
      </c>
      <c r="BT21" s="115" t="s">
        <v>2583</v>
      </c>
      <c r="BU21" s="2"/>
      <c r="BV21" s="3"/>
      <c r="BW21" s="3"/>
      <c r="BX21" s="3"/>
      <c r="BY21" s="3"/>
    </row>
    <row r="22" spans="1:77" ht="15">
      <c r="A22" s="65" t="s">
        <v>231</v>
      </c>
      <c r="B22" s="66"/>
      <c r="C22" s="66"/>
      <c r="D22" s="67">
        <v>100</v>
      </c>
      <c r="E22" s="69"/>
      <c r="F22" s="103" t="str">
        <f>HYPERLINK("https://pbs.twimg.com/profile_images/1136895681518546945/8aJcYgog_normal.jpg")</f>
        <v>https://pbs.twimg.com/profile_images/1136895681518546945/8aJcYgog_normal.jpg</v>
      </c>
      <c r="G22" s="66"/>
      <c r="H22" s="70" t="s">
        <v>231</v>
      </c>
      <c r="I22" s="71"/>
      <c r="J22" s="71" t="s">
        <v>159</v>
      </c>
      <c r="K22" s="70" t="s">
        <v>1477</v>
      </c>
      <c r="L22" s="74">
        <v>1</v>
      </c>
      <c r="M22" s="75">
        <v>5941.49658203125</v>
      </c>
      <c r="N22" s="75">
        <v>9603.06640625</v>
      </c>
      <c r="O22" s="76"/>
      <c r="P22" s="77"/>
      <c r="Q22" s="77"/>
      <c r="R22" s="89"/>
      <c r="S22" s="49">
        <v>0</v>
      </c>
      <c r="T22" s="49">
        <v>1</v>
      </c>
      <c r="U22" s="50">
        <v>0</v>
      </c>
      <c r="V22" s="50">
        <v>0.047619</v>
      </c>
      <c r="W22" s="50">
        <v>0</v>
      </c>
      <c r="X22" s="50">
        <v>0.462912</v>
      </c>
      <c r="Y22" s="50">
        <v>0</v>
      </c>
      <c r="Z22" s="50">
        <v>0</v>
      </c>
      <c r="AA22" s="72">
        <v>22</v>
      </c>
      <c r="AB22" s="72"/>
      <c r="AC22" s="73"/>
      <c r="AD22" s="79" t="s">
        <v>948</v>
      </c>
      <c r="AE22" s="84" t="s">
        <v>1111</v>
      </c>
      <c r="AF22" s="79">
        <v>675</v>
      </c>
      <c r="AG22" s="79">
        <v>704</v>
      </c>
      <c r="AH22" s="79">
        <v>15322</v>
      </c>
      <c r="AI22" s="79">
        <v>33356</v>
      </c>
      <c r="AJ22" s="79"/>
      <c r="AK22" s="79" t="s">
        <v>1266</v>
      </c>
      <c r="AL22" s="79" t="s">
        <v>1401</v>
      </c>
      <c r="AM22" s="79"/>
      <c r="AN22" s="79"/>
      <c r="AO22" s="81">
        <v>41301.66082175926</v>
      </c>
      <c r="AP22" s="86" t="str">
        <f>HYPERLINK("https://pbs.twimg.com/profile_banners/1125421364/1623765880")</f>
        <v>https://pbs.twimg.com/profile_banners/1125421364/1623765880</v>
      </c>
      <c r="AQ22" s="79" t="b">
        <v>1</v>
      </c>
      <c r="AR22" s="79" t="b">
        <v>0</v>
      </c>
      <c r="AS22" s="79" t="b">
        <v>0</v>
      </c>
      <c r="AT22" s="79"/>
      <c r="AU22" s="79">
        <v>6</v>
      </c>
      <c r="AV22" s="86" t="str">
        <f>HYPERLINK("https://abs.twimg.com/images/themes/theme1/bg.png")</f>
        <v>https://abs.twimg.com/images/themes/theme1/bg.png</v>
      </c>
      <c r="AW22" s="79" t="b">
        <v>0</v>
      </c>
      <c r="AX22" s="79" t="s">
        <v>1458</v>
      </c>
      <c r="AY22" s="86" t="str">
        <f>HYPERLINK("https://twitter.com/albypiero")</f>
        <v>https://twitter.com/albypiero</v>
      </c>
      <c r="AZ22" s="79" t="s">
        <v>66</v>
      </c>
      <c r="BA22" s="79" t="str">
        <f>REPLACE(INDEX(GroupVertices[Group],MATCH(Vertices[[#This Row],[Vertex]],GroupVertices[Vertex],0)),1,1,"")</f>
        <v>3</v>
      </c>
      <c r="BB22" s="49">
        <v>0</v>
      </c>
      <c r="BC22" s="50">
        <v>0</v>
      </c>
      <c r="BD22" s="49">
        <v>0</v>
      </c>
      <c r="BE22" s="50">
        <v>0</v>
      </c>
      <c r="BF22" s="49">
        <v>0</v>
      </c>
      <c r="BG22" s="50">
        <v>0</v>
      </c>
      <c r="BH22" s="49">
        <v>29</v>
      </c>
      <c r="BI22" s="50">
        <v>100</v>
      </c>
      <c r="BJ22" s="49">
        <v>29</v>
      </c>
      <c r="BK22" s="49" t="s">
        <v>2151</v>
      </c>
      <c r="BL22" s="49" t="s">
        <v>2151</v>
      </c>
      <c r="BM22" s="49" t="s">
        <v>453</v>
      </c>
      <c r="BN22" s="49" t="s">
        <v>453</v>
      </c>
      <c r="BO22" s="49" t="s">
        <v>474</v>
      </c>
      <c r="BP22" s="49" t="s">
        <v>474</v>
      </c>
      <c r="BQ22" s="115" t="s">
        <v>2526</v>
      </c>
      <c r="BR22" s="115" t="s">
        <v>2526</v>
      </c>
      <c r="BS22" s="115" t="s">
        <v>2584</v>
      </c>
      <c r="BT22" s="115" t="s">
        <v>2584</v>
      </c>
      <c r="BU22" s="2"/>
      <c r="BV22" s="3"/>
      <c r="BW22" s="3"/>
      <c r="BX22" s="3"/>
      <c r="BY22" s="3"/>
    </row>
    <row r="23" spans="1:77" ht="15">
      <c r="A23" s="65" t="s">
        <v>232</v>
      </c>
      <c r="B23" s="66"/>
      <c r="C23" s="66"/>
      <c r="D23" s="67">
        <v>100</v>
      </c>
      <c r="E23" s="69"/>
      <c r="F23" s="103" t="str">
        <f>HYPERLINK("https://pbs.twimg.com/profile_images/1421715644454785025/U9rcV9lM_normal.jpg")</f>
        <v>https://pbs.twimg.com/profile_images/1421715644454785025/U9rcV9lM_normal.jpg</v>
      </c>
      <c r="G23" s="66"/>
      <c r="H23" s="70" t="s">
        <v>232</v>
      </c>
      <c r="I23" s="71"/>
      <c r="J23" s="71" t="s">
        <v>159</v>
      </c>
      <c r="K23" s="70" t="s">
        <v>1478</v>
      </c>
      <c r="L23" s="74">
        <v>1</v>
      </c>
      <c r="M23" s="75">
        <v>7422.44189453125</v>
      </c>
      <c r="N23" s="75">
        <v>8153.19287109375</v>
      </c>
      <c r="O23" s="76"/>
      <c r="P23" s="77"/>
      <c r="Q23" s="77"/>
      <c r="R23" s="89"/>
      <c r="S23" s="49">
        <v>1</v>
      </c>
      <c r="T23" s="49">
        <v>1</v>
      </c>
      <c r="U23" s="50">
        <v>0</v>
      </c>
      <c r="V23" s="50">
        <v>0</v>
      </c>
      <c r="W23" s="50">
        <v>0</v>
      </c>
      <c r="X23" s="50">
        <v>0.999997</v>
      </c>
      <c r="Y23" s="50">
        <v>0</v>
      </c>
      <c r="Z23" s="50">
        <v>0</v>
      </c>
      <c r="AA23" s="72">
        <v>23</v>
      </c>
      <c r="AB23" s="72"/>
      <c r="AC23" s="73"/>
      <c r="AD23" s="79" t="s">
        <v>949</v>
      </c>
      <c r="AE23" s="84" t="s">
        <v>1112</v>
      </c>
      <c r="AF23" s="79">
        <v>1</v>
      </c>
      <c r="AG23" s="79">
        <v>2</v>
      </c>
      <c r="AH23" s="79">
        <v>67</v>
      </c>
      <c r="AI23" s="79">
        <v>0</v>
      </c>
      <c r="AJ23" s="79"/>
      <c r="AK23" s="79" t="s">
        <v>1267</v>
      </c>
      <c r="AL23" s="79" t="s">
        <v>1402</v>
      </c>
      <c r="AM23" s="79"/>
      <c r="AN23" s="79"/>
      <c r="AO23" s="81">
        <v>44409.25890046296</v>
      </c>
      <c r="AP23" s="86" t="str">
        <f>HYPERLINK("https://pbs.twimg.com/profile_banners/1421715476934180871/1627799189")</f>
        <v>https://pbs.twimg.com/profile_banners/1421715476934180871/1627799189</v>
      </c>
      <c r="AQ23" s="79" t="b">
        <v>1</v>
      </c>
      <c r="AR23" s="79" t="b">
        <v>0</v>
      </c>
      <c r="AS23" s="79" t="b">
        <v>0</v>
      </c>
      <c r="AT23" s="79"/>
      <c r="AU23" s="79">
        <v>0</v>
      </c>
      <c r="AV23" s="79"/>
      <c r="AW23" s="79" t="b">
        <v>0</v>
      </c>
      <c r="AX23" s="79" t="s">
        <v>1458</v>
      </c>
      <c r="AY23" s="86" t="str">
        <f>HYPERLINK("https://twitter.com/actingcbp")</f>
        <v>https://twitter.com/actingcbp</v>
      </c>
      <c r="AZ23" s="79" t="s">
        <v>66</v>
      </c>
      <c r="BA23" s="79" t="str">
        <f>REPLACE(INDEX(GroupVertices[Group],MATCH(Vertices[[#This Row],[Vertex]],GroupVertices[Vertex],0)),1,1,"")</f>
        <v>4</v>
      </c>
      <c r="BB23" s="49">
        <v>0</v>
      </c>
      <c r="BC23" s="50">
        <v>0</v>
      </c>
      <c r="BD23" s="49">
        <v>0</v>
      </c>
      <c r="BE23" s="50">
        <v>0</v>
      </c>
      <c r="BF23" s="49">
        <v>0</v>
      </c>
      <c r="BG23" s="50">
        <v>0</v>
      </c>
      <c r="BH23" s="49">
        <v>15</v>
      </c>
      <c r="BI23" s="50">
        <v>100</v>
      </c>
      <c r="BJ23" s="49">
        <v>15</v>
      </c>
      <c r="BK23" s="49" t="s">
        <v>2163</v>
      </c>
      <c r="BL23" s="49" t="s">
        <v>2163</v>
      </c>
      <c r="BM23" s="49" t="s">
        <v>452</v>
      </c>
      <c r="BN23" s="49" t="s">
        <v>452</v>
      </c>
      <c r="BO23" s="49" t="s">
        <v>473</v>
      </c>
      <c r="BP23" s="49" t="s">
        <v>473</v>
      </c>
      <c r="BQ23" s="115" t="s">
        <v>2524</v>
      </c>
      <c r="BR23" s="115" t="s">
        <v>2524</v>
      </c>
      <c r="BS23" s="115" t="s">
        <v>2410</v>
      </c>
      <c r="BT23" s="115" t="s">
        <v>2410</v>
      </c>
      <c r="BU23" s="2"/>
      <c r="BV23" s="3"/>
      <c r="BW23" s="3"/>
      <c r="BX23" s="3"/>
      <c r="BY23" s="3"/>
    </row>
    <row r="24" spans="1:77" ht="15">
      <c r="A24" s="65" t="s">
        <v>233</v>
      </c>
      <c r="B24" s="66"/>
      <c r="C24" s="66"/>
      <c r="D24" s="67">
        <v>100</v>
      </c>
      <c r="E24" s="69"/>
      <c r="F24" s="103" t="str">
        <f>HYPERLINK("https://pbs.twimg.com/profile_images/1058517183771238400/ajqlRnmc_normal.jpg")</f>
        <v>https://pbs.twimg.com/profile_images/1058517183771238400/ajqlRnmc_normal.jpg</v>
      </c>
      <c r="G24" s="66"/>
      <c r="H24" s="70" t="s">
        <v>233</v>
      </c>
      <c r="I24" s="71"/>
      <c r="J24" s="71" t="s">
        <v>159</v>
      </c>
      <c r="K24" s="70" t="s">
        <v>1479</v>
      </c>
      <c r="L24" s="74">
        <v>1</v>
      </c>
      <c r="M24" s="75">
        <v>8735.16015625</v>
      </c>
      <c r="N24" s="75">
        <v>8153.19287109375</v>
      </c>
      <c r="O24" s="76"/>
      <c r="P24" s="77"/>
      <c r="Q24" s="77"/>
      <c r="R24" s="89"/>
      <c r="S24" s="49">
        <v>1</v>
      </c>
      <c r="T24" s="49">
        <v>1</v>
      </c>
      <c r="U24" s="50">
        <v>0</v>
      </c>
      <c r="V24" s="50">
        <v>0</v>
      </c>
      <c r="W24" s="50">
        <v>0</v>
      </c>
      <c r="X24" s="50">
        <v>0.999997</v>
      </c>
      <c r="Y24" s="50">
        <v>0</v>
      </c>
      <c r="Z24" s="50">
        <v>0</v>
      </c>
      <c r="AA24" s="72">
        <v>24</v>
      </c>
      <c r="AB24" s="72"/>
      <c r="AC24" s="73"/>
      <c r="AD24" s="79" t="s">
        <v>950</v>
      </c>
      <c r="AE24" s="84" t="s">
        <v>1113</v>
      </c>
      <c r="AF24" s="79">
        <v>31</v>
      </c>
      <c r="AG24" s="79">
        <v>22</v>
      </c>
      <c r="AH24" s="79">
        <v>7096</v>
      </c>
      <c r="AI24" s="79">
        <v>31</v>
      </c>
      <c r="AJ24" s="79"/>
      <c r="AK24" s="79"/>
      <c r="AL24" s="79" t="s">
        <v>1403</v>
      </c>
      <c r="AM24" s="86" t="str">
        <f>HYPERLINK("https://t.co/Bhis7MkLB3")</f>
        <v>https://t.co/Bhis7MkLB3</v>
      </c>
      <c r="AN24" s="79"/>
      <c r="AO24" s="81">
        <v>43407.0165625</v>
      </c>
      <c r="AP24" s="86" t="str">
        <f>HYPERLINK("https://pbs.twimg.com/profile_banners/1058515061470384128/1594770012")</f>
        <v>https://pbs.twimg.com/profile_banners/1058515061470384128/1594770012</v>
      </c>
      <c r="AQ24" s="79" t="b">
        <v>1</v>
      </c>
      <c r="AR24" s="79" t="b">
        <v>0</v>
      </c>
      <c r="AS24" s="79" t="b">
        <v>0</v>
      </c>
      <c r="AT24" s="79"/>
      <c r="AU24" s="79">
        <v>1</v>
      </c>
      <c r="AV24" s="79"/>
      <c r="AW24" s="79" t="b">
        <v>0</v>
      </c>
      <c r="AX24" s="79" t="s">
        <v>1458</v>
      </c>
      <c r="AY24" s="86" t="str">
        <f>HYPERLINK("https://twitter.com/infomediamx4")</f>
        <v>https://twitter.com/infomediamx4</v>
      </c>
      <c r="AZ24" s="79" t="s">
        <v>66</v>
      </c>
      <c r="BA24" s="79" t="str">
        <f>REPLACE(INDEX(GroupVertices[Group],MATCH(Vertices[[#This Row],[Vertex]],GroupVertices[Vertex],0)),1,1,"")</f>
        <v>4</v>
      </c>
      <c r="BB24" s="49">
        <v>0</v>
      </c>
      <c r="BC24" s="50">
        <v>0</v>
      </c>
      <c r="BD24" s="49">
        <v>0</v>
      </c>
      <c r="BE24" s="50">
        <v>0</v>
      </c>
      <c r="BF24" s="49">
        <v>0</v>
      </c>
      <c r="BG24" s="50">
        <v>0</v>
      </c>
      <c r="BH24" s="49">
        <v>13</v>
      </c>
      <c r="BI24" s="50">
        <v>100</v>
      </c>
      <c r="BJ24" s="49">
        <v>13</v>
      </c>
      <c r="BK24" s="49" t="s">
        <v>2164</v>
      </c>
      <c r="BL24" s="49" t="s">
        <v>2164</v>
      </c>
      <c r="BM24" s="49" t="s">
        <v>454</v>
      </c>
      <c r="BN24" s="49" t="s">
        <v>454</v>
      </c>
      <c r="BO24" s="49" t="s">
        <v>475</v>
      </c>
      <c r="BP24" s="49" t="s">
        <v>475</v>
      </c>
      <c r="BQ24" s="115" t="s">
        <v>2527</v>
      </c>
      <c r="BR24" s="115" t="s">
        <v>2527</v>
      </c>
      <c r="BS24" s="115" t="s">
        <v>2585</v>
      </c>
      <c r="BT24" s="115" t="s">
        <v>2585</v>
      </c>
      <c r="BU24" s="2"/>
      <c r="BV24" s="3"/>
      <c r="BW24" s="3"/>
      <c r="BX24" s="3"/>
      <c r="BY24" s="3"/>
    </row>
    <row r="25" spans="1:77" ht="15">
      <c r="A25" s="65" t="s">
        <v>234</v>
      </c>
      <c r="B25" s="66"/>
      <c r="C25" s="66"/>
      <c r="D25" s="67">
        <v>100</v>
      </c>
      <c r="E25" s="69"/>
      <c r="F25" s="103" t="str">
        <f>HYPERLINK("https://pbs.twimg.com/profile_images/1241498164601008130/tKd43QJY_normal.jpg")</f>
        <v>https://pbs.twimg.com/profile_images/1241498164601008130/tKd43QJY_normal.jpg</v>
      </c>
      <c r="G25" s="66"/>
      <c r="H25" s="70" t="s">
        <v>234</v>
      </c>
      <c r="I25" s="71"/>
      <c r="J25" s="71" t="s">
        <v>159</v>
      </c>
      <c r="K25" s="70" t="s">
        <v>1480</v>
      </c>
      <c r="L25" s="74">
        <v>1</v>
      </c>
      <c r="M25" s="75">
        <v>4649.10302734375</v>
      </c>
      <c r="N25" s="75">
        <v>379.7088623046875</v>
      </c>
      <c r="O25" s="76"/>
      <c r="P25" s="77"/>
      <c r="Q25" s="77"/>
      <c r="R25" s="89"/>
      <c r="S25" s="49">
        <v>0</v>
      </c>
      <c r="T25" s="49">
        <v>1</v>
      </c>
      <c r="U25" s="50">
        <v>0</v>
      </c>
      <c r="V25" s="50">
        <v>0.142857</v>
      </c>
      <c r="W25" s="50">
        <v>0</v>
      </c>
      <c r="X25" s="50">
        <v>0.595236</v>
      </c>
      <c r="Y25" s="50">
        <v>0</v>
      </c>
      <c r="Z25" s="50">
        <v>0</v>
      </c>
      <c r="AA25" s="72">
        <v>25</v>
      </c>
      <c r="AB25" s="72"/>
      <c r="AC25" s="73"/>
      <c r="AD25" s="79" t="s">
        <v>951</v>
      </c>
      <c r="AE25" s="84" t="s">
        <v>1114</v>
      </c>
      <c r="AF25" s="79">
        <v>4958</v>
      </c>
      <c r="AG25" s="79">
        <v>1029</v>
      </c>
      <c r="AH25" s="79">
        <v>86097</v>
      </c>
      <c r="AI25" s="79">
        <v>155987</v>
      </c>
      <c r="AJ25" s="79"/>
      <c r="AK25" s="79"/>
      <c r="AL25" s="79" t="s">
        <v>1404</v>
      </c>
      <c r="AM25" s="79"/>
      <c r="AN25" s="79"/>
      <c r="AO25" s="81">
        <v>40356.2749537037</v>
      </c>
      <c r="AP25" s="79"/>
      <c r="AQ25" s="79" t="b">
        <v>0</v>
      </c>
      <c r="AR25" s="79" t="b">
        <v>0</v>
      </c>
      <c r="AS25" s="79" t="b">
        <v>1</v>
      </c>
      <c r="AT25" s="79"/>
      <c r="AU25" s="79">
        <v>2</v>
      </c>
      <c r="AV25" s="86" t="str">
        <f>HYPERLINK("https://abs.twimg.com/images/themes/theme9/bg.gif")</f>
        <v>https://abs.twimg.com/images/themes/theme9/bg.gif</v>
      </c>
      <c r="AW25" s="79" t="b">
        <v>0</v>
      </c>
      <c r="AX25" s="79" t="s">
        <v>1458</v>
      </c>
      <c r="AY25" s="86" t="str">
        <f>HYPERLINK("https://twitter.com/cesar_alonso__")</f>
        <v>https://twitter.com/cesar_alonso__</v>
      </c>
      <c r="AZ25" s="79" t="s">
        <v>66</v>
      </c>
      <c r="BA25" s="79" t="str">
        <f>REPLACE(INDEX(GroupVertices[Group],MATCH(Vertices[[#This Row],[Vertex]],GroupVertices[Vertex],0)),1,1,"")</f>
        <v>10</v>
      </c>
      <c r="BB25" s="49">
        <v>0</v>
      </c>
      <c r="BC25" s="50">
        <v>0</v>
      </c>
      <c r="BD25" s="49">
        <v>0</v>
      </c>
      <c r="BE25" s="50">
        <v>0</v>
      </c>
      <c r="BF25" s="49">
        <v>0</v>
      </c>
      <c r="BG25" s="50">
        <v>0</v>
      </c>
      <c r="BH25" s="49">
        <v>44</v>
      </c>
      <c r="BI25" s="50">
        <v>100</v>
      </c>
      <c r="BJ25" s="49">
        <v>44</v>
      </c>
      <c r="BK25" s="49"/>
      <c r="BL25" s="49"/>
      <c r="BM25" s="49"/>
      <c r="BN25" s="49"/>
      <c r="BO25" s="49" t="s">
        <v>476</v>
      </c>
      <c r="BP25" s="49" t="s">
        <v>476</v>
      </c>
      <c r="BQ25" s="115" t="s">
        <v>2528</v>
      </c>
      <c r="BR25" s="115" t="s">
        <v>2528</v>
      </c>
      <c r="BS25" s="115" t="s">
        <v>2399</v>
      </c>
      <c r="BT25" s="115" t="s">
        <v>2399</v>
      </c>
      <c r="BU25" s="2"/>
      <c r="BV25" s="3"/>
      <c r="BW25" s="3"/>
      <c r="BX25" s="3"/>
      <c r="BY25" s="3"/>
    </row>
    <row r="26" spans="1:77" ht="15">
      <c r="A26" s="65" t="s">
        <v>238</v>
      </c>
      <c r="B26" s="66"/>
      <c r="C26" s="66"/>
      <c r="D26" s="67">
        <v>174.48275862068965</v>
      </c>
      <c r="E26" s="69"/>
      <c r="F26" s="103" t="str">
        <f>HYPERLINK("https://pbs.twimg.com/profile_images/1428883324966109189/hCXYHKH6_normal.jpg")</f>
        <v>https://pbs.twimg.com/profile_images/1428883324966109189/hCXYHKH6_normal.jpg</v>
      </c>
      <c r="G26" s="66"/>
      <c r="H26" s="70" t="s">
        <v>238</v>
      </c>
      <c r="I26" s="71"/>
      <c r="J26" s="71" t="s">
        <v>75</v>
      </c>
      <c r="K26" s="70" t="s">
        <v>1481</v>
      </c>
      <c r="L26" s="74">
        <v>96.21904761904761</v>
      </c>
      <c r="M26" s="75">
        <v>4622.44873046875</v>
      </c>
      <c r="N26" s="75">
        <v>996.7337646484375</v>
      </c>
      <c r="O26" s="76"/>
      <c r="P26" s="77"/>
      <c r="Q26" s="77"/>
      <c r="R26" s="89"/>
      <c r="S26" s="49">
        <v>5</v>
      </c>
      <c r="T26" s="49">
        <v>1</v>
      </c>
      <c r="U26" s="50">
        <v>12</v>
      </c>
      <c r="V26" s="50">
        <v>0.25</v>
      </c>
      <c r="W26" s="50">
        <v>0</v>
      </c>
      <c r="X26" s="50">
        <v>2.619039</v>
      </c>
      <c r="Y26" s="50">
        <v>0</v>
      </c>
      <c r="Z26" s="50">
        <v>0</v>
      </c>
      <c r="AA26" s="72">
        <v>26</v>
      </c>
      <c r="AB26" s="72"/>
      <c r="AC26" s="73"/>
      <c r="AD26" s="79" t="s">
        <v>952</v>
      </c>
      <c r="AE26" s="84" t="s">
        <v>872</v>
      </c>
      <c r="AF26" s="79">
        <v>9577</v>
      </c>
      <c r="AG26" s="79">
        <v>29573</v>
      </c>
      <c r="AH26" s="79">
        <v>36319</v>
      </c>
      <c r="AI26" s="79">
        <v>29141</v>
      </c>
      <c r="AJ26" s="79"/>
      <c r="AK26" s="79" t="s">
        <v>1268</v>
      </c>
      <c r="AL26" s="79" t="s">
        <v>1393</v>
      </c>
      <c r="AM26" s="86" t="str">
        <f>HYPERLINK("https://t.co/LCuIO59EF1")</f>
        <v>https://t.co/LCuIO59EF1</v>
      </c>
      <c r="AN26" s="79"/>
      <c r="AO26" s="81">
        <v>40293.85119212963</v>
      </c>
      <c r="AP26" s="86" t="str">
        <f>HYPERLINK("https://pbs.twimg.com/profile_banners/137104854/1630950620")</f>
        <v>https://pbs.twimg.com/profile_banners/137104854/1630950620</v>
      </c>
      <c r="AQ26" s="79" t="b">
        <v>0</v>
      </c>
      <c r="AR26" s="79" t="b">
        <v>0</v>
      </c>
      <c r="AS26" s="79" t="b">
        <v>1</v>
      </c>
      <c r="AT26" s="79"/>
      <c r="AU26" s="79">
        <v>222</v>
      </c>
      <c r="AV26" s="86" t="str">
        <f>HYPERLINK("https://abs.twimg.com/images/themes/theme1/bg.png")</f>
        <v>https://abs.twimg.com/images/themes/theme1/bg.png</v>
      </c>
      <c r="AW26" s="79" t="b">
        <v>1</v>
      </c>
      <c r="AX26" s="79" t="s">
        <v>1458</v>
      </c>
      <c r="AY26" s="86" t="str">
        <f>HYPERLINK("https://twitter.com/eunicerendon")</f>
        <v>https://twitter.com/eunicerendon</v>
      </c>
      <c r="AZ26" s="79" t="s">
        <v>66</v>
      </c>
      <c r="BA26" s="79" t="str">
        <f>REPLACE(INDEX(GroupVertices[Group],MATCH(Vertices[[#This Row],[Vertex]],GroupVertices[Vertex],0)),1,1,"")</f>
        <v>10</v>
      </c>
      <c r="BB26" s="49">
        <v>0</v>
      </c>
      <c r="BC26" s="50">
        <v>0</v>
      </c>
      <c r="BD26" s="49">
        <v>0</v>
      </c>
      <c r="BE26" s="50">
        <v>0</v>
      </c>
      <c r="BF26" s="49">
        <v>0</v>
      </c>
      <c r="BG26" s="50">
        <v>0</v>
      </c>
      <c r="BH26" s="49">
        <v>70</v>
      </c>
      <c r="BI26" s="50">
        <v>100</v>
      </c>
      <c r="BJ26" s="49">
        <v>70</v>
      </c>
      <c r="BK26" s="49"/>
      <c r="BL26" s="49"/>
      <c r="BM26" s="49"/>
      <c r="BN26" s="49"/>
      <c r="BO26" s="49" t="s">
        <v>2499</v>
      </c>
      <c r="BP26" s="49" t="s">
        <v>2511</v>
      </c>
      <c r="BQ26" s="115" t="s">
        <v>2529</v>
      </c>
      <c r="BR26" s="115" t="s">
        <v>2529</v>
      </c>
      <c r="BS26" s="115" t="s">
        <v>2586</v>
      </c>
      <c r="BT26" s="115" t="s">
        <v>2586</v>
      </c>
      <c r="BU26" s="2"/>
      <c r="BV26" s="3"/>
      <c r="BW26" s="3"/>
      <c r="BX26" s="3"/>
      <c r="BY26" s="3"/>
    </row>
    <row r="27" spans="1:77" ht="15">
      <c r="A27" s="65" t="s">
        <v>235</v>
      </c>
      <c r="B27" s="66"/>
      <c r="C27" s="66"/>
      <c r="D27" s="67">
        <v>100</v>
      </c>
      <c r="E27" s="69"/>
      <c r="F27" s="103" t="str">
        <f>HYPERLINK("https://pbs.twimg.com/profile_images/829781331210952704/Xga97Hjg_normal.jpg")</f>
        <v>https://pbs.twimg.com/profile_images/829781331210952704/Xga97Hjg_normal.jpg</v>
      </c>
      <c r="G27" s="66"/>
      <c r="H27" s="70" t="s">
        <v>235</v>
      </c>
      <c r="I27" s="71"/>
      <c r="J27" s="71" t="s">
        <v>159</v>
      </c>
      <c r="K27" s="70" t="s">
        <v>1482</v>
      </c>
      <c r="L27" s="74">
        <v>1</v>
      </c>
      <c r="M27" s="75">
        <v>3910.223388671875</v>
      </c>
      <c r="N27" s="75">
        <v>971.2869873046875</v>
      </c>
      <c r="O27" s="76"/>
      <c r="P27" s="77"/>
      <c r="Q27" s="77"/>
      <c r="R27" s="89"/>
      <c r="S27" s="49">
        <v>0</v>
      </c>
      <c r="T27" s="49">
        <v>1</v>
      </c>
      <c r="U27" s="50">
        <v>0</v>
      </c>
      <c r="V27" s="50">
        <v>0.142857</v>
      </c>
      <c r="W27" s="50">
        <v>0</v>
      </c>
      <c r="X27" s="50">
        <v>0.595236</v>
      </c>
      <c r="Y27" s="50">
        <v>0</v>
      </c>
      <c r="Z27" s="50">
        <v>0</v>
      </c>
      <c r="AA27" s="72">
        <v>27</v>
      </c>
      <c r="AB27" s="72"/>
      <c r="AC27" s="73"/>
      <c r="AD27" s="79" t="s">
        <v>953</v>
      </c>
      <c r="AE27" s="84" t="s">
        <v>1115</v>
      </c>
      <c r="AF27" s="79">
        <v>280</v>
      </c>
      <c r="AG27" s="79">
        <v>3621</v>
      </c>
      <c r="AH27" s="79">
        <v>10129</v>
      </c>
      <c r="AI27" s="79">
        <v>6352</v>
      </c>
      <c r="AJ27" s="79"/>
      <c r="AK27" s="79" t="s">
        <v>1269</v>
      </c>
      <c r="AL27" s="79"/>
      <c r="AM27" s="86" t="str">
        <f>HYPERLINK("https://t.co/C1XG76Du6e")</f>
        <v>https://t.co/C1XG76Du6e</v>
      </c>
      <c r="AN27" s="79"/>
      <c r="AO27" s="81">
        <v>42771.17136574074</v>
      </c>
      <c r="AP27" s="86" t="str">
        <f>HYPERLINK("https://pbs.twimg.com/profile_banners/828092476909088768/1598278620")</f>
        <v>https://pbs.twimg.com/profile_banners/828092476909088768/1598278620</v>
      </c>
      <c r="AQ27" s="79" t="b">
        <v>1</v>
      </c>
      <c r="AR27" s="79" t="b">
        <v>0</v>
      </c>
      <c r="AS27" s="79" t="b">
        <v>0</v>
      </c>
      <c r="AT27" s="79"/>
      <c r="AU27" s="79">
        <v>39</v>
      </c>
      <c r="AV27" s="79"/>
      <c r="AW27" s="79" t="b">
        <v>0</v>
      </c>
      <c r="AX27" s="79" t="s">
        <v>1458</v>
      </c>
      <c r="AY27" s="86" t="str">
        <f>HYPERLINK("https://twitter.com/agendamigrante")</f>
        <v>https://twitter.com/agendamigrante</v>
      </c>
      <c r="AZ27" s="79" t="s">
        <v>66</v>
      </c>
      <c r="BA27" s="79" t="str">
        <f>REPLACE(INDEX(GroupVertices[Group],MATCH(Vertices[[#This Row],[Vertex]],GroupVertices[Vertex],0)),1,1,"")</f>
        <v>10</v>
      </c>
      <c r="BB27" s="49">
        <v>0</v>
      </c>
      <c r="BC27" s="50">
        <v>0</v>
      </c>
      <c r="BD27" s="49">
        <v>0</v>
      </c>
      <c r="BE27" s="50">
        <v>0</v>
      </c>
      <c r="BF27" s="49">
        <v>0</v>
      </c>
      <c r="BG27" s="50">
        <v>0</v>
      </c>
      <c r="BH27" s="49">
        <v>44</v>
      </c>
      <c r="BI27" s="50">
        <v>100</v>
      </c>
      <c r="BJ27" s="49">
        <v>44</v>
      </c>
      <c r="BK27" s="49"/>
      <c r="BL27" s="49"/>
      <c r="BM27" s="49"/>
      <c r="BN27" s="49"/>
      <c r="BO27" s="49" t="s">
        <v>476</v>
      </c>
      <c r="BP27" s="49" t="s">
        <v>476</v>
      </c>
      <c r="BQ27" s="115" t="s">
        <v>2528</v>
      </c>
      <c r="BR27" s="115" t="s">
        <v>2528</v>
      </c>
      <c r="BS27" s="115" t="s">
        <v>2399</v>
      </c>
      <c r="BT27" s="115" t="s">
        <v>2399</v>
      </c>
      <c r="BU27" s="2"/>
      <c r="BV27" s="3"/>
      <c r="BW27" s="3"/>
      <c r="BX27" s="3"/>
      <c r="BY27" s="3"/>
    </row>
    <row r="28" spans="1:77" ht="15">
      <c r="A28" s="65" t="s">
        <v>236</v>
      </c>
      <c r="B28" s="66"/>
      <c r="C28" s="66"/>
      <c r="D28" s="67">
        <v>100</v>
      </c>
      <c r="E28" s="69"/>
      <c r="F28" s="103" t="str">
        <f>HYPERLINK("https://pbs.twimg.com/profile_images/928318705028812802/nfU9byQ6_normal.jpg")</f>
        <v>https://pbs.twimg.com/profile_images/928318705028812802/nfU9byQ6_normal.jpg</v>
      </c>
      <c r="G28" s="66"/>
      <c r="H28" s="70" t="s">
        <v>236</v>
      </c>
      <c r="I28" s="71"/>
      <c r="J28" s="71" t="s">
        <v>159</v>
      </c>
      <c r="K28" s="70" t="s">
        <v>1483</v>
      </c>
      <c r="L28" s="74">
        <v>1</v>
      </c>
      <c r="M28" s="75">
        <v>5334.662109375</v>
      </c>
      <c r="N28" s="75">
        <v>1022.2144165039062</v>
      </c>
      <c r="O28" s="76"/>
      <c r="P28" s="77"/>
      <c r="Q28" s="77"/>
      <c r="R28" s="89"/>
      <c r="S28" s="49">
        <v>0</v>
      </c>
      <c r="T28" s="49">
        <v>1</v>
      </c>
      <c r="U28" s="50">
        <v>0</v>
      </c>
      <c r="V28" s="50">
        <v>0.142857</v>
      </c>
      <c r="W28" s="50">
        <v>0</v>
      </c>
      <c r="X28" s="50">
        <v>0.595236</v>
      </c>
      <c r="Y28" s="50">
        <v>0</v>
      </c>
      <c r="Z28" s="50">
        <v>0</v>
      </c>
      <c r="AA28" s="72">
        <v>28</v>
      </c>
      <c r="AB28" s="72"/>
      <c r="AC28" s="73"/>
      <c r="AD28" s="79" t="s">
        <v>954</v>
      </c>
      <c r="AE28" s="84" t="s">
        <v>1116</v>
      </c>
      <c r="AF28" s="79">
        <v>5922</v>
      </c>
      <c r="AG28" s="79">
        <v>12878</v>
      </c>
      <c r="AH28" s="79">
        <v>20428</v>
      </c>
      <c r="AI28" s="79">
        <v>9716</v>
      </c>
      <c r="AJ28" s="79"/>
      <c r="AK28" s="79" t="s">
        <v>1270</v>
      </c>
      <c r="AL28" s="79" t="s">
        <v>1393</v>
      </c>
      <c r="AM28" s="86" t="str">
        <f>HYPERLINK("https://t.co/iHHdtd6ZFI")</f>
        <v>https://t.co/iHHdtd6ZFI</v>
      </c>
      <c r="AN28" s="79"/>
      <c r="AO28" s="81">
        <v>41115.737280092595</v>
      </c>
      <c r="AP28" s="86" t="str">
        <f>HYPERLINK("https://pbs.twimg.com/profile_banners/716458046/1565639211")</f>
        <v>https://pbs.twimg.com/profile_banners/716458046/1565639211</v>
      </c>
      <c r="AQ28" s="79" t="b">
        <v>0</v>
      </c>
      <c r="AR28" s="79" t="b">
        <v>0</v>
      </c>
      <c r="AS28" s="79" t="b">
        <v>1</v>
      </c>
      <c r="AT28" s="79"/>
      <c r="AU28" s="79">
        <v>96</v>
      </c>
      <c r="AV28" s="86" t="str">
        <f>HYPERLINK("https://abs.twimg.com/images/themes/theme9/bg.gif")</f>
        <v>https://abs.twimg.com/images/themes/theme9/bg.gif</v>
      </c>
      <c r="AW28" s="79" t="b">
        <v>0</v>
      </c>
      <c r="AX28" s="79" t="s">
        <v>1458</v>
      </c>
      <c r="AY28" s="86" t="str">
        <f>HYPERLINK("https://twitter.com/viral_mx")</f>
        <v>https://twitter.com/viral_mx</v>
      </c>
      <c r="AZ28" s="79" t="s">
        <v>66</v>
      </c>
      <c r="BA28" s="79" t="str">
        <f>REPLACE(INDEX(GroupVertices[Group],MATCH(Vertices[[#This Row],[Vertex]],GroupVertices[Vertex],0)),1,1,"")</f>
        <v>10</v>
      </c>
      <c r="BB28" s="49">
        <v>0</v>
      </c>
      <c r="BC28" s="50">
        <v>0</v>
      </c>
      <c r="BD28" s="49">
        <v>0</v>
      </c>
      <c r="BE28" s="50">
        <v>0</v>
      </c>
      <c r="BF28" s="49">
        <v>0</v>
      </c>
      <c r="BG28" s="50">
        <v>0</v>
      </c>
      <c r="BH28" s="49">
        <v>44</v>
      </c>
      <c r="BI28" s="50">
        <v>100</v>
      </c>
      <c r="BJ28" s="49">
        <v>44</v>
      </c>
      <c r="BK28" s="49"/>
      <c r="BL28" s="49"/>
      <c r="BM28" s="49"/>
      <c r="BN28" s="49"/>
      <c r="BO28" s="49" t="s">
        <v>476</v>
      </c>
      <c r="BP28" s="49" t="s">
        <v>476</v>
      </c>
      <c r="BQ28" s="115" t="s">
        <v>2528</v>
      </c>
      <c r="BR28" s="115" t="s">
        <v>2528</v>
      </c>
      <c r="BS28" s="115" t="s">
        <v>2399</v>
      </c>
      <c r="BT28" s="115" t="s">
        <v>2399</v>
      </c>
      <c r="BU28" s="2"/>
      <c r="BV28" s="3"/>
      <c r="BW28" s="3"/>
      <c r="BX28" s="3"/>
      <c r="BY28" s="3"/>
    </row>
    <row r="29" spans="1:77" ht="15">
      <c r="A29" s="65" t="s">
        <v>237</v>
      </c>
      <c r="B29" s="66"/>
      <c r="C29" s="66"/>
      <c r="D29" s="67">
        <v>124.82758620689656</v>
      </c>
      <c r="E29" s="69"/>
      <c r="F29" s="103" t="str">
        <f>HYPERLINK("https://pbs.twimg.com/profile_images/1439639256604020744/Iu_kuQTi_normal.jpg")</f>
        <v>https://pbs.twimg.com/profile_images/1439639256604020744/Iu_kuQTi_normal.jpg</v>
      </c>
      <c r="G29" s="66"/>
      <c r="H29" s="70" t="s">
        <v>237</v>
      </c>
      <c r="I29" s="71"/>
      <c r="J29" s="71" t="s">
        <v>75</v>
      </c>
      <c r="K29" s="70" t="s">
        <v>1484</v>
      </c>
      <c r="L29" s="74">
        <v>32.73968253968254</v>
      </c>
      <c r="M29" s="75">
        <v>5996.66552734375</v>
      </c>
      <c r="N29" s="75">
        <v>5049.60302734375</v>
      </c>
      <c r="O29" s="76"/>
      <c r="P29" s="77"/>
      <c r="Q29" s="77"/>
      <c r="R29" s="89"/>
      <c r="S29" s="49">
        <v>1</v>
      </c>
      <c r="T29" s="49">
        <v>2</v>
      </c>
      <c r="U29" s="50">
        <v>4</v>
      </c>
      <c r="V29" s="50">
        <v>0.333333</v>
      </c>
      <c r="W29" s="50">
        <v>0</v>
      </c>
      <c r="X29" s="50">
        <v>1.466939</v>
      </c>
      <c r="Y29" s="50">
        <v>0.16666666666666666</v>
      </c>
      <c r="Z29" s="50">
        <v>0</v>
      </c>
      <c r="AA29" s="72">
        <v>29</v>
      </c>
      <c r="AB29" s="72"/>
      <c r="AC29" s="73"/>
      <c r="AD29" s="79" t="s">
        <v>955</v>
      </c>
      <c r="AE29" s="84" t="s">
        <v>1117</v>
      </c>
      <c r="AF29" s="79">
        <v>34</v>
      </c>
      <c r="AG29" s="79">
        <v>169</v>
      </c>
      <c r="AH29" s="79">
        <v>3339</v>
      </c>
      <c r="AI29" s="79">
        <v>3105</v>
      </c>
      <c r="AJ29" s="79"/>
      <c r="AK29" s="79" t="s">
        <v>1271</v>
      </c>
      <c r="AL29" s="79" t="s">
        <v>1405</v>
      </c>
      <c r="AM29" s="86" t="str">
        <f>HYPERLINK("https://t.co/26sqHs2Xnk")</f>
        <v>https://t.co/26sqHs2Xnk</v>
      </c>
      <c r="AN29" s="79"/>
      <c r="AO29" s="81">
        <v>44224.05662037037</v>
      </c>
      <c r="AP29" s="86" t="str">
        <f>HYPERLINK("https://pbs.twimg.com/profile_banners/1354600423450144770/1632560227")</f>
        <v>https://pbs.twimg.com/profile_banners/1354600423450144770/1632560227</v>
      </c>
      <c r="AQ29" s="79" t="b">
        <v>1</v>
      </c>
      <c r="AR29" s="79" t="b">
        <v>0</v>
      </c>
      <c r="AS29" s="79" t="b">
        <v>0</v>
      </c>
      <c r="AT29" s="79"/>
      <c r="AU29" s="79">
        <v>1</v>
      </c>
      <c r="AV29" s="79"/>
      <c r="AW29" s="79" t="b">
        <v>0</v>
      </c>
      <c r="AX29" s="79" t="s">
        <v>1458</v>
      </c>
      <c r="AY29" s="86" t="str">
        <f>HYPERLINK("https://twitter.com/real_marquis")</f>
        <v>https://twitter.com/real_marquis</v>
      </c>
      <c r="AZ29" s="79" t="s">
        <v>66</v>
      </c>
      <c r="BA29" s="79" t="str">
        <f>REPLACE(INDEX(GroupVertices[Group],MATCH(Vertices[[#This Row],[Vertex]],GroupVertices[Vertex],0)),1,1,"")</f>
        <v>13</v>
      </c>
      <c r="BB29" s="49">
        <v>0</v>
      </c>
      <c r="BC29" s="50">
        <v>0</v>
      </c>
      <c r="BD29" s="49">
        <v>1</v>
      </c>
      <c r="BE29" s="50">
        <v>2.9411764705882355</v>
      </c>
      <c r="BF29" s="49">
        <v>0</v>
      </c>
      <c r="BG29" s="50">
        <v>0</v>
      </c>
      <c r="BH29" s="49">
        <v>33</v>
      </c>
      <c r="BI29" s="50">
        <v>97.05882352941177</v>
      </c>
      <c r="BJ29" s="49">
        <v>34</v>
      </c>
      <c r="BK29" s="49"/>
      <c r="BL29" s="49"/>
      <c r="BM29" s="49"/>
      <c r="BN29" s="49"/>
      <c r="BO29" s="49" t="s">
        <v>2260</v>
      </c>
      <c r="BP29" s="49" t="s">
        <v>2500</v>
      </c>
      <c r="BQ29" s="115" t="s">
        <v>2530</v>
      </c>
      <c r="BR29" s="115" t="s">
        <v>2570</v>
      </c>
      <c r="BS29" s="115" t="s">
        <v>2402</v>
      </c>
      <c r="BT29" s="115" t="s">
        <v>2614</v>
      </c>
      <c r="BU29" s="2"/>
      <c r="BV29" s="3"/>
      <c r="BW29" s="3"/>
      <c r="BX29" s="3"/>
      <c r="BY29" s="3"/>
    </row>
    <row r="30" spans="1:77" ht="15">
      <c r="A30" s="65" t="s">
        <v>360</v>
      </c>
      <c r="B30" s="66"/>
      <c r="C30" s="66"/>
      <c r="D30" s="67">
        <v>100</v>
      </c>
      <c r="E30" s="69"/>
      <c r="F30" s="103" t="str">
        <f>HYPERLINK("https://pbs.twimg.com/profile_images/1043187066832650240/6iaOQ7xL_normal.jpg")</f>
        <v>https://pbs.twimg.com/profile_images/1043187066832650240/6iaOQ7xL_normal.jpg</v>
      </c>
      <c r="G30" s="66"/>
      <c r="H30" s="70" t="s">
        <v>360</v>
      </c>
      <c r="I30" s="71"/>
      <c r="J30" s="71" t="s">
        <v>159</v>
      </c>
      <c r="K30" s="70" t="s">
        <v>1485</v>
      </c>
      <c r="L30" s="74">
        <v>1</v>
      </c>
      <c r="M30" s="75">
        <v>5759.94189453125</v>
      </c>
      <c r="N30" s="75">
        <v>5663.99072265625</v>
      </c>
      <c r="O30" s="76"/>
      <c r="P30" s="77"/>
      <c r="Q30" s="77"/>
      <c r="R30" s="89"/>
      <c r="S30" s="49">
        <v>1</v>
      </c>
      <c r="T30" s="49">
        <v>0</v>
      </c>
      <c r="U30" s="50">
        <v>0</v>
      </c>
      <c r="V30" s="50">
        <v>0.2</v>
      </c>
      <c r="W30" s="50">
        <v>0</v>
      </c>
      <c r="X30" s="50">
        <v>0.565632</v>
      </c>
      <c r="Y30" s="50">
        <v>0</v>
      </c>
      <c r="Z30" s="50">
        <v>0</v>
      </c>
      <c r="AA30" s="72">
        <v>30</v>
      </c>
      <c r="AB30" s="72"/>
      <c r="AC30" s="73"/>
      <c r="AD30" s="79" t="s">
        <v>956</v>
      </c>
      <c r="AE30" s="84" t="s">
        <v>1118</v>
      </c>
      <c r="AF30" s="79">
        <v>9263</v>
      </c>
      <c r="AG30" s="79">
        <v>571035</v>
      </c>
      <c r="AH30" s="79">
        <v>65890</v>
      </c>
      <c r="AI30" s="79">
        <v>140868</v>
      </c>
      <c r="AJ30" s="79"/>
      <c r="AK30" s="79" t="s">
        <v>1272</v>
      </c>
      <c r="AL30" s="79"/>
      <c r="AM30" s="79"/>
      <c r="AN30" s="79"/>
      <c r="AO30" s="81">
        <v>43364.715625</v>
      </c>
      <c r="AP30" s="86" t="str">
        <f>HYPERLINK("https://pbs.twimg.com/profile_banners/1043185714437992449/1570532845")</f>
        <v>https://pbs.twimg.com/profile_banners/1043185714437992449/1570532845</v>
      </c>
      <c r="AQ30" s="79" t="b">
        <v>0</v>
      </c>
      <c r="AR30" s="79" t="b">
        <v>0</v>
      </c>
      <c r="AS30" s="79" t="b">
        <v>0</v>
      </c>
      <c r="AT30" s="79"/>
      <c r="AU30" s="79">
        <v>1545</v>
      </c>
      <c r="AV30" s="86" t="str">
        <f>HYPERLINK("https://abs.twimg.com/images/themes/theme1/bg.png")</f>
        <v>https://abs.twimg.com/images/themes/theme1/bg.png</v>
      </c>
      <c r="AW30" s="79" t="b">
        <v>0</v>
      </c>
      <c r="AX30" s="79" t="s">
        <v>1458</v>
      </c>
      <c r="AY30" s="86" t="str">
        <f>HYPERLINK("https://twitter.com/catturd2")</f>
        <v>https://twitter.com/catturd2</v>
      </c>
      <c r="AZ30" s="79" t="s">
        <v>65</v>
      </c>
      <c r="BA30" s="79" t="str">
        <f>REPLACE(INDEX(GroupVertices[Group],MATCH(Vertices[[#This Row],[Vertex]],GroupVertices[Vertex],0)),1,1,"")</f>
        <v>13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239</v>
      </c>
      <c r="B31" s="66"/>
      <c r="C31" s="66"/>
      <c r="D31" s="67">
        <v>100</v>
      </c>
      <c r="E31" s="69"/>
      <c r="F31" s="103" t="str">
        <f>HYPERLINK("https://pbs.twimg.com/profile_images/1191441149489139713/F5TAO49f_normal.jpg")</f>
        <v>https://pbs.twimg.com/profile_images/1191441149489139713/F5TAO49f_normal.jpg</v>
      </c>
      <c r="G31" s="66"/>
      <c r="H31" s="70" t="s">
        <v>239</v>
      </c>
      <c r="I31" s="71"/>
      <c r="J31" s="71" t="s">
        <v>159</v>
      </c>
      <c r="K31" s="70" t="s">
        <v>1486</v>
      </c>
      <c r="L31" s="74">
        <v>1</v>
      </c>
      <c r="M31" s="75">
        <v>4595.78759765625</v>
      </c>
      <c r="N31" s="75">
        <v>1677.0474853515625</v>
      </c>
      <c r="O31" s="76"/>
      <c r="P31" s="77"/>
      <c r="Q31" s="77"/>
      <c r="R31" s="89"/>
      <c r="S31" s="49">
        <v>0</v>
      </c>
      <c r="T31" s="49">
        <v>1</v>
      </c>
      <c r="U31" s="50">
        <v>0</v>
      </c>
      <c r="V31" s="50">
        <v>0.142857</v>
      </c>
      <c r="W31" s="50">
        <v>0</v>
      </c>
      <c r="X31" s="50">
        <v>0.595236</v>
      </c>
      <c r="Y31" s="50">
        <v>0</v>
      </c>
      <c r="Z31" s="50">
        <v>0</v>
      </c>
      <c r="AA31" s="72">
        <v>31</v>
      </c>
      <c r="AB31" s="72"/>
      <c r="AC31" s="73"/>
      <c r="AD31" s="79" t="s">
        <v>957</v>
      </c>
      <c r="AE31" s="84" t="s">
        <v>1119</v>
      </c>
      <c r="AF31" s="79">
        <v>787</v>
      </c>
      <c r="AG31" s="79">
        <v>324</v>
      </c>
      <c r="AH31" s="79">
        <v>3796</v>
      </c>
      <c r="AI31" s="79">
        <v>2867</v>
      </c>
      <c r="AJ31" s="79"/>
      <c r="AK31" s="79" t="s">
        <v>1273</v>
      </c>
      <c r="AL31" s="79"/>
      <c r="AM31" s="79"/>
      <c r="AN31" s="79"/>
      <c r="AO31" s="81">
        <v>40545.852847222224</v>
      </c>
      <c r="AP31" s="86" t="str">
        <f>HYPERLINK("https://pbs.twimg.com/profile_banners/233277871/1572896628")</f>
        <v>https://pbs.twimg.com/profile_banners/233277871/1572896628</v>
      </c>
      <c r="AQ31" s="79" t="b">
        <v>1</v>
      </c>
      <c r="AR31" s="79" t="b">
        <v>0</v>
      </c>
      <c r="AS31" s="79" t="b">
        <v>0</v>
      </c>
      <c r="AT31" s="79"/>
      <c r="AU31" s="79">
        <v>0</v>
      </c>
      <c r="AV31" s="86" t="str">
        <f>HYPERLINK("https://abs.twimg.com/images/themes/theme1/bg.png")</f>
        <v>https://abs.twimg.com/images/themes/theme1/bg.png</v>
      </c>
      <c r="AW31" s="79" t="b">
        <v>0</v>
      </c>
      <c r="AX31" s="79" t="s">
        <v>1458</v>
      </c>
      <c r="AY31" s="86" t="str">
        <f>HYPERLINK("https://twitter.com/luisglez33")</f>
        <v>https://twitter.com/luisglez33</v>
      </c>
      <c r="AZ31" s="79" t="s">
        <v>66</v>
      </c>
      <c r="BA31" s="79" t="str">
        <f>REPLACE(INDEX(GroupVertices[Group],MATCH(Vertices[[#This Row],[Vertex]],GroupVertices[Vertex],0)),1,1,"")</f>
        <v>10</v>
      </c>
      <c r="BB31" s="49">
        <v>0</v>
      </c>
      <c r="BC31" s="50">
        <v>0</v>
      </c>
      <c r="BD31" s="49">
        <v>0</v>
      </c>
      <c r="BE31" s="50">
        <v>0</v>
      </c>
      <c r="BF31" s="49">
        <v>0</v>
      </c>
      <c r="BG31" s="50">
        <v>0</v>
      </c>
      <c r="BH31" s="49">
        <v>44</v>
      </c>
      <c r="BI31" s="50">
        <v>100</v>
      </c>
      <c r="BJ31" s="49">
        <v>44</v>
      </c>
      <c r="BK31" s="49"/>
      <c r="BL31" s="49"/>
      <c r="BM31" s="49"/>
      <c r="BN31" s="49"/>
      <c r="BO31" s="49" t="s">
        <v>476</v>
      </c>
      <c r="BP31" s="49" t="s">
        <v>476</v>
      </c>
      <c r="BQ31" s="115" t="s">
        <v>2528</v>
      </c>
      <c r="BR31" s="115" t="s">
        <v>2528</v>
      </c>
      <c r="BS31" s="115" t="s">
        <v>2399</v>
      </c>
      <c r="BT31" s="115" t="s">
        <v>2399</v>
      </c>
      <c r="BU31" s="2"/>
      <c r="BV31" s="3"/>
      <c r="BW31" s="3"/>
      <c r="BX31" s="3"/>
      <c r="BY31" s="3"/>
    </row>
    <row r="32" spans="1:77" ht="15">
      <c r="A32" s="65" t="s">
        <v>240</v>
      </c>
      <c r="B32" s="66"/>
      <c r="C32" s="66"/>
      <c r="D32" s="67">
        <v>100</v>
      </c>
      <c r="E32" s="69"/>
      <c r="F32" s="103" t="str">
        <f>HYPERLINK("https://pbs.twimg.com/profile_images/1421725294520672257/yghrXN73_normal.jpg")</f>
        <v>https://pbs.twimg.com/profile_images/1421725294520672257/yghrXN73_normal.jpg</v>
      </c>
      <c r="G32" s="66"/>
      <c r="H32" s="70" t="s">
        <v>240</v>
      </c>
      <c r="I32" s="71"/>
      <c r="J32" s="71" t="s">
        <v>159</v>
      </c>
      <c r="K32" s="70" t="s">
        <v>1487</v>
      </c>
      <c r="L32" s="74">
        <v>1</v>
      </c>
      <c r="M32" s="75">
        <v>6220.748046875</v>
      </c>
      <c r="N32" s="75">
        <v>8272.509765625</v>
      </c>
      <c r="O32" s="76"/>
      <c r="P32" s="77"/>
      <c r="Q32" s="77"/>
      <c r="R32" s="89"/>
      <c r="S32" s="49">
        <v>0</v>
      </c>
      <c r="T32" s="49">
        <v>2</v>
      </c>
      <c r="U32" s="50">
        <v>0</v>
      </c>
      <c r="V32" s="50">
        <v>0.05</v>
      </c>
      <c r="W32" s="50">
        <v>0</v>
      </c>
      <c r="X32" s="50">
        <v>0.761754</v>
      </c>
      <c r="Y32" s="50">
        <v>1</v>
      </c>
      <c r="Z32" s="50">
        <v>0</v>
      </c>
      <c r="AA32" s="72">
        <v>32</v>
      </c>
      <c r="AB32" s="72"/>
      <c r="AC32" s="73"/>
      <c r="AD32" s="79" t="s">
        <v>958</v>
      </c>
      <c r="AE32" s="84" t="s">
        <v>1120</v>
      </c>
      <c r="AF32" s="79">
        <v>501</v>
      </c>
      <c r="AG32" s="79">
        <v>162</v>
      </c>
      <c r="AH32" s="79">
        <v>41273</v>
      </c>
      <c r="AI32" s="79">
        <v>2914</v>
      </c>
      <c r="AJ32" s="79"/>
      <c r="AK32" s="79" t="s">
        <v>1274</v>
      </c>
      <c r="AL32" s="79"/>
      <c r="AM32" s="79"/>
      <c r="AN32" s="79"/>
      <c r="AO32" s="81">
        <v>41752.53894675926</v>
      </c>
      <c r="AP32" s="86" t="str">
        <f>HYPERLINK("https://pbs.twimg.com/profile_banners/2504004971/1629932576")</f>
        <v>https://pbs.twimg.com/profile_banners/2504004971/1629932576</v>
      </c>
      <c r="AQ32" s="79" t="b">
        <v>1</v>
      </c>
      <c r="AR32" s="79" t="b">
        <v>0</v>
      </c>
      <c r="AS32" s="79" t="b">
        <v>1</v>
      </c>
      <c r="AT32" s="79"/>
      <c r="AU32" s="79">
        <v>6</v>
      </c>
      <c r="AV32" s="86" t="str">
        <f>HYPERLINK("https://abs.twimg.com/images/themes/theme1/bg.png")</f>
        <v>https://abs.twimg.com/images/themes/theme1/bg.png</v>
      </c>
      <c r="AW32" s="79" t="b">
        <v>0</v>
      </c>
      <c r="AX32" s="79" t="s">
        <v>1458</v>
      </c>
      <c r="AY32" s="86" t="str">
        <f>HYPERLINK("https://twitter.com/rmilell66")</f>
        <v>https://twitter.com/rmilell66</v>
      </c>
      <c r="AZ32" s="79" t="s">
        <v>66</v>
      </c>
      <c r="BA32" s="79" t="str">
        <f>REPLACE(INDEX(GroupVertices[Group],MATCH(Vertices[[#This Row],[Vertex]],GroupVertices[Vertex],0)),1,1,"")</f>
        <v>3</v>
      </c>
      <c r="BB32" s="49">
        <v>0</v>
      </c>
      <c r="BC32" s="50">
        <v>0</v>
      </c>
      <c r="BD32" s="49">
        <v>0</v>
      </c>
      <c r="BE32" s="50">
        <v>0</v>
      </c>
      <c r="BF32" s="49">
        <v>0</v>
      </c>
      <c r="BG32" s="50">
        <v>0</v>
      </c>
      <c r="BH32" s="49">
        <v>31</v>
      </c>
      <c r="BI32" s="50">
        <v>100</v>
      </c>
      <c r="BJ32" s="49">
        <v>31</v>
      </c>
      <c r="BK32" s="49" t="s">
        <v>2143</v>
      </c>
      <c r="BL32" s="49" t="s">
        <v>2143</v>
      </c>
      <c r="BM32" s="49" t="s">
        <v>455</v>
      </c>
      <c r="BN32" s="49" t="s">
        <v>455</v>
      </c>
      <c r="BO32" s="49" t="s">
        <v>479</v>
      </c>
      <c r="BP32" s="49" t="s">
        <v>479</v>
      </c>
      <c r="BQ32" s="115" t="s">
        <v>2531</v>
      </c>
      <c r="BR32" s="115" t="s">
        <v>2531</v>
      </c>
      <c r="BS32" s="115" t="s">
        <v>2394</v>
      </c>
      <c r="BT32" s="115" t="s">
        <v>2394</v>
      </c>
      <c r="BU32" s="2"/>
      <c r="BV32" s="3"/>
      <c r="BW32" s="3"/>
      <c r="BX32" s="3"/>
      <c r="BY32" s="3"/>
    </row>
    <row r="33" spans="1:77" ht="15">
      <c r="A33" s="65" t="s">
        <v>268</v>
      </c>
      <c r="B33" s="66"/>
      <c r="C33" s="66"/>
      <c r="D33" s="67">
        <v>137.24137931034483</v>
      </c>
      <c r="E33" s="69"/>
      <c r="F33" s="103" t="str">
        <f>HYPERLINK("https://pbs.twimg.com/profile_images/1375491056582729735/0YZmZkpo_normal.jpg")</f>
        <v>https://pbs.twimg.com/profile_images/1375491056582729735/0YZmZkpo_normal.jpg</v>
      </c>
      <c r="G33" s="66"/>
      <c r="H33" s="70" t="s">
        <v>268</v>
      </c>
      <c r="I33" s="71"/>
      <c r="J33" s="71" t="s">
        <v>75</v>
      </c>
      <c r="K33" s="70" t="s">
        <v>1488</v>
      </c>
      <c r="L33" s="74">
        <v>48.60952380952381</v>
      </c>
      <c r="M33" s="75">
        <v>5207.8505859375</v>
      </c>
      <c r="N33" s="75">
        <v>8150.18359375</v>
      </c>
      <c r="O33" s="76"/>
      <c r="P33" s="77"/>
      <c r="Q33" s="77"/>
      <c r="R33" s="89"/>
      <c r="S33" s="49">
        <v>5</v>
      </c>
      <c r="T33" s="49">
        <v>1</v>
      </c>
      <c r="U33" s="50">
        <v>6</v>
      </c>
      <c r="V33" s="50">
        <v>0.058824</v>
      </c>
      <c r="W33" s="50">
        <v>0</v>
      </c>
      <c r="X33" s="50">
        <v>1.757892</v>
      </c>
      <c r="Y33" s="50">
        <v>0.2</v>
      </c>
      <c r="Z33" s="50">
        <v>0.2</v>
      </c>
      <c r="AA33" s="72">
        <v>33</v>
      </c>
      <c r="AB33" s="72"/>
      <c r="AC33" s="73"/>
      <c r="AD33" s="79" t="s">
        <v>959</v>
      </c>
      <c r="AE33" s="84" t="s">
        <v>1121</v>
      </c>
      <c r="AF33" s="79">
        <v>2525</v>
      </c>
      <c r="AG33" s="79">
        <v>11367</v>
      </c>
      <c r="AH33" s="79">
        <v>16181</v>
      </c>
      <c r="AI33" s="79">
        <v>2907</v>
      </c>
      <c r="AJ33" s="79"/>
      <c r="AK33" s="79" t="s">
        <v>1275</v>
      </c>
      <c r="AL33" s="79" t="s">
        <v>1406</v>
      </c>
      <c r="AM33" s="86" t="str">
        <f>HYPERLINK("https://t.co/Nx6qhebO2g")</f>
        <v>https://t.co/Nx6qhebO2g</v>
      </c>
      <c r="AN33" s="79"/>
      <c r="AO33" s="81">
        <v>40474.9625</v>
      </c>
      <c r="AP33" s="86" t="str">
        <f>HYPERLINK("https://pbs.twimg.com/profile_banners/206871686/1621060952")</f>
        <v>https://pbs.twimg.com/profile_banners/206871686/1621060952</v>
      </c>
      <c r="AQ33" s="79" t="b">
        <v>0</v>
      </c>
      <c r="AR33" s="79" t="b">
        <v>0</v>
      </c>
      <c r="AS33" s="79" t="b">
        <v>1</v>
      </c>
      <c r="AT33" s="79"/>
      <c r="AU33" s="79">
        <v>191</v>
      </c>
      <c r="AV33" s="86" t="str">
        <f>HYPERLINK("https://abs.twimg.com/images/themes/theme3/bg.gif")</f>
        <v>https://abs.twimg.com/images/themes/theme3/bg.gif</v>
      </c>
      <c r="AW33" s="79" t="b">
        <v>0</v>
      </c>
      <c r="AX33" s="79" t="s">
        <v>1458</v>
      </c>
      <c r="AY33" s="86" t="str">
        <f>HYPERLINK("https://twitter.com/meltingpoteu")</f>
        <v>https://twitter.com/meltingpoteu</v>
      </c>
      <c r="AZ33" s="79" t="s">
        <v>66</v>
      </c>
      <c r="BA33" s="79" t="str">
        <f>REPLACE(INDEX(GroupVertices[Group],MATCH(Vertices[[#This Row],[Vertex]],GroupVertices[Vertex],0)),1,1,"")</f>
        <v>3</v>
      </c>
      <c r="BB33" s="49">
        <v>0</v>
      </c>
      <c r="BC33" s="50">
        <v>0</v>
      </c>
      <c r="BD33" s="49">
        <v>0</v>
      </c>
      <c r="BE33" s="50">
        <v>0</v>
      </c>
      <c r="BF33" s="49">
        <v>0</v>
      </c>
      <c r="BG33" s="50">
        <v>0</v>
      </c>
      <c r="BH33" s="49">
        <v>31</v>
      </c>
      <c r="BI33" s="50">
        <v>100</v>
      </c>
      <c r="BJ33" s="49">
        <v>31</v>
      </c>
      <c r="BK33" s="49" t="s">
        <v>2143</v>
      </c>
      <c r="BL33" s="49" t="s">
        <v>2143</v>
      </c>
      <c r="BM33" s="49" t="s">
        <v>455</v>
      </c>
      <c r="BN33" s="49" t="s">
        <v>455</v>
      </c>
      <c r="BO33" s="49" t="s">
        <v>479</v>
      </c>
      <c r="BP33" s="49" t="s">
        <v>479</v>
      </c>
      <c r="BQ33" s="115" t="s">
        <v>2531</v>
      </c>
      <c r="BR33" s="115" t="s">
        <v>2531</v>
      </c>
      <c r="BS33" s="115" t="s">
        <v>2394</v>
      </c>
      <c r="BT33" s="115" t="s">
        <v>2394</v>
      </c>
      <c r="BU33" s="2"/>
      <c r="BV33" s="3"/>
      <c r="BW33" s="3"/>
      <c r="BX33" s="3"/>
      <c r="BY33" s="3"/>
    </row>
    <row r="34" spans="1:77" ht="15">
      <c r="A34" s="65" t="s">
        <v>241</v>
      </c>
      <c r="B34" s="66"/>
      <c r="C34" s="66"/>
      <c r="D34" s="67">
        <v>100</v>
      </c>
      <c r="E34" s="69"/>
      <c r="F34" s="103" t="str">
        <f>HYPERLINK("https://pbs.twimg.com/profile_images/1400631307386896387/6KkKcfhq_normal.jpg")</f>
        <v>https://pbs.twimg.com/profile_images/1400631307386896387/6KkKcfhq_normal.jpg</v>
      </c>
      <c r="G34" s="66"/>
      <c r="H34" s="70" t="s">
        <v>241</v>
      </c>
      <c r="I34" s="71"/>
      <c r="J34" s="71" t="s">
        <v>159</v>
      </c>
      <c r="K34" s="70" t="s">
        <v>1489</v>
      </c>
      <c r="L34" s="74">
        <v>1</v>
      </c>
      <c r="M34" s="75">
        <v>7289.77392578125</v>
      </c>
      <c r="N34" s="75">
        <v>2721.246826171875</v>
      </c>
      <c r="O34" s="76"/>
      <c r="P34" s="77"/>
      <c r="Q34" s="77"/>
      <c r="R34" s="89"/>
      <c r="S34" s="49">
        <v>2</v>
      </c>
      <c r="T34" s="49">
        <v>1</v>
      </c>
      <c r="U34" s="50">
        <v>0</v>
      </c>
      <c r="V34" s="50">
        <v>1</v>
      </c>
      <c r="W34" s="50">
        <v>0</v>
      </c>
      <c r="X34" s="50">
        <v>1.298241</v>
      </c>
      <c r="Y34" s="50">
        <v>0</v>
      </c>
      <c r="Z34" s="50">
        <v>0</v>
      </c>
      <c r="AA34" s="72">
        <v>34</v>
      </c>
      <c r="AB34" s="72"/>
      <c r="AC34" s="73"/>
      <c r="AD34" s="79" t="s">
        <v>960</v>
      </c>
      <c r="AE34" s="84" t="s">
        <v>1122</v>
      </c>
      <c r="AF34" s="79">
        <v>201</v>
      </c>
      <c r="AG34" s="79">
        <v>162</v>
      </c>
      <c r="AH34" s="79">
        <v>739</v>
      </c>
      <c r="AI34" s="79">
        <v>619</v>
      </c>
      <c r="AJ34" s="79"/>
      <c r="AK34" s="79" t="s">
        <v>1276</v>
      </c>
      <c r="AL34" s="79" t="s">
        <v>905</v>
      </c>
      <c r="AM34" s="86" t="str">
        <f>HYPERLINK("https://t.co/2CMb79qdQ9")</f>
        <v>https://t.co/2CMb79qdQ9</v>
      </c>
      <c r="AN34" s="79"/>
      <c r="AO34" s="81">
        <v>43913.94248842593</v>
      </c>
      <c r="AP34" s="86" t="str">
        <f>HYPERLINK("https://pbs.twimg.com/profile_banners/1242218813472624642/1623185291")</f>
        <v>https://pbs.twimg.com/profile_banners/1242218813472624642/1623185291</v>
      </c>
      <c r="AQ34" s="79" t="b">
        <v>1</v>
      </c>
      <c r="AR34" s="79" t="b">
        <v>0</v>
      </c>
      <c r="AS34" s="79" t="b">
        <v>1</v>
      </c>
      <c r="AT34" s="79"/>
      <c r="AU34" s="79">
        <v>0</v>
      </c>
      <c r="AV34" s="79"/>
      <c r="AW34" s="79" t="b">
        <v>0</v>
      </c>
      <c r="AX34" s="79" t="s">
        <v>1458</v>
      </c>
      <c r="AY34" s="86" t="str">
        <f>HYPERLINK("https://twitter.com/jcmnuevoleon")</f>
        <v>https://twitter.com/jcmnuevoleon</v>
      </c>
      <c r="AZ34" s="79" t="s">
        <v>66</v>
      </c>
      <c r="BA34" s="79" t="str">
        <f>REPLACE(INDEX(GroupVertices[Group],MATCH(Vertices[[#This Row],[Vertex]],GroupVertices[Vertex],0)),1,1,"")</f>
        <v>25</v>
      </c>
      <c r="BB34" s="49">
        <v>0</v>
      </c>
      <c r="BC34" s="50">
        <v>0</v>
      </c>
      <c r="BD34" s="49">
        <v>0</v>
      </c>
      <c r="BE34" s="50">
        <v>0</v>
      </c>
      <c r="BF34" s="49">
        <v>0</v>
      </c>
      <c r="BG34" s="50">
        <v>0</v>
      </c>
      <c r="BH34" s="49">
        <v>22</v>
      </c>
      <c r="BI34" s="50">
        <v>100</v>
      </c>
      <c r="BJ34" s="49">
        <v>22</v>
      </c>
      <c r="BK34" s="49" t="s">
        <v>2198</v>
      </c>
      <c r="BL34" s="49" t="s">
        <v>2198</v>
      </c>
      <c r="BM34" s="49" t="s">
        <v>456</v>
      </c>
      <c r="BN34" s="49" t="s">
        <v>456</v>
      </c>
      <c r="BO34" s="49" t="s">
        <v>472</v>
      </c>
      <c r="BP34" s="49" t="s">
        <v>472</v>
      </c>
      <c r="BQ34" s="115" t="s">
        <v>2295</v>
      </c>
      <c r="BR34" s="115" t="s">
        <v>2295</v>
      </c>
      <c r="BS34" s="115" t="s">
        <v>2409</v>
      </c>
      <c r="BT34" s="115" t="s">
        <v>2409</v>
      </c>
      <c r="BU34" s="2"/>
      <c r="BV34" s="3"/>
      <c r="BW34" s="3"/>
      <c r="BX34" s="3"/>
      <c r="BY34" s="3"/>
    </row>
    <row r="35" spans="1:77" ht="15">
      <c r="A35" s="65" t="s">
        <v>242</v>
      </c>
      <c r="B35" s="66"/>
      <c r="C35" s="66"/>
      <c r="D35" s="67">
        <v>100</v>
      </c>
      <c r="E35" s="69"/>
      <c r="F35" s="103" t="str">
        <f>HYPERLINK("https://pbs.twimg.com/profile_images/1391953789796638720/RminQRQh_normal.jpg")</f>
        <v>https://pbs.twimg.com/profile_images/1391953789796638720/RminQRQh_normal.jpg</v>
      </c>
      <c r="G35" s="66"/>
      <c r="H35" s="70" t="s">
        <v>242</v>
      </c>
      <c r="I35" s="71"/>
      <c r="J35" s="71" t="s">
        <v>159</v>
      </c>
      <c r="K35" s="70" t="s">
        <v>1490</v>
      </c>
      <c r="L35" s="74">
        <v>1</v>
      </c>
      <c r="M35" s="75">
        <v>7289.77392578125</v>
      </c>
      <c r="N35" s="75">
        <v>2404.82275390625</v>
      </c>
      <c r="O35" s="76"/>
      <c r="P35" s="77"/>
      <c r="Q35" s="77"/>
      <c r="R35" s="89"/>
      <c r="S35" s="49">
        <v>0</v>
      </c>
      <c r="T35" s="49">
        <v>1</v>
      </c>
      <c r="U35" s="50">
        <v>0</v>
      </c>
      <c r="V35" s="50">
        <v>1</v>
      </c>
      <c r="W35" s="50">
        <v>0</v>
      </c>
      <c r="X35" s="50">
        <v>0.701752</v>
      </c>
      <c r="Y35" s="50">
        <v>0</v>
      </c>
      <c r="Z35" s="50">
        <v>0</v>
      </c>
      <c r="AA35" s="72">
        <v>35</v>
      </c>
      <c r="AB35" s="72"/>
      <c r="AC35" s="73"/>
      <c r="AD35" s="79" t="s">
        <v>961</v>
      </c>
      <c r="AE35" s="84" t="s">
        <v>1123</v>
      </c>
      <c r="AF35" s="79">
        <v>5000</v>
      </c>
      <c r="AG35" s="79">
        <v>1353</v>
      </c>
      <c r="AH35" s="79">
        <v>29275</v>
      </c>
      <c r="AI35" s="79">
        <v>53154</v>
      </c>
      <c r="AJ35" s="79"/>
      <c r="AK35" s="79" t="s">
        <v>1277</v>
      </c>
      <c r="AL35" s="79"/>
      <c r="AM35" s="79"/>
      <c r="AN35" s="79"/>
      <c r="AO35" s="81">
        <v>40163.69736111111</v>
      </c>
      <c r="AP35" s="86" t="str">
        <f>HYPERLINK("https://pbs.twimg.com/profile_banners/97244272/1500729008")</f>
        <v>https://pbs.twimg.com/profile_banners/97244272/1500729008</v>
      </c>
      <c r="AQ35" s="79" t="b">
        <v>0</v>
      </c>
      <c r="AR35" s="79" t="b">
        <v>0</v>
      </c>
      <c r="AS35" s="79" t="b">
        <v>1</v>
      </c>
      <c r="AT35" s="79"/>
      <c r="AU35" s="79">
        <v>22</v>
      </c>
      <c r="AV35" s="86" t="str">
        <f>HYPERLINK("https://abs.twimg.com/images/themes/theme1/bg.png")</f>
        <v>https://abs.twimg.com/images/themes/theme1/bg.png</v>
      </c>
      <c r="AW35" s="79" t="b">
        <v>0</v>
      </c>
      <c r="AX35" s="79" t="s">
        <v>1458</v>
      </c>
      <c r="AY35" s="86" t="str">
        <f>HYPERLINK("https://twitter.com/eliphaleth")</f>
        <v>https://twitter.com/eliphaleth</v>
      </c>
      <c r="AZ35" s="79" t="s">
        <v>66</v>
      </c>
      <c r="BA35" s="79" t="str">
        <f>REPLACE(INDEX(GroupVertices[Group],MATCH(Vertices[[#This Row],[Vertex]],GroupVertices[Vertex],0)),1,1,"")</f>
        <v>25</v>
      </c>
      <c r="BB35" s="49">
        <v>0</v>
      </c>
      <c r="BC35" s="50">
        <v>0</v>
      </c>
      <c r="BD35" s="49">
        <v>0</v>
      </c>
      <c r="BE35" s="50">
        <v>0</v>
      </c>
      <c r="BF35" s="49">
        <v>0</v>
      </c>
      <c r="BG35" s="50">
        <v>0</v>
      </c>
      <c r="BH35" s="49">
        <v>22</v>
      </c>
      <c r="BI35" s="50">
        <v>100</v>
      </c>
      <c r="BJ35" s="49">
        <v>22</v>
      </c>
      <c r="BK35" s="49" t="s">
        <v>2198</v>
      </c>
      <c r="BL35" s="49" t="s">
        <v>2198</v>
      </c>
      <c r="BM35" s="49" t="s">
        <v>456</v>
      </c>
      <c r="BN35" s="49" t="s">
        <v>456</v>
      </c>
      <c r="BO35" s="49" t="s">
        <v>472</v>
      </c>
      <c r="BP35" s="49" t="s">
        <v>472</v>
      </c>
      <c r="BQ35" s="115" t="s">
        <v>2295</v>
      </c>
      <c r="BR35" s="115" t="s">
        <v>2295</v>
      </c>
      <c r="BS35" s="115" t="s">
        <v>2409</v>
      </c>
      <c r="BT35" s="115" t="s">
        <v>2409</v>
      </c>
      <c r="BU35" s="2"/>
      <c r="BV35" s="3"/>
      <c r="BW35" s="3"/>
      <c r="BX35" s="3"/>
      <c r="BY35" s="3"/>
    </row>
    <row r="36" spans="1:77" ht="15">
      <c r="A36" s="65" t="s">
        <v>361</v>
      </c>
      <c r="B36" s="66"/>
      <c r="C36" s="66"/>
      <c r="D36" s="67">
        <v>100</v>
      </c>
      <c r="E36" s="69"/>
      <c r="F36" s="103" t="str">
        <f>HYPERLINK("https://pbs.twimg.com/profile_images/796482667340382211/CoV8077b_normal.jpg")</f>
        <v>https://pbs.twimg.com/profile_images/796482667340382211/CoV8077b_normal.jpg</v>
      </c>
      <c r="G36" s="66"/>
      <c r="H36" s="70" t="s">
        <v>361</v>
      </c>
      <c r="I36" s="71"/>
      <c r="J36" s="71" t="s">
        <v>159</v>
      </c>
      <c r="K36" s="70" t="s">
        <v>1491</v>
      </c>
      <c r="L36" s="74">
        <v>1</v>
      </c>
      <c r="M36" s="75">
        <v>6787.03076171875</v>
      </c>
      <c r="N36" s="75">
        <v>4578.412109375</v>
      </c>
      <c r="O36" s="76"/>
      <c r="P36" s="77"/>
      <c r="Q36" s="77"/>
      <c r="R36" s="89"/>
      <c r="S36" s="49">
        <v>2</v>
      </c>
      <c r="T36" s="49">
        <v>0</v>
      </c>
      <c r="U36" s="50">
        <v>0</v>
      </c>
      <c r="V36" s="50">
        <v>0.25</v>
      </c>
      <c r="W36" s="50">
        <v>0</v>
      </c>
      <c r="X36" s="50">
        <v>0.983708</v>
      </c>
      <c r="Y36" s="50">
        <v>0.5</v>
      </c>
      <c r="Z36" s="50">
        <v>0</v>
      </c>
      <c r="AA36" s="72">
        <v>36</v>
      </c>
      <c r="AB36" s="72"/>
      <c r="AC36" s="73"/>
      <c r="AD36" s="79" t="s">
        <v>962</v>
      </c>
      <c r="AE36" s="84" t="s">
        <v>1124</v>
      </c>
      <c r="AF36" s="79">
        <v>4432</v>
      </c>
      <c r="AG36" s="79">
        <v>2420216</v>
      </c>
      <c r="AH36" s="79">
        <v>34703</v>
      </c>
      <c r="AI36" s="79">
        <v>13378</v>
      </c>
      <c r="AJ36" s="79"/>
      <c r="AK36" s="79" t="s">
        <v>1278</v>
      </c>
      <c r="AL36" s="79"/>
      <c r="AM36" s="79"/>
      <c r="AN36" s="79"/>
      <c r="AO36" s="81">
        <v>40086.23018518519</v>
      </c>
      <c r="AP36" s="86" t="str">
        <f>HYPERLINK("https://pbs.twimg.com/profile_banners/78523300/1603295247")</f>
        <v>https://pbs.twimg.com/profile_banners/78523300/1603295247</v>
      </c>
      <c r="AQ36" s="79" t="b">
        <v>1</v>
      </c>
      <c r="AR36" s="79" t="b">
        <v>0</v>
      </c>
      <c r="AS36" s="79" t="b">
        <v>1</v>
      </c>
      <c r="AT36" s="79"/>
      <c r="AU36" s="79">
        <v>8422</v>
      </c>
      <c r="AV36" s="86" t="str">
        <f>HYPERLINK("https://abs.twimg.com/images/themes/theme1/bg.png")</f>
        <v>https://abs.twimg.com/images/themes/theme1/bg.png</v>
      </c>
      <c r="AW36" s="79" t="b">
        <v>1</v>
      </c>
      <c r="AX36" s="79" t="s">
        <v>1458</v>
      </c>
      <c r="AY36" s="86" t="str">
        <f>HYPERLINK("https://twitter.com/realjameswoods")</f>
        <v>https://twitter.com/realjameswoods</v>
      </c>
      <c r="AZ36" s="79" t="s">
        <v>65</v>
      </c>
      <c r="BA36" s="79" t="str">
        <f>REPLACE(INDEX(GroupVertices[Group],MATCH(Vertices[[#This Row],[Vertex]],GroupVertices[Vertex],0)),1,1,"")</f>
        <v>13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243</v>
      </c>
      <c r="B37" s="66"/>
      <c r="C37" s="66"/>
      <c r="D37" s="67">
        <v>100</v>
      </c>
      <c r="E37" s="69"/>
      <c r="F37" s="103" t="str">
        <f>HYPERLINK("https://pbs.twimg.com/profile_images/1428127060522848262/jeb7G4GG_normal.jpg")</f>
        <v>https://pbs.twimg.com/profile_images/1428127060522848262/jeb7G4GG_normal.jpg</v>
      </c>
      <c r="G37" s="66"/>
      <c r="H37" s="70" t="s">
        <v>243</v>
      </c>
      <c r="I37" s="71"/>
      <c r="J37" s="71" t="s">
        <v>159</v>
      </c>
      <c r="K37" s="70" t="s">
        <v>1492</v>
      </c>
      <c r="L37" s="74">
        <v>1</v>
      </c>
      <c r="M37" s="75">
        <v>5613.9638671875</v>
      </c>
      <c r="N37" s="75">
        <v>4461.5791015625</v>
      </c>
      <c r="O37" s="76"/>
      <c r="P37" s="77"/>
      <c r="Q37" s="77"/>
      <c r="R37" s="89"/>
      <c r="S37" s="49">
        <v>0</v>
      </c>
      <c r="T37" s="49">
        <v>2</v>
      </c>
      <c r="U37" s="50">
        <v>0</v>
      </c>
      <c r="V37" s="50">
        <v>0.25</v>
      </c>
      <c r="W37" s="50">
        <v>0</v>
      </c>
      <c r="X37" s="50">
        <v>0.983708</v>
      </c>
      <c r="Y37" s="50">
        <v>0.5</v>
      </c>
      <c r="Z37" s="50">
        <v>0</v>
      </c>
      <c r="AA37" s="72">
        <v>37</v>
      </c>
      <c r="AB37" s="72"/>
      <c r="AC37" s="73"/>
      <c r="AD37" s="79" t="s">
        <v>963</v>
      </c>
      <c r="AE37" s="84" t="s">
        <v>1125</v>
      </c>
      <c r="AF37" s="79">
        <v>644</v>
      </c>
      <c r="AG37" s="79">
        <v>117</v>
      </c>
      <c r="AH37" s="79">
        <v>313</v>
      </c>
      <c r="AI37" s="79">
        <v>5039</v>
      </c>
      <c r="AJ37" s="79"/>
      <c r="AK37" s="79" t="s">
        <v>1279</v>
      </c>
      <c r="AL37" s="79" t="s">
        <v>1407</v>
      </c>
      <c r="AM37" s="79"/>
      <c r="AN37" s="79"/>
      <c r="AO37" s="81">
        <v>44426.9497337963</v>
      </c>
      <c r="AP37" s="86" t="str">
        <f>HYPERLINK("https://pbs.twimg.com/profile_banners/1428126028854136846/1630540729")</f>
        <v>https://pbs.twimg.com/profile_banners/1428126028854136846/1630540729</v>
      </c>
      <c r="AQ37" s="79" t="b">
        <v>1</v>
      </c>
      <c r="AR37" s="79" t="b">
        <v>0</v>
      </c>
      <c r="AS37" s="79" t="b">
        <v>0</v>
      </c>
      <c r="AT37" s="79"/>
      <c r="AU37" s="79">
        <v>0</v>
      </c>
      <c r="AV37" s="79"/>
      <c r="AW37" s="79" t="b">
        <v>0</v>
      </c>
      <c r="AX37" s="79" t="s">
        <v>1458</v>
      </c>
      <c r="AY37" s="86" t="str">
        <f>HYPERLINK("https://twitter.com/gardenpeace9")</f>
        <v>https://twitter.com/gardenpeace9</v>
      </c>
      <c r="AZ37" s="79" t="s">
        <v>66</v>
      </c>
      <c r="BA37" s="79" t="str">
        <f>REPLACE(INDEX(GroupVertices[Group],MATCH(Vertices[[#This Row],[Vertex]],GroupVertices[Vertex],0)),1,1,"")</f>
        <v>13</v>
      </c>
      <c r="BB37" s="49">
        <v>0</v>
      </c>
      <c r="BC37" s="50">
        <v>0</v>
      </c>
      <c r="BD37" s="49">
        <v>1</v>
      </c>
      <c r="BE37" s="50">
        <v>4.166666666666667</v>
      </c>
      <c r="BF37" s="49">
        <v>0</v>
      </c>
      <c r="BG37" s="50">
        <v>0</v>
      </c>
      <c r="BH37" s="49">
        <v>23</v>
      </c>
      <c r="BI37" s="50">
        <v>95.83333333333333</v>
      </c>
      <c r="BJ37" s="49">
        <v>24</v>
      </c>
      <c r="BK37" s="49"/>
      <c r="BL37" s="49"/>
      <c r="BM37" s="49"/>
      <c r="BN37" s="49"/>
      <c r="BO37" s="49" t="s">
        <v>2500</v>
      </c>
      <c r="BP37" s="49" t="s">
        <v>2500</v>
      </c>
      <c r="BQ37" s="115" t="s">
        <v>2532</v>
      </c>
      <c r="BR37" s="115" t="s">
        <v>2532</v>
      </c>
      <c r="BS37" s="115" t="s">
        <v>2587</v>
      </c>
      <c r="BT37" s="115" t="s">
        <v>2587</v>
      </c>
      <c r="BU37" s="2"/>
      <c r="BV37" s="3"/>
      <c r="BW37" s="3"/>
      <c r="BX37" s="3"/>
      <c r="BY37" s="3"/>
    </row>
    <row r="38" spans="1:77" ht="15">
      <c r="A38" s="65" t="s">
        <v>244</v>
      </c>
      <c r="B38" s="66"/>
      <c r="C38" s="66"/>
      <c r="D38" s="67">
        <v>298.62068965517244</v>
      </c>
      <c r="E38" s="69"/>
      <c r="F38" s="103" t="str">
        <f>HYPERLINK("https://pbs.twimg.com/profile_images/1109290763538567169/aK6umQ7B_normal.png")</f>
        <v>https://pbs.twimg.com/profile_images/1109290763538567169/aK6umQ7B_normal.png</v>
      </c>
      <c r="G38" s="66"/>
      <c r="H38" s="70" t="s">
        <v>244</v>
      </c>
      <c r="I38" s="71"/>
      <c r="J38" s="71" t="s">
        <v>75</v>
      </c>
      <c r="K38" s="70" t="s">
        <v>1493</v>
      </c>
      <c r="L38" s="74">
        <v>254.91746031746032</v>
      </c>
      <c r="M38" s="75">
        <v>6338.9931640625</v>
      </c>
      <c r="N38" s="75">
        <v>6465.73828125</v>
      </c>
      <c r="O38" s="76"/>
      <c r="P38" s="77"/>
      <c r="Q38" s="77"/>
      <c r="R38" s="89"/>
      <c r="S38" s="49">
        <v>1</v>
      </c>
      <c r="T38" s="49">
        <v>2</v>
      </c>
      <c r="U38" s="50">
        <v>32</v>
      </c>
      <c r="V38" s="50">
        <v>0.007813</v>
      </c>
      <c r="W38" s="50">
        <v>0.000812</v>
      </c>
      <c r="X38" s="50">
        <v>0.957791</v>
      </c>
      <c r="Y38" s="50">
        <v>0.3333333333333333</v>
      </c>
      <c r="Z38" s="50">
        <v>0</v>
      </c>
      <c r="AA38" s="72">
        <v>38</v>
      </c>
      <c r="AB38" s="72"/>
      <c r="AC38" s="73"/>
      <c r="AD38" s="79" t="s">
        <v>964</v>
      </c>
      <c r="AE38" s="84" t="s">
        <v>873</v>
      </c>
      <c r="AF38" s="79">
        <v>902</v>
      </c>
      <c r="AG38" s="79">
        <v>52251</v>
      </c>
      <c r="AH38" s="79">
        <v>97061</v>
      </c>
      <c r="AI38" s="79">
        <v>11463</v>
      </c>
      <c r="AJ38" s="79"/>
      <c r="AK38" s="79" t="s">
        <v>1280</v>
      </c>
      <c r="AL38" s="79" t="s">
        <v>1393</v>
      </c>
      <c r="AM38" s="86" t="str">
        <f>HYPERLINK("https://t.co/QaPDGxxwyk")</f>
        <v>https://t.co/QaPDGxxwyk</v>
      </c>
      <c r="AN38" s="79"/>
      <c r="AO38" s="81">
        <v>42079.03429398148</v>
      </c>
      <c r="AP38" s="86" t="str">
        <f>HYPERLINK("https://pbs.twimg.com/profile_banners/3087410276/1553310701")</f>
        <v>https://pbs.twimg.com/profile_banners/3087410276/1553310701</v>
      </c>
      <c r="AQ38" s="79" t="b">
        <v>0</v>
      </c>
      <c r="AR38" s="79" t="b">
        <v>0</v>
      </c>
      <c r="AS38" s="79" t="b">
        <v>1</v>
      </c>
      <c r="AT38" s="79"/>
      <c r="AU38" s="79">
        <v>539</v>
      </c>
      <c r="AV38" s="86" t="str">
        <f>HYPERLINK("https://abs.twimg.com/images/themes/theme1/bg.png")</f>
        <v>https://abs.twimg.com/images/themes/theme1/bg.png</v>
      </c>
      <c r="AW38" s="79" t="b">
        <v>0</v>
      </c>
      <c r="AX38" s="79" t="s">
        <v>1458</v>
      </c>
      <c r="AY38" s="86" t="str">
        <f>HYPERLINK("https://twitter.com/pdpagina")</f>
        <v>https://twitter.com/pdpagina</v>
      </c>
      <c r="AZ38" s="79" t="s">
        <v>66</v>
      </c>
      <c r="BA38" s="79" t="str">
        <f>REPLACE(INDEX(GroupVertices[Group],MATCH(Vertices[[#This Row],[Vertex]],GroupVertices[Vertex],0)),1,1,"")</f>
        <v>5</v>
      </c>
      <c r="BB38" s="49">
        <v>0</v>
      </c>
      <c r="BC38" s="50">
        <v>0</v>
      </c>
      <c r="BD38" s="49">
        <v>0</v>
      </c>
      <c r="BE38" s="50">
        <v>0</v>
      </c>
      <c r="BF38" s="49">
        <v>0</v>
      </c>
      <c r="BG38" s="50">
        <v>0</v>
      </c>
      <c r="BH38" s="49">
        <v>31</v>
      </c>
      <c r="BI38" s="50">
        <v>100</v>
      </c>
      <c r="BJ38" s="49">
        <v>31</v>
      </c>
      <c r="BK38" s="49" t="s">
        <v>2174</v>
      </c>
      <c r="BL38" s="49" t="s">
        <v>2174</v>
      </c>
      <c r="BM38" s="49" t="s">
        <v>457</v>
      </c>
      <c r="BN38" s="49" t="s">
        <v>457</v>
      </c>
      <c r="BO38" s="49" t="s">
        <v>481</v>
      </c>
      <c r="BP38" s="49" t="s">
        <v>481</v>
      </c>
      <c r="BQ38" s="115" t="s">
        <v>2533</v>
      </c>
      <c r="BR38" s="115" t="s">
        <v>2533</v>
      </c>
      <c r="BS38" s="115" t="s">
        <v>2588</v>
      </c>
      <c r="BT38" s="115" t="s">
        <v>2588</v>
      </c>
      <c r="BU38" s="2"/>
      <c r="BV38" s="3"/>
      <c r="BW38" s="3"/>
      <c r="BX38" s="3"/>
      <c r="BY38" s="3"/>
    </row>
    <row r="39" spans="1:77" ht="15">
      <c r="A39" s="65" t="s">
        <v>362</v>
      </c>
      <c r="B39" s="66"/>
      <c r="C39" s="66"/>
      <c r="D39" s="67">
        <v>100</v>
      </c>
      <c r="E39" s="69"/>
      <c r="F39" s="103" t="str">
        <f>HYPERLINK("https://pbs.twimg.com/profile_images/456601569677418496/qFYu62zh_normal.jpeg")</f>
        <v>https://pbs.twimg.com/profile_images/456601569677418496/qFYu62zh_normal.jpeg</v>
      </c>
      <c r="G39" s="66"/>
      <c r="H39" s="70" t="s">
        <v>362</v>
      </c>
      <c r="I39" s="71"/>
      <c r="J39" s="71" t="s">
        <v>159</v>
      </c>
      <c r="K39" s="70" t="s">
        <v>1494</v>
      </c>
      <c r="L39" s="74">
        <v>1</v>
      </c>
      <c r="M39" s="75">
        <v>6637.12646484375</v>
      </c>
      <c r="N39" s="75">
        <v>5980.41455078125</v>
      </c>
      <c r="O39" s="76"/>
      <c r="P39" s="77"/>
      <c r="Q39" s="77"/>
      <c r="R39" s="89"/>
      <c r="S39" s="49">
        <v>2</v>
      </c>
      <c r="T39" s="49">
        <v>0</v>
      </c>
      <c r="U39" s="50">
        <v>0</v>
      </c>
      <c r="V39" s="50">
        <v>0.00625</v>
      </c>
      <c r="W39" s="50">
        <v>0.000221</v>
      </c>
      <c r="X39" s="50">
        <v>0.691175</v>
      </c>
      <c r="Y39" s="50">
        <v>0.5</v>
      </c>
      <c r="Z39" s="50">
        <v>0</v>
      </c>
      <c r="AA39" s="72">
        <v>39</v>
      </c>
      <c r="AB39" s="72"/>
      <c r="AC39" s="73"/>
      <c r="AD39" s="79" t="s">
        <v>965</v>
      </c>
      <c r="AE39" s="84" t="s">
        <v>1126</v>
      </c>
      <c r="AF39" s="79">
        <v>3278</v>
      </c>
      <c r="AG39" s="79">
        <v>10592</v>
      </c>
      <c r="AH39" s="79">
        <v>17090</v>
      </c>
      <c r="AI39" s="79">
        <v>1081</v>
      </c>
      <c r="AJ39" s="79"/>
      <c r="AK39" s="79" t="s">
        <v>1281</v>
      </c>
      <c r="AL39" s="79" t="s">
        <v>1395</v>
      </c>
      <c r="AM39" s="79"/>
      <c r="AN39" s="79"/>
      <c r="AO39" s="81">
        <v>40084.18571759259</v>
      </c>
      <c r="AP39" s="86" t="str">
        <f>HYPERLINK("https://pbs.twimg.com/profile_banners/77924285/1571359419")</f>
        <v>https://pbs.twimg.com/profile_banners/77924285/1571359419</v>
      </c>
      <c r="AQ39" s="79" t="b">
        <v>0</v>
      </c>
      <c r="AR39" s="79" t="b">
        <v>0</v>
      </c>
      <c r="AS39" s="79" t="b">
        <v>0</v>
      </c>
      <c r="AT39" s="79"/>
      <c r="AU39" s="79">
        <v>151</v>
      </c>
      <c r="AV39" s="86" t="str">
        <f>HYPERLINK("https://abs.twimg.com/images/themes/theme1/bg.png")</f>
        <v>https://abs.twimg.com/images/themes/theme1/bg.png</v>
      </c>
      <c r="AW39" s="79" t="b">
        <v>0</v>
      </c>
      <c r="AX39" s="79" t="s">
        <v>1458</v>
      </c>
      <c r="AY39" s="86" t="str">
        <f>HYPERLINK("https://twitter.com/angelesmariscal")</f>
        <v>https://twitter.com/angelesmariscal</v>
      </c>
      <c r="AZ39" s="79" t="s">
        <v>65</v>
      </c>
      <c r="BA39" s="79" t="str">
        <f>REPLACE(INDEX(GroupVertices[Group],MATCH(Vertices[[#This Row],[Vertex]],GroupVertices[Vertex],0)),1,1,"")</f>
        <v>5</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245</v>
      </c>
      <c r="B40" s="66"/>
      <c r="C40" s="66"/>
      <c r="D40" s="67">
        <v>720.6896551724138</v>
      </c>
      <c r="E40" s="69"/>
      <c r="F40" s="103" t="str">
        <f>HYPERLINK("https://pbs.twimg.com/profile_images/1136554139/dissonanze_rimabud_normal.jpg")</f>
        <v>https://pbs.twimg.com/profile_images/1136554139/dissonanze_rimabud_normal.jpg</v>
      </c>
      <c r="G40" s="66"/>
      <c r="H40" s="70" t="s">
        <v>245</v>
      </c>
      <c r="I40" s="71"/>
      <c r="J40" s="71" t="s">
        <v>75</v>
      </c>
      <c r="K40" s="70" t="s">
        <v>1495</v>
      </c>
      <c r="L40" s="74">
        <v>794.4920634920635</v>
      </c>
      <c r="M40" s="75">
        <v>7062.59521484375</v>
      </c>
      <c r="N40" s="75">
        <v>6505.94873046875</v>
      </c>
      <c r="O40" s="76"/>
      <c r="P40" s="77"/>
      <c r="Q40" s="77"/>
      <c r="R40" s="89"/>
      <c r="S40" s="49">
        <v>0</v>
      </c>
      <c r="T40" s="49">
        <v>4</v>
      </c>
      <c r="U40" s="50">
        <v>100</v>
      </c>
      <c r="V40" s="50">
        <v>0.007874</v>
      </c>
      <c r="W40" s="50">
        <v>0.000827</v>
      </c>
      <c r="X40" s="50">
        <v>1.269652</v>
      </c>
      <c r="Y40" s="50">
        <v>0.16666666666666666</v>
      </c>
      <c r="Z40" s="50">
        <v>0</v>
      </c>
      <c r="AA40" s="72">
        <v>40</v>
      </c>
      <c r="AB40" s="72"/>
      <c r="AC40" s="73"/>
      <c r="AD40" s="79" t="s">
        <v>245</v>
      </c>
      <c r="AE40" s="84" t="s">
        <v>1127</v>
      </c>
      <c r="AF40" s="79">
        <v>407</v>
      </c>
      <c r="AG40" s="79">
        <v>414</v>
      </c>
      <c r="AH40" s="79">
        <v>14159</v>
      </c>
      <c r="AI40" s="79">
        <v>6916</v>
      </c>
      <c r="AJ40" s="79"/>
      <c r="AK40" s="79" t="s">
        <v>1282</v>
      </c>
      <c r="AL40" s="79" t="s">
        <v>1408</v>
      </c>
      <c r="AM40" s="79"/>
      <c r="AN40" s="79"/>
      <c r="AO40" s="81">
        <v>39799.74429398148</v>
      </c>
      <c r="AP40" s="86" t="str">
        <f>HYPERLINK("https://pbs.twimg.com/profile_banners/18194522/1466452340")</f>
        <v>https://pbs.twimg.com/profile_banners/18194522/1466452340</v>
      </c>
      <c r="AQ40" s="79" t="b">
        <v>0</v>
      </c>
      <c r="AR40" s="79" t="b">
        <v>0</v>
      </c>
      <c r="AS40" s="79" t="b">
        <v>1</v>
      </c>
      <c r="AT40" s="79"/>
      <c r="AU40" s="79">
        <v>8</v>
      </c>
      <c r="AV40" s="86" t="str">
        <f>HYPERLINK("https://abs.twimg.com/images/themes/theme1/bg.png")</f>
        <v>https://abs.twimg.com/images/themes/theme1/bg.png</v>
      </c>
      <c r="AW40" s="79" t="b">
        <v>0</v>
      </c>
      <c r="AX40" s="79" t="s">
        <v>1458</v>
      </c>
      <c r="AY40" s="86" t="str">
        <f>HYPERLINK("https://twitter.com/pepepareja")</f>
        <v>https://twitter.com/pepepareja</v>
      </c>
      <c r="AZ40" s="79" t="s">
        <v>66</v>
      </c>
      <c r="BA40" s="79" t="str">
        <f>REPLACE(INDEX(GroupVertices[Group],MATCH(Vertices[[#This Row],[Vertex]],GroupVertices[Vertex],0)),1,1,"")</f>
        <v>5</v>
      </c>
      <c r="BB40" s="49">
        <v>0</v>
      </c>
      <c r="BC40" s="50">
        <v>0</v>
      </c>
      <c r="BD40" s="49">
        <v>0</v>
      </c>
      <c r="BE40" s="50">
        <v>0</v>
      </c>
      <c r="BF40" s="49">
        <v>0</v>
      </c>
      <c r="BG40" s="50">
        <v>0</v>
      </c>
      <c r="BH40" s="49">
        <v>38</v>
      </c>
      <c r="BI40" s="50">
        <v>100</v>
      </c>
      <c r="BJ40" s="49">
        <v>38</v>
      </c>
      <c r="BK40" s="49" t="s">
        <v>2174</v>
      </c>
      <c r="BL40" s="49" t="s">
        <v>2174</v>
      </c>
      <c r="BM40" s="49" t="s">
        <v>457</v>
      </c>
      <c r="BN40" s="49" t="s">
        <v>457</v>
      </c>
      <c r="BO40" s="49" t="s">
        <v>2501</v>
      </c>
      <c r="BP40" s="49" t="s">
        <v>2512</v>
      </c>
      <c r="BQ40" s="115" t="s">
        <v>2534</v>
      </c>
      <c r="BR40" s="115" t="s">
        <v>2534</v>
      </c>
      <c r="BS40" s="115" t="s">
        <v>2589</v>
      </c>
      <c r="BT40" s="115" t="s">
        <v>2589</v>
      </c>
      <c r="BU40" s="2"/>
      <c r="BV40" s="3"/>
      <c r="BW40" s="3"/>
      <c r="BX40" s="3"/>
      <c r="BY40" s="3"/>
    </row>
    <row r="41" spans="1:77" ht="15">
      <c r="A41" s="65" t="s">
        <v>363</v>
      </c>
      <c r="B41" s="66"/>
      <c r="C41" s="66"/>
      <c r="D41" s="67">
        <v>1000</v>
      </c>
      <c r="E41" s="69"/>
      <c r="F41" s="103" t="str">
        <f>HYPERLINK("https://pbs.twimg.com/profile_images/1436429000986009648/3p0wsqnc_normal.jpg")</f>
        <v>https://pbs.twimg.com/profile_images/1436429000986009648/3p0wsqnc_normal.jpg</v>
      </c>
      <c r="G41" s="66"/>
      <c r="H41" s="70" t="s">
        <v>363</v>
      </c>
      <c r="I41" s="71"/>
      <c r="J41" s="71" t="s">
        <v>75</v>
      </c>
      <c r="K41" s="70" t="s">
        <v>1496</v>
      </c>
      <c r="L41" s="74">
        <v>1968.8603174603174</v>
      </c>
      <c r="M41" s="75">
        <v>6607.96875</v>
      </c>
      <c r="N41" s="75">
        <v>6985.57373046875</v>
      </c>
      <c r="O41" s="76"/>
      <c r="P41" s="77"/>
      <c r="Q41" s="77"/>
      <c r="R41" s="89"/>
      <c r="S41" s="49">
        <v>4</v>
      </c>
      <c r="T41" s="49">
        <v>0</v>
      </c>
      <c r="U41" s="50">
        <v>248</v>
      </c>
      <c r="V41" s="50">
        <v>0.010204</v>
      </c>
      <c r="W41" s="50">
        <v>0.004971</v>
      </c>
      <c r="X41" s="50">
        <v>1.14937</v>
      </c>
      <c r="Y41" s="50">
        <v>0.16666666666666666</v>
      </c>
      <c r="Z41" s="50">
        <v>0</v>
      </c>
      <c r="AA41" s="72">
        <v>41</v>
      </c>
      <c r="AB41" s="72"/>
      <c r="AC41" s="73"/>
      <c r="AD41" s="79" t="s">
        <v>966</v>
      </c>
      <c r="AE41" s="84" t="s">
        <v>1128</v>
      </c>
      <c r="AF41" s="79">
        <v>35</v>
      </c>
      <c r="AG41" s="79">
        <v>282518</v>
      </c>
      <c r="AH41" s="79">
        <v>4090</v>
      </c>
      <c r="AI41" s="79">
        <v>405</v>
      </c>
      <c r="AJ41" s="79"/>
      <c r="AK41" s="79" t="s">
        <v>1283</v>
      </c>
      <c r="AL41" s="79"/>
      <c r="AM41" s="86" t="str">
        <f>HYPERLINK("https://t.co/e7isxgQRkR")</f>
        <v>https://t.co/e7isxgQRkR</v>
      </c>
      <c r="AN41" s="79"/>
      <c r="AO41" s="81">
        <v>43655.9008912037</v>
      </c>
      <c r="AP41" s="86" t="str">
        <f>HYPERLINK("https://pbs.twimg.com/profile_banners/1148707721878724609/1631927647")</f>
        <v>https://pbs.twimg.com/profile_banners/1148707721878724609/1631927647</v>
      </c>
      <c r="AQ41" s="79" t="b">
        <v>1</v>
      </c>
      <c r="AR41" s="79" t="b">
        <v>0</v>
      </c>
      <c r="AS41" s="79" t="b">
        <v>0</v>
      </c>
      <c r="AT41" s="79"/>
      <c r="AU41" s="79">
        <v>399</v>
      </c>
      <c r="AV41" s="79"/>
      <c r="AW41" s="79" t="b">
        <v>1</v>
      </c>
      <c r="AX41" s="79" t="s">
        <v>1458</v>
      </c>
      <c r="AY41" s="86" t="str">
        <f>HYPERLINK("https://twitter.com/gn_mexico_")</f>
        <v>https://twitter.com/gn_mexico_</v>
      </c>
      <c r="AZ41" s="79" t="s">
        <v>65</v>
      </c>
      <c r="BA41" s="79" t="str">
        <f>REPLACE(INDEX(GroupVertices[Group],MATCH(Vertices[[#This Row],[Vertex]],GroupVertices[Vertex],0)),1,1,"")</f>
        <v>5</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246</v>
      </c>
      <c r="B42" s="66"/>
      <c r="C42" s="66"/>
      <c r="D42" s="67">
        <v>100</v>
      </c>
      <c r="E42" s="69"/>
      <c r="F42" s="103" t="str">
        <f>HYPERLINK("https://pbs.twimg.com/profile_images/1440284065639239694/Ii5M38vq_normal.jpg")</f>
        <v>https://pbs.twimg.com/profile_images/1440284065639239694/Ii5M38vq_normal.jpg</v>
      </c>
      <c r="G42" s="66"/>
      <c r="H42" s="70" t="s">
        <v>246</v>
      </c>
      <c r="I42" s="71"/>
      <c r="J42" s="71" t="s">
        <v>159</v>
      </c>
      <c r="K42" s="70" t="s">
        <v>1497</v>
      </c>
      <c r="L42" s="74">
        <v>1</v>
      </c>
      <c r="M42" s="75">
        <v>7904.2373046875</v>
      </c>
      <c r="N42" s="75">
        <v>6388.53466796875</v>
      </c>
      <c r="O42" s="76"/>
      <c r="P42" s="77"/>
      <c r="Q42" s="77"/>
      <c r="R42" s="89"/>
      <c r="S42" s="49">
        <v>2</v>
      </c>
      <c r="T42" s="49">
        <v>1</v>
      </c>
      <c r="U42" s="50">
        <v>0</v>
      </c>
      <c r="V42" s="50">
        <v>0.006211</v>
      </c>
      <c r="W42" s="50">
        <v>0.000129</v>
      </c>
      <c r="X42" s="50">
        <v>0.730088</v>
      </c>
      <c r="Y42" s="50">
        <v>0</v>
      </c>
      <c r="Z42" s="50">
        <v>0</v>
      </c>
      <c r="AA42" s="72">
        <v>42</v>
      </c>
      <c r="AB42" s="72"/>
      <c r="AC42" s="73"/>
      <c r="AD42" s="79" t="s">
        <v>967</v>
      </c>
      <c r="AE42" s="84" t="s">
        <v>1129</v>
      </c>
      <c r="AF42" s="79">
        <v>29326</v>
      </c>
      <c r="AG42" s="79">
        <v>88617</v>
      </c>
      <c r="AH42" s="79">
        <v>203745</v>
      </c>
      <c r="AI42" s="79">
        <v>9533</v>
      </c>
      <c r="AJ42" s="79"/>
      <c r="AK42" s="79" t="s">
        <v>1284</v>
      </c>
      <c r="AL42" s="79" t="s">
        <v>1395</v>
      </c>
      <c r="AM42" s="86" t="str">
        <f>HYPERLINK("https://t.co/dJbnDCIjvd")</f>
        <v>https://t.co/dJbnDCIjvd</v>
      </c>
      <c r="AN42" s="79"/>
      <c r="AO42" s="81">
        <v>39750.75423611111</v>
      </c>
      <c r="AP42" s="86" t="str">
        <f>HYPERLINK("https://pbs.twimg.com/profile_banners/17046947/1580929363")</f>
        <v>https://pbs.twimg.com/profile_banners/17046947/1580929363</v>
      </c>
      <c r="AQ42" s="79" t="b">
        <v>0</v>
      </c>
      <c r="AR42" s="79" t="b">
        <v>0</v>
      </c>
      <c r="AS42" s="79" t="b">
        <v>1</v>
      </c>
      <c r="AT42" s="79"/>
      <c r="AU42" s="79">
        <v>626</v>
      </c>
      <c r="AV42" s="86" t="str">
        <f>HYPERLINK("https://abs.twimg.com/images/themes/theme14/bg.gif")</f>
        <v>https://abs.twimg.com/images/themes/theme14/bg.gif</v>
      </c>
      <c r="AW42" s="79" t="b">
        <v>1</v>
      </c>
      <c r="AX42" s="79" t="s">
        <v>1458</v>
      </c>
      <c r="AY42" s="86" t="str">
        <f>HYPERLINK("https://twitter.com/isain")</f>
        <v>https://twitter.com/isain</v>
      </c>
      <c r="AZ42" s="79" t="s">
        <v>66</v>
      </c>
      <c r="BA42" s="79" t="str">
        <f>REPLACE(INDEX(GroupVertices[Group],MATCH(Vertices[[#This Row],[Vertex]],GroupVertices[Vertex],0)),1,1,"")</f>
        <v>5</v>
      </c>
      <c r="BB42" s="49">
        <v>0</v>
      </c>
      <c r="BC42" s="50">
        <v>0</v>
      </c>
      <c r="BD42" s="49">
        <v>0</v>
      </c>
      <c r="BE42" s="50">
        <v>0</v>
      </c>
      <c r="BF42" s="49">
        <v>0</v>
      </c>
      <c r="BG42" s="50">
        <v>0</v>
      </c>
      <c r="BH42" s="49">
        <v>7</v>
      </c>
      <c r="BI42" s="50">
        <v>100</v>
      </c>
      <c r="BJ42" s="49">
        <v>7</v>
      </c>
      <c r="BK42" s="49"/>
      <c r="BL42" s="49"/>
      <c r="BM42" s="49"/>
      <c r="BN42" s="49"/>
      <c r="BO42" s="49" t="s">
        <v>482</v>
      </c>
      <c r="BP42" s="49" t="s">
        <v>482</v>
      </c>
      <c r="BQ42" s="115" t="s">
        <v>2535</v>
      </c>
      <c r="BR42" s="115" t="s">
        <v>2535</v>
      </c>
      <c r="BS42" s="115" t="s">
        <v>2590</v>
      </c>
      <c r="BT42" s="115" t="s">
        <v>2590</v>
      </c>
      <c r="BU42" s="2"/>
      <c r="BV42" s="3"/>
      <c r="BW42" s="3"/>
      <c r="BX42" s="3"/>
      <c r="BY42" s="3"/>
    </row>
    <row r="43" spans="1:77" ht="15">
      <c r="A43" s="65" t="s">
        <v>247</v>
      </c>
      <c r="B43" s="66"/>
      <c r="C43" s="66"/>
      <c r="D43" s="67">
        <v>100</v>
      </c>
      <c r="E43" s="69"/>
      <c r="F43" s="103" t="str">
        <f>HYPERLINK("https://pbs.twimg.com/profile_images/827173674352418816/dx9M0uxU_normal.jpg")</f>
        <v>https://pbs.twimg.com/profile_images/827173674352418816/dx9M0uxU_normal.jpg</v>
      </c>
      <c r="G43" s="66"/>
      <c r="H43" s="70" t="s">
        <v>247</v>
      </c>
      <c r="I43" s="71"/>
      <c r="J43" s="71" t="s">
        <v>159</v>
      </c>
      <c r="K43" s="70" t="s">
        <v>1498</v>
      </c>
      <c r="L43" s="74">
        <v>1</v>
      </c>
      <c r="M43" s="75">
        <v>8504.736328125</v>
      </c>
      <c r="N43" s="75">
        <v>3433.200927734375</v>
      </c>
      <c r="O43" s="76"/>
      <c r="P43" s="77"/>
      <c r="Q43" s="77"/>
      <c r="R43" s="89"/>
      <c r="S43" s="49">
        <v>0</v>
      </c>
      <c r="T43" s="49">
        <v>1</v>
      </c>
      <c r="U43" s="50">
        <v>0</v>
      </c>
      <c r="V43" s="50">
        <v>1</v>
      </c>
      <c r="W43" s="50">
        <v>0</v>
      </c>
      <c r="X43" s="50">
        <v>0.999997</v>
      </c>
      <c r="Y43" s="50">
        <v>0</v>
      </c>
      <c r="Z43" s="50">
        <v>0</v>
      </c>
      <c r="AA43" s="72">
        <v>43</v>
      </c>
      <c r="AB43" s="72"/>
      <c r="AC43" s="73"/>
      <c r="AD43" s="79" t="s">
        <v>968</v>
      </c>
      <c r="AE43" s="84" t="s">
        <v>1130</v>
      </c>
      <c r="AF43" s="79">
        <v>144</v>
      </c>
      <c r="AG43" s="79">
        <v>100</v>
      </c>
      <c r="AH43" s="79">
        <v>16584</v>
      </c>
      <c r="AI43" s="79">
        <v>327</v>
      </c>
      <c r="AJ43" s="79"/>
      <c r="AK43" s="79" t="s">
        <v>1285</v>
      </c>
      <c r="AL43" s="79"/>
      <c r="AM43" s="86" t="str">
        <f>HYPERLINK("https://t.co/RgIUATZQam")</f>
        <v>https://t.co/RgIUATZQam</v>
      </c>
      <c r="AN43" s="79"/>
      <c r="AO43" s="81">
        <v>41883.677094907405</v>
      </c>
      <c r="AP43" s="86" t="str">
        <f>HYPERLINK("https://pbs.twimg.com/profile_banners/2784372319/1513711366")</f>
        <v>https://pbs.twimg.com/profile_banners/2784372319/1513711366</v>
      </c>
      <c r="AQ43" s="79" t="b">
        <v>0</v>
      </c>
      <c r="AR43" s="79" t="b">
        <v>0</v>
      </c>
      <c r="AS43" s="79" t="b">
        <v>0</v>
      </c>
      <c r="AT43" s="79"/>
      <c r="AU43" s="79">
        <v>0</v>
      </c>
      <c r="AV43" s="86" t="str">
        <f>HYPERLINK("https://abs.twimg.com/images/themes/theme1/bg.png")</f>
        <v>https://abs.twimg.com/images/themes/theme1/bg.png</v>
      </c>
      <c r="AW43" s="79" t="b">
        <v>0</v>
      </c>
      <c r="AX43" s="79" t="s">
        <v>1458</v>
      </c>
      <c r="AY43" s="86" t="str">
        <f>HYPERLINK("https://twitter.com/dalealplaymx")</f>
        <v>https://twitter.com/dalealplaymx</v>
      </c>
      <c r="AZ43" s="79" t="s">
        <v>66</v>
      </c>
      <c r="BA43" s="79" t="str">
        <f>REPLACE(INDEX(GroupVertices[Group],MATCH(Vertices[[#This Row],[Vertex]],GroupVertices[Vertex],0)),1,1,"")</f>
        <v>24</v>
      </c>
      <c r="BB43" s="49">
        <v>0</v>
      </c>
      <c r="BC43" s="50">
        <v>0</v>
      </c>
      <c r="BD43" s="49">
        <v>0</v>
      </c>
      <c r="BE43" s="50">
        <v>0</v>
      </c>
      <c r="BF43" s="49">
        <v>0</v>
      </c>
      <c r="BG43" s="50">
        <v>0</v>
      </c>
      <c r="BH43" s="49">
        <v>20</v>
      </c>
      <c r="BI43" s="50">
        <v>100</v>
      </c>
      <c r="BJ43" s="49">
        <v>20</v>
      </c>
      <c r="BK43" s="49" t="s">
        <v>2197</v>
      </c>
      <c r="BL43" s="49" t="s">
        <v>2197</v>
      </c>
      <c r="BM43" s="49" t="s">
        <v>458</v>
      </c>
      <c r="BN43" s="49" t="s">
        <v>458</v>
      </c>
      <c r="BO43" s="49" t="s">
        <v>483</v>
      </c>
      <c r="BP43" s="49" t="s">
        <v>483</v>
      </c>
      <c r="BQ43" s="115" t="s">
        <v>2536</v>
      </c>
      <c r="BR43" s="115" t="s">
        <v>2536</v>
      </c>
      <c r="BS43" s="115" t="s">
        <v>2591</v>
      </c>
      <c r="BT43" s="115" t="s">
        <v>2591</v>
      </c>
      <c r="BU43" s="2"/>
      <c r="BV43" s="3"/>
      <c r="BW43" s="3"/>
      <c r="BX43" s="3"/>
      <c r="BY43" s="3"/>
    </row>
    <row r="44" spans="1:77" ht="15">
      <c r="A44" s="65" t="s">
        <v>364</v>
      </c>
      <c r="B44" s="66"/>
      <c r="C44" s="66"/>
      <c r="D44" s="67">
        <v>100</v>
      </c>
      <c r="E44" s="69"/>
      <c r="F44" s="103" t="str">
        <f>HYPERLINK("https://pbs.twimg.com/profile_images/1427292844612595720/RC1YSvuT_normal.jpg")</f>
        <v>https://pbs.twimg.com/profile_images/1427292844612595720/RC1YSvuT_normal.jpg</v>
      </c>
      <c r="G44" s="66"/>
      <c r="H44" s="70" t="s">
        <v>364</v>
      </c>
      <c r="I44" s="71"/>
      <c r="J44" s="71" t="s">
        <v>159</v>
      </c>
      <c r="K44" s="70" t="s">
        <v>1499</v>
      </c>
      <c r="L44" s="74">
        <v>1</v>
      </c>
      <c r="M44" s="75">
        <v>8504.736328125</v>
      </c>
      <c r="N44" s="75">
        <v>3907.8369140625</v>
      </c>
      <c r="O44" s="76"/>
      <c r="P44" s="77"/>
      <c r="Q44" s="77"/>
      <c r="R44" s="89"/>
      <c r="S44" s="49">
        <v>1</v>
      </c>
      <c r="T44" s="49">
        <v>0</v>
      </c>
      <c r="U44" s="50">
        <v>0</v>
      </c>
      <c r="V44" s="50">
        <v>1</v>
      </c>
      <c r="W44" s="50">
        <v>0</v>
      </c>
      <c r="X44" s="50">
        <v>0.999997</v>
      </c>
      <c r="Y44" s="50">
        <v>0</v>
      </c>
      <c r="Z44" s="50">
        <v>0</v>
      </c>
      <c r="AA44" s="72">
        <v>44</v>
      </c>
      <c r="AB44" s="72"/>
      <c r="AC44" s="73"/>
      <c r="AD44" s="79" t="s">
        <v>969</v>
      </c>
      <c r="AE44" s="84" t="s">
        <v>1131</v>
      </c>
      <c r="AF44" s="79">
        <v>1201</v>
      </c>
      <c r="AG44" s="79">
        <v>73282087</v>
      </c>
      <c r="AH44" s="79">
        <v>36561</v>
      </c>
      <c r="AI44" s="79">
        <v>5710</v>
      </c>
      <c r="AJ44" s="79"/>
      <c r="AK44" s="79" t="s">
        <v>1286</v>
      </c>
      <c r="AL44" s="79" t="s">
        <v>1409</v>
      </c>
      <c r="AM44" s="86" t="str">
        <f>HYPERLINK("https://t.co/kjUK7E8YAQ")</f>
        <v>https://t.co/kjUK7E8YAQ</v>
      </c>
      <c r="AN44" s="79"/>
      <c r="AO44" s="81">
        <v>39399.90539351852</v>
      </c>
      <c r="AP44" s="86" t="str">
        <f>HYPERLINK("https://pbs.twimg.com/profile_banners/10228272/1631634387")</f>
        <v>https://pbs.twimg.com/profile_banners/10228272/1631634387</v>
      </c>
      <c r="AQ44" s="79" t="b">
        <v>0</v>
      </c>
      <c r="AR44" s="79" t="b">
        <v>0</v>
      </c>
      <c r="AS44" s="79" t="b">
        <v>0</v>
      </c>
      <c r="AT44" s="79"/>
      <c r="AU44" s="79">
        <v>79438</v>
      </c>
      <c r="AV44" s="86" t="str">
        <f>HYPERLINK("https://abs.twimg.com/images/themes/theme14/bg.gif")</f>
        <v>https://abs.twimg.com/images/themes/theme14/bg.gif</v>
      </c>
      <c r="AW44" s="79" t="b">
        <v>1</v>
      </c>
      <c r="AX44" s="79" t="s">
        <v>1458</v>
      </c>
      <c r="AY44" s="86" t="str">
        <f>HYPERLINK("https://twitter.com/youtube")</f>
        <v>https://twitter.com/youtube</v>
      </c>
      <c r="AZ44" s="79" t="s">
        <v>65</v>
      </c>
      <c r="BA44" s="79" t="str">
        <f>REPLACE(INDEX(GroupVertices[Group],MATCH(Vertices[[#This Row],[Vertex]],GroupVertices[Vertex],0)),1,1,"")</f>
        <v>24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5" t="s">
        <v>248</v>
      </c>
      <c r="B45" s="66"/>
      <c r="C45" s="66"/>
      <c r="D45" s="67">
        <v>1000</v>
      </c>
      <c r="E45" s="69"/>
      <c r="F45" s="103" t="str">
        <f>HYPERLINK("https://pbs.twimg.com/profile_images/825813643883401217/e4e_ZHoq_normal.jpg")</f>
        <v>https://pbs.twimg.com/profile_images/825813643883401217/e4e_ZHoq_normal.jpg</v>
      </c>
      <c r="G45" s="66"/>
      <c r="H45" s="70" t="s">
        <v>248</v>
      </c>
      <c r="I45" s="71"/>
      <c r="J45" s="71" t="s">
        <v>75</v>
      </c>
      <c r="K45" s="70" t="s">
        <v>1500</v>
      </c>
      <c r="L45" s="74">
        <v>1572.1142857142856</v>
      </c>
      <c r="M45" s="75">
        <v>7559.1845703125</v>
      </c>
      <c r="N45" s="75">
        <v>4984.23681640625</v>
      </c>
      <c r="O45" s="76"/>
      <c r="P45" s="77"/>
      <c r="Q45" s="77"/>
      <c r="R45" s="89"/>
      <c r="S45" s="49">
        <v>1</v>
      </c>
      <c r="T45" s="49">
        <v>5</v>
      </c>
      <c r="U45" s="50">
        <v>198</v>
      </c>
      <c r="V45" s="50">
        <v>0.012821</v>
      </c>
      <c r="W45" s="50">
        <v>0.017966</v>
      </c>
      <c r="X45" s="50">
        <v>1.810191</v>
      </c>
      <c r="Y45" s="50">
        <v>0</v>
      </c>
      <c r="Z45" s="50">
        <v>0</v>
      </c>
      <c r="AA45" s="72">
        <v>45</v>
      </c>
      <c r="AB45" s="72"/>
      <c r="AC45" s="73"/>
      <c r="AD45" s="79" t="s">
        <v>970</v>
      </c>
      <c r="AE45" s="84" t="s">
        <v>1132</v>
      </c>
      <c r="AF45" s="79">
        <v>279</v>
      </c>
      <c r="AG45" s="79">
        <v>2024</v>
      </c>
      <c r="AH45" s="79">
        <v>147152</v>
      </c>
      <c r="AI45" s="79">
        <v>920</v>
      </c>
      <c r="AJ45" s="79"/>
      <c r="AK45" s="79" t="s">
        <v>1287</v>
      </c>
      <c r="AL45" s="79" t="s">
        <v>1410</v>
      </c>
      <c r="AM45" s="86" t="str">
        <f>HYPERLINK("https://t.co/W4Qv1mgUU0")</f>
        <v>https://t.co/W4Qv1mgUU0</v>
      </c>
      <c r="AN45" s="79"/>
      <c r="AO45" s="81">
        <v>41443.766493055555</v>
      </c>
      <c r="AP45" s="86" t="str">
        <f>HYPERLINK("https://pbs.twimg.com/profile_banners/1528482824/1372643695")</f>
        <v>https://pbs.twimg.com/profile_banners/1528482824/1372643695</v>
      </c>
      <c r="AQ45" s="79" t="b">
        <v>0</v>
      </c>
      <c r="AR45" s="79" t="b">
        <v>0</v>
      </c>
      <c r="AS45" s="79" t="b">
        <v>1</v>
      </c>
      <c r="AT45" s="79"/>
      <c r="AU45" s="79">
        <v>29</v>
      </c>
      <c r="AV45" s="86" t="str">
        <f>HYPERLINK("https://abs.twimg.com/images/themes/theme1/bg.png")</f>
        <v>https://abs.twimg.com/images/themes/theme1/bg.png</v>
      </c>
      <c r="AW45" s="79" t="b">
        <v>0</v>
      </c>
      <c r="AX45" s="79" t="s">
        <v>1458</v>
      </c>
      <c r="AY45" s="86" t="str">
        <f>HYPERLINK("https://twitter.com/foforo99")</f>
        <v>https://twitter.com/foforo99</v>
      </c>
      <c r="AZ45" s="79" t="s">
        <v>66</v>
      </c>
      <c r="BA45" s="79" t="str">
        <f>REPLACE(INDEX(GroupVertices[Group],MATCH(Vertices[[#This Row],[Vertex]],GroupVertices[Vertex],0)),1,1,"")</f>
        <v>12</v>
      </c>
      <c r="BB45" s="49">
        <v>0</v>
      </c>
      <c r="BC45" s="50">
        <v>0</v>
      </c>
      <c r="BD45" s="49">
        <v>0</v>
      </c>
      <c r="BE45" s="50">
        <v>0</v>
      </c>
      <c r="BF45" s="49">
        <v>0</v>
      </c>
      <c r="BG45" s="50">
        <v>0</v>
      </c>
      <c r="BH45" s="49">
        <v>66</v>
      </c>
      <c r="BI45" s="50">
        <v>100</v>
      </c>
      <c r="BJ45" s="49">
        <v>66</v>
      </c>
      <c r="BK45" s="49" t="s">
        <v>2193</v>
      </c>
      <c r="BL45" s="49" t="s">
        <v>2193</v>
      </c>
      <c r="BM45" s="49" t="s">
        <v>451</v>
      </c>
      <c r="BN45" s="49" t="s">
        <v>451</v>
      </c>
      <c r="BO45" s="49" t="s">
        <v>484</v>
      </c>
      <c r="BP45" s="49" t="s">
        <v>484</v>
      </c>
      <c r="BQ45" s="115" t="s">
        <v>2287</v>
      </c>
      <c r="BR45" s="115" t="s">
        <v>2287</v>
      </c>
      <c r="BS45" s="115" t="s">
        <v>2401</v>
      </c>
      <c r="BT45" s="115" t="s">
        <v>2401</v>
      </c>
      <c r="BU45" s="2"/>
      <c r="BV45" s="3"/>
      <c r="BW45" s="3"/>
      <c r="BX45" s="3"/>
      <c r="BY45" s="3"/>
    </row>
    <row r="46" spans="1:77" ht="15">
      <c r="A46" s="65" t="s">
        <v>365</v>
      </c>
      <c r="B46" s="66"/>
      <c r="C46" s="66"/>
      <c r="D46" s="67">
        <v>100</v>
      </c>
      <c r="E46" s="69"/>
      <c r="F46" s="103" t="str">
        <f>HYPERLINK("https://pbs.twimg.com/profile_images/1352272530845945858/M1P7oG8F_normal.jpg")</f>
        <v>https://pbs.twimg.com/profile_images/1352272530845945858/M1P7oG8F_normal.jpg</v>
      </c>
      <c r="G46" s="66"/>
      <c r="H46" s="70" t="s">
        <v>365</v>
      </c>
      <c r="I46" s="71"/>
      <c r="J46" s="71" t="s">
        <v>159</v>
      </c>
      <c r="K46" s="70" t="s">
        <v>1501</v>
      </c>
      <c r="L46" s="74">
        <v>1</v>
      </c>
      <c r="M46" s="75">
        <v>8267.330078125</v>
      </c>
      <c r="N46" s="75">
        <v>4827.14111328125</v>
      </c>
      <c r="O46" s="76"/>
      <c r="P46" s="77"/>
      <c r="Q46" s="77"/>
      <c r="R46" s="89"/>
      <c r="S46" s="49">
        <v>1</v>
      </c>
      <c r="T46" s="49">
        <v>0</v>
      </c>
      <c r="U46" s="50">
        <v>0</v>
      </c>
      <c r="V46" s="50">
        <v>0.008929</v>
      </c>
      <c r="W46" s="50">
        <v>0.002423</v>
      </c>
      <c r="X46" s="50">
        <v>0.457732</v>
      </c>
      <c r="Y46" s="50">
        <v>0</v>
      </c>
      <c r="Z46" s="50">
        <v>0</v>
      </c>
      <c r="AA46" s="72">
        <v>46</v>
      </c>
      <c r="AB46" s="72"/>
      <c r="AC46" s="73"/>
      <c r="AD46" s="79" t="s">
        <v>971</v>
      </c>
      <c r="AE46" s="84" t="s">
        <v>1133</v>
      </c>
      <c r="AF46" s="79">
        <v>3032</v>
      </c>
      <c r="AG46" s="79">
        <v>886476</v>
      </c>
      <c r="AH46" s="79">
        <v>11461</v>
      </c>
      <c r="AI46" s="79">
        <v>5958</v>
      </c>
      <c r="AJ46" s="79"/>
      <c r="AK46" s="79" t="s">
        <v>1288</v>
      </c>
      <c r="AL46" s="79"/>
      <c r="AM46" s="86" t="str">
        <f>HYPERLINK("http://t.co/8g1IPdXyhw")</f>
        <v>http://t.co/8g1IPdXyhw</v>
      </c>
      <c r="AN46" s="79"/>
      <c r="AO46" s="81">
        <v>40301.58446759259</v>
      </c>
      <c r="AP46" s="86" t="str">
        <f>HYPERLINK("https://pbs.twimg.com/profile_banners/139727749/1631565635")</f>
        <v>https://pbs.twimg.com/profile_banners/139727749/1631565635</v>
      </c>
      <c r="AQ46" s="79" t="b">
        <v>0</v>
      </c>
      <c r="AR46" s="79" t="b">
        <v>0</v>
      </c>
      <c r="AS46" s="79" t="b">
        <v>1</v>
      </c>
      <c r="AT46" s="79"/>
      <c r="AU46" s="79">
        <v>2369</v>
      </c>
      <c r="AV46" s="86" t="str">
        <f>HYPERLINK("https://abs.twimg.com/images/themes/theme1/bg.png")</f>
        <v>https://abs.twimg.com/images/themes/theme1/bg.png</v>
      </c>
      <c r="AW46" s="79" t="b">
        <v>1</v>
      </c>
      <c r="AX46" s="79" t="s">
        <v>1458</v>
      </c>
      <c r="AY46" s="86" t="str">
        <f>HYPERLINK("https://twitter.com/onu_derechos")</f>
        <v>https://twitter.com/onu_derechos</v>
      </c>
      <c r="AZ46" s="79" t="s">
        <v>65</v>
      </c>
      <c r="BA46" s="79" t="str">
        <f>REPLACE(INDEX(GroupVertices[Group],MATCH(Vertices[[#This Row],[Vertex]],GroupVertices[Vertex],0)),1,1,"")</f>
        <v>12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366</v>
      </c>
      <c r="B47" s="66"/>
      <c r="C47" s="66"/>
      <c r="D47" s="67">
        <v>100</v>
      </c>
      <c r="E47" s="69"/>
      <c r="F47" s="103" t="str">
        <f>HYPERLINK("https://pbs.twimg.com/profile_images/1410472886226370565/izCODIC6_normal.jpg")</f>
        <v>https://pbs.twimg.com/profile_images/1410472886226370565/izCODIC6_normal.jpg</v>
      </c>
      <c r="G47" s="66"/>
      <c r="H47" s="70" t="s">
        <v>366</v>
      </c>
      <c r="I47" s="71"/>
      <c r="J47" s="71" t="s">
        <v>159</v>
      </c>
      <c r="K47" s="70" t="s">
        <v>1502</v>
      </c>
      <c r="L47" s="74">
        <v>1</v>
      </c>
      <c r="M47" s="75">
        <v>7343.89111328125</v>
      </c>
      <c r="N47" s="75">
        <v>5663.99072265625</v>
      </c>
      <c r="O47" s="76"/>
      <c r="P47" s="77"/>
      <c r="Q47" s="77"/>
      <c r="R47" s="89"/>
      <c r="S47" s="49">
        <v>1</v>
      </c>
      <c r="T47" s="49">
        <v>0</v>
      </c>
      <c r="U47" s="50">
        <v>0</v>
      </c>
      <c r="V47" s="50">
        <v>0.008929</v>
      </c>
      <c r="W47" s="50">
        <v>0.002423</v>
      </c>
      <c r="X47" s="50">
        <v>0.457732</v>
      </c>
      <c r="Y47" s="50">
        <v>0</v>
      </c>
      <c r="Z47" s="50">
        <v>0</v>
      </c>
      <c r="AA47" s="72">
        <v>47</v>
      </c>
      <c r="AB47" s="72"/>
      <c r="AC47" s="73"/>
      <c r="AD47" s="79" t="s">
        <v>972</v>
      </c>
      <c r="AE47" s="84" t="s">
        <v>1134</v>
      </c>
      <c r="AF47" s="79">
        <v>683</v>
      </c>
      <c r="AG47" s="79">
        <v>64397</v>
      </c>
      <c r="AH47" s="79">
        <v>24869</v>
      </c>
      <c r="AI47" s="79">
        <v>6546</v>
      </c>
      <c r="AJ47" s="79"/>
      <c r="AK47" s="79" t="s">
        <v>1289</v>
      </c>
      <c r="AL47" s="79" t="s">
        <v>1411</v>
      </c>
      <c r="AM47" s="86" t="str">
        <f>HYPERLINK("https://t.co/6UZHGBHekT")</f>
        <v>https://t.co/6UZHGBHekT</v>
      </c>
      <c r="AN47" s="79"/>
      <c r="AO47" s="81">
        <v>40310.74773148148</v>
      </c>
      <c r="AP47" s="86" t="str">
        <f>HYPERLINK("https://pbs.twimg.com/profile_banners/143137590/1609778911")</f>
        <v>https://pbs.twimg.com/profile_banners/143137590/1609778911</v>
      </c>
      <c r="AQ47" s="79" t="b">
        <v>0</v>
      </c>
      <c r="AR47" s="79" t="b">
        <v>0</v>
      </c>
      <c r="AS47" s="79" t="b">
        <v>1</v>
      </c>
      <c r="AT47" s="79"/>
      <c r="AU47" s="79">
        <v>628</v>
      </c>
      <c r="AV47" s="86" t="str">
        <f>HYPERLINK("https://abs.twimg.com/images/themes/theme1/bg.png")</f>
        <v>https://abs.twimg.com/images/themes/theme1/bg.png</v>
      </c>
      <c r="AW47" s="79" t="b">
        <v>0</v>
      </c>
      <c r="AX47" s="79" t="s">
        <v>1458</v>
      </c>
      <c r="AY47" s="86" t="str">
        <f>HYPERLINK("https://twitter.com/onudhmexico")</f>
        <v>https://twitter.com/onudhmexico</v>
      </c>
      <c r="AZ47" s="79" t="s">
        <v>65</v>
      </c>
      <c r="BA47" s="79" t="str">
        <f>REPLACE(INDEX(GroupVertices[Group],MATCH(Vertices[[#This Row],[Vertex]],GroupVertices[Vertex],0)),1,1,"")</f>
        <v>12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367</v>
      </c>
      <c r="B48" s="66"/>
      <c r="C48" s="66"/>
      <c r="D48" s="67">
        <v>100</v>
      </c>
      <c r="E48" s="69"/>
      <c r="F48" s="103" t="str">
        <f>HYPERLINK("https://pbs.twimg.com/profile_images/1357021148714688515/rN_328BW_normal.jpg")</f>
        <v>https://pbs.twimg.com/profile_images/1357021148714688515/rN_328BW_normal.jpg</v>
      </c>
      <c r="G48" s="66"/>
      <c r="H48" s="70" t="s">
        <v>367</v>
      </c>
      <c r="I48" s="71"/>
      <c r="J48" s="71" t="s">
        <v>159</v>
      </c>
      <c r="K48" s="70" t="s">
        <v>1503</v>
      </c>
      <c r="L48" s="74">
        <v>1</v>
      </c>
      <c r="M48" s="75">
        <v>7066.33251953125</v>
      </c>
      <c r="N48" s="75">
        <v>4461.5791015625</v>
      </c>
      <c r="O48" s="76"/>
      <c r="P48" s="77"/>
      <c r="Q48" s="77"/>
      <c r="R48" s="89"/>
      <c r="S48" s="49">
        <v>1</v>
      </c>
      <c r="T48" s="49">
        <v>0</v>
      </c>
      <c r="U48" s="50">
        <v>0</v>
      </c>
      <c r="V48" s="50">
        <v>0.008929</v>
      </c>
      <c r="W48" s="50">
        <v>0.002423</v>
      </c>
      <c r="X48" s="50">
        <v>0.457732</v>
      </c>
      <c r="Y48" s="50">
        <v>0</v>
      </c>
      <c r="Z48" s="50">
        <v>0</v>
      </c>
      <c r="AA48" s="72">
        <v>48</v>
      </c>
      <c r="AB48" s="72"/>
      <c r="AC48" s="73"/>
      <c r="AD48" s="79" t="s">
        <v>973</v>
      </c>
      <c r="AE48" s="84" t="s">
        <v>1135</v>
      </c>
      <c r="AF48" s="79">
        <v>2088</v>
      </c>
      <c r="AG48" s="79">
        <v>377910</v>
      </c>
      <c r="AH48" s="79">
        <v>41129</v>
      </c>
      <c r="AI48" s="79">
        <v>13770</v>
      </c>
      <c r="AJ48" s="79"/>
      <c r="AK48" s="79" t="s">
        <v>1290</v>
      </c>
      <c r="AL48" s="79" t="s">
        <v>1393</v>
      </c>
      <c r="AM48" s="86" t="str">
        <f>HYPERLINK("https://t.co/y9KkDdTuUX")</f>
        <v>https://t.co/y9KkDdTuUX</v>
      </c>
      <c r="AN48" s="79"/>
      <c r="AO48" s="81">
        <v>40588.68572916667</v>
      </c>
      <c r="AP48" s="86" t="str">
        <f>HYPERLINK("https://pbs.twimg.com/profile_banners/252160277/1625112172")</f>
        <v>https://pbs.twimg.com/profile_banners/252160277/1625112172</v>
      </c>
      <c r="AQ48" s="79" t="b">
        <v>0</v>
      </c>
      <c r="AR48" s="79" t="b">
        <v>0</v>
      </c>
      <c r="AS48" s="79" t="b">
        <v>1</v>
      </c>
      <c r="AT48" s="79"/>
      <c r="AU48" s="79">
        <v>1303</v>
      </c>
      <c r="AV48" s="86" t="str">
        <f>HYPERLINK("https://abs.twimg.com/images/themes/theme15/bg.png")</f>
        <v>https://abs.twimg.com/images/themes/theme15/bg.png</v>
      </c>
      <c r="AW48" s="79" t="b">
        <v>1</v>
      </c>
      <c r="AX48" s="79" t="s">
        <v>1458</v>
      </c>
      <c r="AY48" s="86" t="str">
        <f>HYPERLINK("https://twitter.com/cndh")</f>
        <v>https://twitter.com/cndh</v>
      </c>
      <c r="AZ48" s="79" t="s">
        <v>65</v>
      </c>
      <c r="BA48" s="79" t="str">
        <f>REPLACE(INDEX(GroupVertices[Group],MATCH(Vertices[[#This Row],[Vertex]],GroupVertices[Vertex],0)),1,1,"")</f>
        <v>12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368</v>
      </c>
      <c r="B49" s="66"/>
      <c r="C49" s="66"/>
      <c r="D49" s="67">
        <v>1000</v>
      </c>
      <c r="E49" s="69"/>
      <c r="F49" s="103" t="str">
        <f>HYPERLINK("https://pbs.twimg.com/profile_images/1436759176135462924/AF8GUdz-_normal.jpg")</f>
        <v>https://pbs.twimg.com/profile_images/1436759176135462924/AF8GUdz-_normal.jpg</v>
      </c>
      <c r="G49" s="66"/>
      <c r="H49" s="70" t="s">
        <v>368</v>
      </c>
      <c r="I49" s="71"/>
      <c r="J49" s="71" t="s">
        <v>75</v>
      </c>
      <c r="K49" s="70" t="s">
        <v>1504</v>
      </c>
      <c r="L49" s="74">
        <v>7531.239682539683</v>
      </c>
      <c r="M49" s="75">
        <v>1771.018798828125</v>
      </c>
      <c r="N49" s="75">
        <v>2005.998046875</v>
      </c>
      <c r="O49" s="76"/>
      <c r="P49" s="77"/>
      <c r="Q49" s="77"/>
      <c r="R49" s="89"/>
      <c r="S49" s="49">
        <v>26</v>
      </c>
      <c r="T49" s="49">
        <v>0</v>
      </c>
      <c r="U49" s="50">
        <v>949</v>
      </c>
      <c r="V49" s="50">
        <v>0.02</v>
      </c>
      <c r="W49" s="50">
        <v>0.107971</v>
      </c>
      <c r="X49" s="50">
        <v>5.666219</v>
      </c>
      <c r="Y49" s="50">
        <v>0.03230769230769231</v>
      </c>
      <c r="Z49" s="50">
        <v>0</v>
      </c>
      <c r="AA49" s="72">
        <v>49</v>
      </c>
      <c r="AB49" s="72"/>
      <c r="AC49" s="73"/>
      <c r="AD49" s="79" t="s">
        <v>974</v>
      </c>
      <c r="AE49" s="84" t="s">
        <v>1136</v>
      </c>
      <c r="AF49" s="79">
        <v>584</v>
      </c>
      <c r="AG49" s="79">
        <v>42816</v>
      </c>
      <c r="AH49" s="79">
        <v>23899</v>
      </c>
      <c r="AI49" s="79">
        <v>8527</v>
      </c>
      <c r="AJ49" s="79"/>
      <c r="AK49" s="79" t="s">
        <v>1291</v>
      </c>
      <c r="AL49" s="79" t="s">
        <v>1393</v>
      </c>
      <c r="AM49" s="86" t="str">
        <f>HYPERLINK("https://t.co/SPze4ZJ3cK")</f>
        <v>https://t.co/SPze4ZJ3cK</v>
      </c>
      <c r="AN49" s="79"/>
      <c r="AO49" s="81">
        <v>41358.710185185184</v>
      </c>
      <c r="AP49" s="86" t="str">
        <f>HYPERLINK("https://pbs.twimg.com/profile_banners/1300283125/1631909390")</f>
        <v>https://pbs.twimg.com/profile_banners/1300283125/1631909390</v>
      </c>
      <c r="AQ49" s="79" t="b">
        <v>0</v>
      </c>
      <c r="AR49" s="79" t="b">
        <v>0</v>
      </c>
      <c r="AS49" s="79" t="b">
        <v>0</v>
      </c>
      <c r="AT49" s="79"/>
      <c r="AU49" s="79">
        <v>285</v>
      </c>
      <c r="AV49" s="86" t="str">
        <f>HYPERLINK("https://abs.twimg.com/images/themes/theme1/bg.png")</f>
        <v>https://abs.twimg.com/images/themes/theme1/bg.png</v>
      </c>
      <c r="AW49" s="79" t="b">
        <v>1</v>
      </c>
      <c r="AX49" s="79" t="s">
        <v>1458</v>
      </c>
      <c r="AY49" s="86" t="str">
        <f>HYPERLINK("https://twitter.com/inami_mx")</f>
        <v>https://twitter.com/inami_mx</v>
      </c>
      <c r="AZ49" s="79" t="s">
        <v>65</v>
      </c>
      <c r="BA49" s="79"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249</v>
      </c>
      <c r="B50" s="66"/>
      <c r="C50" s="66"/>
      <c r="D50" s="67">
        <v>100</v>
      </c>
      <c r="E50" s="69"/>
      <c r="F50" s="103" t="str">
        <f>HYPERLINK("https://pbs.twimg.com/profile_images/3540584669/5476252f7dedd6043cf97669d8524be7_normal.jpeg")</f>
        <v>https://pbs.twimg.com/profile_images/3540584669/5476252f7dedd6043cf97669d8524be7_normal.jpeg</v>
      </c>
      <c r="G50" s="66"/>
      <c r="H50" s="70" t="s">
        <v>249</v>
      </c>
      <c r="I50" s="71"/>
      <c r="J50" s="71" t="s">
        <v>159</v>
      </c>
      <c r="K50" s="70" t="s">
        <v>1505</v>
      </c>
      <c r="L50" s="74">
        <v>1</v>
      </c>
      <c r="M50" s="75">
        <v>4541.189453125</v>
      </c>
      <c r="N50" s="75">
        <v>7967.4755859375</v>
      </c>
      <c r="O50" s="76"/>
      <c r="P50" s="77"/>
      <c r="Q50" s="77"/>
      <c r="R50" s="89"/>
      <c r="S50" s="49">
        <v>0</v>
      </c>
      <c r="T50" s="49">
        <v>2</v>
      </c>
      <c r="U50" s="50">
        <v>0</v>
      </c>
      <c r="V50" s="50">
        <v>0.05</v>
      </c>
      <c r="W50" s="50">
        <v>0</v>
      </c>
      <c r="X50" s="50">
        <v>0.761754</v>
      </c>
      <c r="Y50" s="50">
        <v>1</v>
      </c>
      <c r="Z50" s="50">
        <v>0</v>
      </c>
      <c r="AA50" s="72">
        <v>50</v>
      </c>
      <c r="AB50" s="72"/>
      <c r="AC50" s="73"/>
      <c r="AD50" s="79" t="s">
        <v>975</v>
      </c>
      <c r="AE50" s="84" t="s">
        <v>1137</v>
      </c>
      <c r="AF50" s="79">
        <v>4537</v>
      </c>
      <c r="AG50" s="79">
        <v>3312</v>
      </c>
      <c r="AH50" s="79">
        <v>284294</v>
      </c>
      <c r="AI50" s="79">
        <v>234985</v>
      </c>
      <c r="AJ50" s="79"/>
      <c r="AK50" s="79" t="s">
        <v>1292</v>
      </c>
      <c r="AL50" s="79"/>
      <c r="AM50" s="79"/>
      <c r="AN50" s="79"/>
      <c r="AO50" s="81">
        <v>40337.81800925926</v>
      </c>
      <c r="AP50" s="86" t="str">
        <f>HYPERLINK("https://pbs.twimg.com/profile_banners/153519870/1407531577")</f>
        <v>https://pbs.twimg.com/profile_banners/153519870/1407531577</v>
      </c>
      <c r="AQ50" s="79" t="b">
        <v>0</v>
      </c>
      <c r="AR50" s="79" t="b">
        <v>0</v>
      </c>
      <c r="AS50" s="79" t="b">
        <v>1</v>
      </c>
      <c r="AT50" s="79"/>
      <c r="AU50" s="79">
        <v>115</v>
      </c>
      <c r="AV50" s="86" t="str">
        <f>HYPERLINK("https://abs.twimg.com/images/themes/theme1/bg.png")</f>
        <v>https://abs.twimg.com/images/themes/theme1/bg.png</v>
      </c>
      <c r="AW50" s="79" t="b">
        <v>0</v>
      </c>
      <c r="AX50" s="79" t="s">
        <v>1458</v>
      </c>
      <c r="AY50" s="86" t="str">
        <f>HYPERLINK("https://twitter.com/palabritadepape")</f>
        <v>https://twitter.com/palabritadepape</v>
      </c>
      <c r="AZ50" s="79" t="s">
        <v>66</v>
      </c>
      <c r="BA50" s="79" t="str">
        <f>REPLACE(INDEX(GroupVertices[Group],MATCH(Vertices[[#This Row],[Vertex]],GroupVertices[Vertex],0)),1,1,"")</f>
        <v>3</v>
      </c>
      <c r="BB50" s="49">
        <v>1</v>
      </c>
      <c r="BC50" s="50">
        <v>0.7633587786259542</v>
      </c>
      <c r="BD50" s="49">
        <v>0</v>
      </c>
      <c r="BE50" s="50">
        <v>0</v>
      </c>
      <c r="BF50" s="49">
        <v>0</v>
      </c>
      <c r="BG50" s="50">
        <v>0</v>
      </c>
      <c r="BH50" s="49">
        <v>130</v>
      </c>
      <c r="BI50" s="50">
        <v>99.23664122137404</v>
      </c>
      <c r="BJ50" s="49">
        <v>131</v>
      </c>
      <c r="BK50" s="49" t="s">
        <v>2485</v>
      </c>
      <c r="BL50" s="49" t="s">
        <v>2485</v>
      </c>
      <c r="BM50" s="49" t="s">
        <v>2494</v>
      </c>
      <c r="BN50" s="49" t="s">
        <v>2494</v>
      </c>
      <c r="BO50" s="49" t="s">
        <v>2502</v>
      </c>
      <c r="BP50" s="49" t="s">
        <v>2513</v>
      </c>
      <c r="BQ50" s="115" t="s">
        <v>2537</v>
      </c>
      <c r="BR50" s="115" t="s">
        <v>2571</v>
      </c>
      <c r="BS50" s="115" t="s">
        <v>2394</v>
      </c>
      <c r="BT50" s="115" t="s">
        <v>2394</v>
      </c>
      <c r="BU50" s="2"/>
      <c r="BV50" s="3"/>
      <c r="BW50" s="3"/>
      <c r="BX50" s="3"/>
      <c r="BY50" s="3"/>
    </row>
    <row r="51" spans="1:77" ht="15">
      <c r="A51" s="65" t="s">
        <v>250</v>
      </c>
      <c r="B51" s="66"/>
      <c r="C51" s="66"/>
      <c r="D51" s="67">
        <v>100</v>
      </c>
      <c r="E51" s="69"/>
      <c r="F51" s="103" t="str">
        <f>HYPERLINK("https://pbs.twimg.com/profile_images/1283387370910474242/Fiq0SJMk_normal.jpg")</f>
        <v>https://pbs.twimg.com/profile_images/1283387370910474242/Fiq0SJMk_normal.jpg</v>
      </c>
      <c r="G51" s="66"/>
      <c r="H51" s="70" t="s">
        <v>250</v>
      </c>
      <c r="I51" s="71"/>
      <c r="J51" s="71" t="s">
        <v>159</v>
      </c>
      <c r="K51" s="70" t="s">
        <v>1506</v>
      </c>
      <c r="L51" s="74">
        <v>1</v>
      </c>
      <c r="M51" s="75">
        <v>4290.89111328125</v>
      </c>
      <c r="N51" s="75">
        <v>8461.521484375</v>
      </c>
      <c r="O51" s="76"/>
      <c r="P51" s="77"/>
      <c r="Q51" s="77"/>
      <c r="R51" s="89"/>
      <c r="S51" s="49">
        <v>0</v>
      </c>
      <c r="T51" s="49">
        <v>2</v>
      </c>
      <c r="U51" s="50">
        <v>0</v>
      </c>
      <c r="V51" s="50">
        <v>0.05</v>
      </c>
      <c r="W51" s="50">
        <v>0</v>
      </c>
      <c r="X51" s="50">
        <v>0.761754</v>
      </c>
      <c r="Y51" s="50">
        <v>1</v>
      </c>
      <c r="Z51" s="50">
        <v>0</v>
      </c>
      <c r="AA51" s="72">
        <v>51</v>
      </c>
      <c r="AB51" s="72"/>
      <c r="AC51" s="73"/>
      <c r="AD51" s="79" t="s">
        <v>976</v>
      </c>
      <c r="AE51" s="84" t="s">
        <v>1138</v>
      </c>
      <c r="AF51" s="79">
        <v>2311</v>
      </c>
      <c r="AG51" s="79">
        <v>2846</v>
      </c>
      <c r="AH51" s="79">
        <v>70153</v>
      </c>
      <c r="AI51" s="79">
        <v>6758</v>
      </c>
      <c r="AJ51" s="79"/>
      <c r="AK51" s="79" t="s">
        <v>1293</v>
      </c>
      <c r="AL51" s="79" t="s">
        <v>1412</v>
      </c>
      <c r="AM51" s="86" t="str">
        <f>HYPERLINK("https://t.co/ZSiuJDeHQE")</f>
        <v>https://t.co/ZSiuJDeHQE</v>
      </c>
      <c r="AN51" s="79"/>
      <c r="AO51" s="81">
        <v>41088.793703703705</v>
      </c>
      <c r="AP51" s="86" t="str">
        <f>HYPERLINK("https://pbs.twimg.com/profile_banners/621230485/1595155478")</f>
        <v>https://pbs.twimg.com/profile_banners/621230485/1595155478</v>
      </c>
      <c r="AQ51" s="79" t="b">
        <v>0</v>
      </c>
      <c r="AR51" s="79" t="b">
        <v>0</v>
      </c>
      <c r="AS51" s="79" t="b">
        <v>1</v>
      </c>
      <c r="AT51" s="79"/>
      <c r="AU51" s="79">
        <v>44</v>
      </c>
      <c r="AV51" s="86" t="str">
        <f>HYPERLINK("https://abs.twimg.com/images/themes/theme15/bg.png")</f>
        <v>https://abs.twimg.com/images/themes/theme15/bg.png</v>
      </c>
      <c r="AW51" s="79" t="b">
        <v>0</v>
      </c>
      <c r="AX51" s="79" t="s">
        <v>1458</v>
      </c>
      <c r="AY51" s="86" t="str">
        <f>HYPERLINK("https://twitter.com/cheguevararoma")</f>
        <v>https://twitter.com/cheguevararoma</v>
      </c>
      <c r="AZ51" s="79" t="s">
        <v>66</v>
      </c>
      <c r="BA51" s="79" t="str">
        <f>REPLACE(INDEX(GroupVertices[Group],MATCH(Vertices[[#This Row],[Vertex]],GroupVertices[Vertex],0)),1,1,"")</f>
        <v>3</v>
      </c>
      <c r="BB51" s="49">
        <v>0</v>
      </c>
      <c r="BC51" s="50">
        <v>0</v>
      </c>
      <c r="BD51" s="49">
        <v>0</v>
      </c>
      <c r="BE51" s="50">
        <v>0</v>
      </c>
      <c r="BF51" s="49">
        <v>0</v>
      </c>
      <c r="BG51" s="50">
        <v>0</v>
      </c>
      <c r="BH51" s="49">
        <v>31</v>
      </c>
      <c r="BI51" s="50">
        <v>100</v>
      </c>
      <c r="BJ51" s="49">
        <v>31</v>
      </c>
      <c r="BK51" s="49" t="s">
        <v>2143</v>
      </c>
      <c r="BL51" s="49" t="s">
        <v>2143</v>
      </c>
      <c r="BM51" s="49" t="s">
        <v>455</v>
      </c>
      <c r="BN51" s="49" t="s">
        <v>455</v>
      </c>
      <c r="BO51" s="49" t="s">
        <v>479</v>
      </c>
      <c r="BP51" s="49" t="s">
        <v>479</v>
      </c>
      <c r="BQ51" s="115" t="s">
        <v>2531</v>
      </c>
      <c r="BR51" s="115" t="s">
        <v>2531</v>
      </c>
      <c r="BS51" s="115" t="s">
        <v>2394</v>
      </c>
      <c r="BT51" s="115" t="s">
        <v>2394</v>
      </c>
      <c r="BU51" s="2"/>
      <c r="BV51" s="3"/>
      <c r="BW51" s="3"/>
      <c r="BX51" s="3"/>
      <c r="BY51" s="3"/>
    </row>
    <row r="52" spans="1:77" ht="15">
      <c r="A52" s="65" t="s">
        <v>251</v>
      </c>
      <c r="B52" s="66"/>
      <c r="C52" s="66"/>
      <c r="D52" s="67">
        <v>100</v>
      </c>
      <c r="E52" s="69"/>
      <c r="F52" s="103" t="str">
        <f>HYPERLINK("https://pbs.twimg.com/profile_images/601332363382157312/1G7_6JwW_normal.jpg")</f>
        <v>https://pbs.twimg.com/profile_images/601332363382157312/1G7_6JwW_normal.jpg</v>
      </c>
      <c r="G52" s="66"/>
      <c r="H52" s="70" t="s">
        <v>251</v>
      </c>
      <c r="I52" s="71"/>
      <c r="J52" s="71" t="s">
        <v>159</v>
      </c>
      <c r="K52" s="70" t="s">
        <v>1507</v>
      </c>
      <c r="L52" s="74">
        <v>1</v>
      </c>
      <c r="M52" s="75">
        <v>5764.6220703125</v>
      </c>
      <c r="N52" s="75">
        <v>7847.31640625</v>
      </c>
      <c r="O52" s="76"/>
      <c r="P52" s="77"/>
      <c r="Q52" s="77"/>
      <c r="R52" s="89"/>
      <c r="S52" s="49">
        <v>0</v>
      </c>
      <c r="T52" s="49">
        <v>2</v>
      </c>
      <c r="U52" s="50">
        <v>0</v>
      </c>
      <c r="V52" s="50">
        <v>0.05</v>
      </c>
      <c r="W52" s="50">
        <v>0</v>
      </c>
      <c r="X52" s="50">
        <v>0.761754</v>
      </c>
      <c r="Y52" s="50">
        <v>1</v>
      </c>
      <c r="Z52" s="50">
        <v>0</v>
      </c>
      <c r="AA52" s="72">
        <v>52</v>
      </c>
      <c r="AB52" s="72"/>
      <c r="AC52" s="73"/>
      <c r="AD52" s="79" t="s">
        <v>977</v>
      </c>
      <c r="AE52" s="84" t="s">
        <v>1139</v>
      </c>
      <c r="AF52" s="79">
        <v>2065</v>
      </c>
      <c r="AG52" s="79">
        <v>629</v>
      </c>
      <c r="AH52" s="79">
        <v>9531</v>
      </c>
      <c r="AI52" s="79">
        <v>160</v>
      </c>
      <c r="AJ52" s="79"/>
      <c r="AK52" s="79"/>
      <c r="AL52" s="79" t="s">
        <v>1413</v>
      </c>
      <c r="AM52" s="79"/>
      <c r="AN52" s="79"/>
      <c r="AO52" s="81">
        <v>40968.917395833334</v>
      </c>
      <c r="AP52" s="86" t="str">
        <f>HYPERLINK("https://pbs.twimg.com/profile_banners/509309976/1590843322")</f>
        <v>https://pbs.twimg.com/profile_banners/509309976/1590843322</v>
      </c>
      <c r="AQ52" s="79" t="b">
        <v>0</v>
      </c>
      <c r="AR52" s="79" t="b">
        <v>0</v>
      </c>
      <c r="AS52" s="79" t="b">
        <v>1</v>
      </c>
      <c r="AT52" s="79"/>
      <c r="AU52" s="79">
        <v>20</v>
      </c>
      <c r="AV52" s="86" t="str">
        <f>HYPERLINK("https://abs.twimg.com/images/themes/theme2/bg.gif")</f>
        <v>https://abs.twimg.com/images/themes/theme2/bg.gif</v>
      </c>
      <c r="AW52" s="79" t="b">
        <v>0</v>
      </c>
      <c r="AX52" s="79" t="s">
        <v>1458</v>
      </c>
      <c r="AY52" s="86" t="str">
        <f>HYPERLINK("https://twitter.com/fraespoesposito")</f>
        <v>https://twitter.com/fraespoesposito</v>
      </c>
      <c r="AZ52" s="79" t="s">
        <v>66</v>
      </c>
      <c r="BA52" s="79" t="str">
        <f>REPLACE(INDEX(GroupVertices[Group],MATCH(Vertices[[#This Row],[Vertex]],GroupVertices[Vertex],0)),1,1,"")</f>
        <v>3</v>
      </c>
      <c r="BB52" s="49">
        <v>0</v>
      </c>
      <c r="BC52" s="50">
        <v>0</v>
      </c>
      <c r="BD52" s="49">
        <v>0</v>
      </c>
      <c r="BE52" s="50">
        <v>0</v>
      </c>
      <c r="BF52" s="49">
        <v>0</v>
      </c>
      <c r="BG52" s="50">
        <v>0</v>
      </c>
      <c r="BH52" s="49">
        <v>31</v>
      </c>
      <c r="BI52" s="50">
        <v>100</v>
      </c>
      <c r="BJ52" s="49">
        <v>31</v>
      </c>
      <c r="BK52" s="49" t="s">
        <v>2143</v>
      </c>
      <c r="BL52" s="49" t="s">
        <v>2143</v>
      </c>
      <c r="BM52" s="49" t="s">
        <v>455</v>
      </c>
      <c r="BN52" s="49" t="s">
        <v>455</v>
      </c>
      <c r="BO52" s="49" t="s">
        <v>479</v>
      </c>
      <c r="BP52" s="49" t="s">
        <v>479</v>
      </c>
      <c r="BQ52" s="115" t="s">
        <v>2531</v>
      </c>
      <c r="BR52" s="115" t="s">
        <v>2531</v>
      </c>
      <c r="BS52" s="115" t="s">
        <v>2394</v>
      </c>
      <c r="BT52" s="115" t="s">
        <v>2394</v>
      </c>
      <c r="BU52" s="2"/>
      <c r="BV52" s="3"/>
      <c r="BW52" s="3"/>
      <c r="BX52" s="3"/>
      <c r="BY52" s="3"/>
    </row>
    <row r="53" spans="1:77" ht="15">
      <c r="A53" s="65" t="s">
        <v>252</v>
      </c>
      <c r="B53" s="66"/>
      <c r="C53" s="66"/>
      <c r="D53" s="67">
        <v>100</v>
      </c>
      <c r="E53" s="69"/>
      <c r="F53" s="103" t="str">
        <f>HYPERLINK("https://pbs.twimg.com/profile_images/917228156150353921/XnTMJl4N_normal.jpg")</f>
        <v>https://pbs.twimg.com/profile_images/917228156150353921/XnTMJl4N_normal.jpg</v>
      </c>
      <c r="G53" s="66"/>
      <c r="H53" s="70" t="s">
        <v>252</v>
      </c>
      <c r="I53" s="71"/>
      <c r="J53" s="71" t="s">
        <v>159</v>
      </c>
      <c r="K53" s="70" t="s">
        <v>1508</v>
      </c>
      <c r="L53" s="74">
        <v>1</v>
      </c>
      <c r="M53" s="75">
        <v>9412.466796875</v>
      </c>
      <c r="N53" s="75">
        <v>3907.8369140625</v>
      </c>
      <c r="O53" s="76"/>
      <c r="P53" s="77"/>
      <c r="Q53" s="77"/>
      <c r="R53" s="89"/>
      <c r="S53" s="49">
        <v>2</v>
      </c>
      <c r="T53" s="49">
        <v>1</v>
      </c>
      <c r="U53" s="50">
        <v>0</v>
      </c>
      <c r="V53" s="50">
        <v>1</v>
      </c>
      <c r="W53" s="50">
        <v>0</v>
      </c>
      <c r="X53" s="50">
        <v>1.298241</v>
      </c>
      <c r="Y53" s="50">
        <v>0</v>
      </c>
      <c r="Z53" s="50">
        <v>0</v>
      </c>
      <c r="AA53" s="72">
        <v>53</v>
      </c>
      <c r="AB53" s="72"/>
      <c r="AC53" s="73"/>
      <c r="AD53" s="79" t="s">
        <v>978</v>
      </c>
      <c r="AE53" s="84" t="s">
        <v>874</v>
      </c>
      <c r="AF53" s="79">
        <v>970</v>
      </c>
      <c r="AG53" s="79">
        <v>1978</v>
      </c>
      <c r="AH53" s="79">
        <v>1041</v>
      </c>
      <c r="AI53" s="79">
        <v>274</v>
      </c>
      <c r="AJ53" s="79"/>
      <c r="AK53" s="79" t="s">
        <v>1294</v>
      </c>
      <c r="AL53" s="79" t="s">
        <v>899</v>
      </c>
      <c r="AM53" s="86" t="str">
        <f>HYPERLINK("https://t.co/cvvY1fNcHr")</f>
        <v>https://t.co/cvvY1fNcHr</v>
      </c>
      <c r="AN53" s="79"/>
      <c r="AO53" s="81">
        <v>41154.413194444445</v>
      </c>
      <c r="AP53" s="79"/>
      <c r="AQ53" s="79" t="b">
        <v>1</v>
      </c>
      <c r="AR53" s="79" t="b">
        <v>0</v>
      </c>
      <c r="AS53" s="79" t="b">
        <v>0</v>
      </c>
      <c r="AT53" s="79"/>
      <c r="AU53" s="79">
        <v>122</v>
      </c>
      <c r="AV53" s="86" t="str">
        <f>HYPERLINK("https://abs.twimg.com/images/themes/theme1/bg.png")</f>
        <v>https://abs.twimg.com/images/themes/theme1/bg.png</v>
      </c>
      <c r="AW53" s="79" t="b">
        <v>0</v>
      </c>
      <c r="AX53" s="79" t="s">
        <v>1458</v>
      </c>
      <c r="AY53" s="86" t="str">
        <f>HYPERLINK("https://twitter.com/pmcdonnelllat")</f>
        <v>https://twitter.com/pmcdonnelllat</v>
      </c>
      <c r="AZ53" s="79" t="s">
        <v>66</v>
      </c>
      <c r="BA53" s="79" t="str">
        <f>REPLACE(INDEX(GroupVertices[Group],MATCH(Vertices[[#This Row],[Vertex]],GroupVertices[Vertex],0)),1,1,"")</f>
        <v>23</v>
      </c>
      <c r="BB53" s="49">
        <v>0</v>
      </c>
      <c r="BC53" s="50">
        <v>0</v>
      </c>
      <c r="BD53" s="49">
        <v>0</v>
      </c>
      <c r="BE53" s="50">
        <v>0</v>
      </c>
      <c r="BF53" s="49">
        <v>0</v>
      </c>
      <c r="BG53" s="50">
        <v>0</v>
      </c>
      <c r="BH53" s="49">
        <v>17</v>
      </c>
      <c r="BI53" s="50">
        <v>100</v>
      </c>
      <c r="BJ53" s="49">
        <v>17</v>
      </c>
      <c r="BK53" s="49"/>
      <c r="BL53" s="49"/>
      <c r="BM53" s="49"/>
      <c r="BN53" s="49"/>
      <c r="BO53" s="49" t="s">
        <v>485</v>
      </c>
      <c r="BP53" s="49" t="s">
        <v>485</v>
      </c>
      <c r="BQ53" s="115" t="s">
        <v>2538</v>
      </c>
      <c r="BR53" s="115" t="s">
        <v>2538</v>
      </c>
      <c r="BS53" s="115" t="s">
        <v>2408</v>
      </c>
      <c r="BT53" s="115" t="s">
        <v>2408</v>
      </c>
      <c r="BU53" s="2"/>
      <c r="BV53" s="3"/>
      <c r="BW53" s="3"/>
      <c r="BX53" s="3"/>
      <c r="BY53" s="3"/>
    </row>
    <row r="54" spans="1:77" ht="15">
      <c r="A54" s="65" t="s">
        <v>253</v>
      </c>
      <c r="B54" s="66"/>
      <c r="C54" s="66"/>
      <c r="D54" s="67">
        <v>100</v>
      </c>
      <c r="E54" s="69"/>
      <c r="F54" s="103" t="str">
        <f>HYPERLINK("https://pbs.twimg.com/profile_images/1014330009215995908/fdjLs9hn_normal.jpg")</f>
        <v>https://pbs.twimg.com/profile_images/1014330009215995908/fdjLs9hn_normal.jpg</v>
      </c>
      <c r="G54" s="66"/>
      <c r="H54" s="70" t="s">
        <v>253</v>
      </c>
      <c r="I54" s="71"/>
      <c r="J54" s="71" t="s">
        <v>159</v>
      </c>
      <c r="K54" s="70" t="s">
        <v>1509</v>
      </c>
      <c r="L54" s="74">
        <v>1</v>
      </c>
      <c r="M54" s="75">
        <v>9412.466796875</v>
      </c>
      <c r="N54" s="75">
        <v>3433.200927734375</v>
      </c>
      <c r="O54" s="76"/>
      <c r="P54" s="77"/>
      <c r="Q54" s="77"/>
      <c r="R54" s="89"/>
      <c r="S54" s="49">
        <v>0</v>
      </c>
      <c r="T54" s="49">
        <v>1</v>
      </c>
      <c r="U54" s="50">
        <v>0</v>
      </c>
      <c r="V54" s="50">
        <v>1</v>
      </c>
      <c r="W54" s="50">
        <v>0</v>
      </c>
      <c r="X54" s="50">
        <v>0.701752</v>
      </c>
      <c r="Y54" s="50">
        <v>0</v>
      </c>
      <c r="Z54" s="50">
        <v>0</v>
      </c>
      <c r="AA54" s="72">
        <v>54</v>
      </c>
      <c r="AB54" s="72"/>
      <c r="AC54" s="73"/>
      <c r="AD54" s="79" t="s">
        <v>979</v>
      </c>
      <c r="AE54" s="84" t="s">
        <v>1140</v>
      </c>
      <c r="AF54" s="79">
        <v>288</v>
      </c>
      <c r="AG54" s="79">
        <v>196</v>
      </c>
      <c r="AH54" s="79">
        <v>56476</v>
      </c>
      <c r="AI54" s="79">
        <v>164192</v>
      </c>
      <c r="AJ54" s="79"/>
      <c r="AK54" s="79" t="s">
        <v>1295</v>
      </c>
      <c r="AL54" s="79" t="s">
        <v>1414</v>
      </c>
      <c r="AM54" s="79"/>
      <c r="AN54" s="79"/>
      <c r="AO54" s="81">
        <v>40279.30127314815</v>
      </c>
      <c r="AP54" s="86" t="str">
        <f>HYPERLINK("https://pbs.twimg.com/profile_banners/131761307/1542216338")</f>
        <v>https://pbs.twimg.com/profile_banners/131761307/1542216338</v>
      </c>
      <c r="AQ54" s="79" t="b">
        <v>1</v>
      </c>
      <c r="AR54" s="79" t="b">
        <v>0</v>
      </c>
      <c r="AS54" s="79" t="b">
        <v>0</v>
      </c>
      <c r="AT54" s="79"/>
      <c r="AU54" s="79">
        <v>5</v>
      </c>
      <c r="AV54" s="86" t="str">
        <f>HYPERLINK("https://abs.twimg.com/images/themes/theme1/bg.png")</f>
        <v>https://abs.twimg.com/images/themes/theme1/bg.png</v>
      </c>
      <c r="AW54" s="79" t="b">
        <v>0</v>
      </c>
      <c r="AX54" s="79" t="s">
        <v>1458</v>
      </c>
      <c r="AY54" s="86" t="str">
        <f>HYPERLINK("https://twitter.com/gopnik_slavic")</f>
        <v>https://twitter.com/gopnik_slavic</v>
      </c>
      <c r="AZ54" s="79" t="s">
        <v>66</v>
      </c>
      <c r="BA54" s="79" t="str">
        <f>REPLACE(INDEX(GroupVertices[Group],MATCH(Vertices[[#This Row],[Vertex]],GroupVertices[Vertex],0)),1,1,"")</f>
        <v>23</v>
      </c>
      <c r="BB54" s="49">
        <v>0</v>
      </c>
      <c r="BC54" s="50">
        <v>0</v>
      </c>
      <c r="BD54" s="49">
        <v>0</v>
      </c>
      <c r="BE54" s="50">
        <v>0</v>
      </c>
      <c r="BF54" s="49">
        <v>0</v>
      </c>
      <c r="BG54" s="50">
        <v>0</v>
      </c>
      <c r="BH54" s="49">
        <v>17</v>
      </c>
      <c r="BI54" s="50">
        <v>100</v>
      </c>
      <c r="BJ54" s="49">
        <v>17</v>
      </c>
      <c r="BK54" s="49"/>
      <c r="BL54" s="49"/>
      <c r="BM54" s="49"/>
      <c r="BN54" s="49"/>
      <c r="BO54" s="49" t="s">
        <v>485</v>
      </c>
      <c r="BP54" s="49" t="s">
        <v>485</v>
      </c>
      <c r="BQ54" s="115" t="s">
        <v>2538</v>
      </c>
      <c r="BR54" s="115" t="s">
        <v>2538</v>
      </c>
      <c r="BS54" s="115" t="s">
        <v>2408</v>
      </c>
      <c r="BT54" s="115" t="s">
        <v>2408</v>
      </c>
      <c r="BU54" s="2"/>
      <c r="BV54" s="3"/>
      <c r="BW54" s="3"/>
      <c r="BX54" s="3"/>
      <c r="BY54" s="3"/>
    </row>
    <row r="55" spans="1:77" ht="15">
      <c r="A55" s="65" t="s">
        <v>255</v>
      </c>
      <c r="B55" s="66"/>
      <c r="C55" s="66"/>
      <c r="D55" s="67">
        <v>100</v>
      </c>
      <c r="E55" s="69"/>
      <c r="F55" s="103" t="str">
        <f>HYPERLINK("https://pbs.twimg.com/profile_images/1388434612037177344/onW1XFeB_normal.jpg")</f>
        <v>https://pbs.twimg.com/profile_images/1388434612037177344/onW1XFeB_normal.jpg</v>
      </c>
      <c r="G55" s="66"/>
      <c r="H55" s="70" t="s">
        <v>255</v>
      </c>
      <c r="I55" s="71"/>
      <c r="J55" s="71" t="s">
        <v>159</v>
      </c>
      <c r="K55" s="70" t="s">
        <v>1510</v>
      </c>
      <c r="L55" s="74">
        <v>1</v>
      </c>
      <c r="M55" s="75">
        <v>9663.837890625</v>
      </c>
      <c r="N55" s="75">
        <v>4461.5791015625</v>
      </c>
      <c r="O55" s="76"/>
      <c r="P55" s="77"/>
      <c r="Q55" s="77"/>
      <c r="R55" s="89"/>
      <c r="S55" s="49">
        <v>0</v>
      </c>
      <c r="T55" s="49">
        <v>1</v>
      </c>
      <c r="U55" s="50">
        <v>0</v>
      </c>
      <c r="V55" s="50">
        <v>0.2</v>
      </c>
      <c r="W55" s="50">
        <v>0</v>
      </c>
      <c r="X55" s="50">
        <v>0.610685</v>
      </c>
      <c r="Y55" s="50">
        <v>0</v>
      </c>
      <c r="Z55" s="50">
        <v>0</v>
      </c>
      <c r="AA55" s="72">
        <v>55</v>
      </c>
      <c r="AB55" s="72"/>
      <c r="AC55" s="73"/>
      <c r="AD55" s="79" t="s">
        <v>980</v>
      </c>
      <c r="AE55" s="84" t="s">
        <v>1141</v>
      </c>
      <c r="AF55" s="79">
        <v>6725</v>
      </c>
      <c r="AG55" s="79">
        <v>17198</v>
      </c>
      <c r="AH55" s="79">
        <v>347718</v>
      </c>
      <c r="AI55" s="79">
        <v>17446</v>
      </c>
      <c r="AJ55" s="79"/>
      <c r="AK55" s="79" t="s">
        <v>1296</v>
      </c>
      <c r="AL55" s="79" t="s">
        <v>1415</v>
      </c>
      <c r="AM55" s="86" t="str">
        <f>HYPERLINK("https://t.co/tNrd0O6OEg")</f>
        <v>https://t.co/tNrd0O6OEg</v>
      </c>
      <c r="AN55" s="79"/>
      <c r="AO55" s="81">
        <v>39971.84208333334</v>
      </c>
      <c r="AP55" s="86" t="str">
        <f>HYPERLINK("https://pbs.twimg.com/profile_banners/45413221/1628890508")</f>
        <v>https://pbs.twimg.com/profile_banners/45413221/1628890508</v>
      </c>
      <c r="AQ55" s="79" t="b">
        <v>0</v>
      </c>
      <c r="AR55" s="79" t="b">
        <v>0</v>
      </c>
      <c r="AS55" s="79" t="b">
        <v>1</v>
      </c>
      <c r="AT55" s="79"/>
      <c r="AU55" s="79">
        <v>643</v>
      </c>
      <c r="AV55" s="86" t="str">
        <f>HYPERLINK("https://abs.twimg.com/images/themes/theme5/bg.gif")</f>
        <v>https://abs.twimg.com/images/themes/theme5/bg.gif</v>
      </c>
      <c r="AW55" s="79" t="b">
        <v>0</v>
      </c>
      <c r="AX55" s="79" t="s">
        <v>1458</v>
      </c>
      <c r="AY55" s="86" t="str">
        <f>HYPERLINK("https://twitter.com/anaschwarz")</f>
        <v>https://twitter.com/anaschwarz</v>
      </c>
      <c r="AZ55" s="79" t="s">
        <v>66</v>
      </c>
      <c r="BA55" s="79" t="str">
        <f>REPLACE(INDEX(GroupVertices[Group],MATCH(Vertices[[#This Row],[Vertex]],GroupVertices[Vertex],0)),1,1,"")</f>
        <v>11</v>
      </c>
      <c r="BB55" s="49">
        <v>0</v>
      </c>
      <c r="BC55" s="50">
        <v>0</v>
      </c>
      <c r="BD55" s="49">
        <v>0</v>
      </c>
      <c r="BE55" s="50">
        <v>0</v>
      </c>
      <c r="BF55" s="49">
        <v>0</v>
      </c>
      <c r="BG55" s="50">
        <v>0</v>
      </c>
      <c r="BH55" s="49">
        <v>16</v>
      </c>
      <c r="BI55" s="50">
        <v>100</v>
      </c>
      <c r="BJ55" s="49">
        <v>16</v>
      </c>
      <c r="BK55" s="49" t="s">
        <v>2142</v>
      </c>
      <c r="BL55" s="49" t="s">
        <v>2142</v>
      </c>
      <c r="BM55" s="49" t="s">
        <v>459</v>
      </c>
      <c r="BN55" s="49" t="s">
        <v>459</v>
      </c>
      <c r="BO55" s="49"/>
      <c r="BP55" s="49"/>
      <c r="BQ55" s="115" t="s">
        <v>2539</v>
      </c>
      <c r="BR55" s="115" t="s">
        <v>2539</v>
      </c>
      <c r="BS55" s="115" t="s">
        <v>2592</v>
      </c>
      <c r="BT55" s="115" t="s">
        <v>2592</v>
      </c>
      <c r="BU55" s="2"/>
      <c r="BV55" s="3"/>
      <c r="BW55" s="3"/>
      <c r="BX55" s="3"/>
      <c r="BY55" s="3"/>
    </row>
    <row r="56" spans="1:77" ht="15">
      <c r="A56" s="65" t="s">
        <v>257</v>
      </c>
      <c r="B56" s="66"/>
      <c r="C56" s="66"/>
      <c r="D56" s="67">
        <v>137.24137931034483</v>
      </c>
      <c r="E56" s="69"/>
      <c r="F56" s="103" t="str">
        <f>HYPERLINK("https://pbs.twimg.com/profile_images/905234555036065792/iwyqKafr_normal.jpg")</f>
        <v>https://pbs.twimg.com/profile_images/905234555036065792/iwyqKafr_normal.jpg</v>
      </c>
      <c r="G56" s="66"/>
      <c r="H56" s="70" t="s">
        <v>257</v>
      </c>
      <c r="I56" s="71"/>
      <c r="J56" s="71" t="s">
        <v>75</v>
      </c>
      <c r="K56" s="70" t="s">
        <v>1511</v>
      </c>
      <c r="L56" s="74">
        <v>48.60952380952381</v>
      </c>
      <c r="M56" s="75">
        <v>9186.1064453125</v>
      </c>
      <c r="N56" s="75">
        <v>4928.74755859375</v>
      </c>
      <c r="O56" s="76"/>
      <c r="P56" s="77"/>
      <c r="Q56" s="77"/>
      <c r="R56" s="89"/>
      <c r="S56" s="49">
        <v>4</v>
      </c>
      <c r="T56" s="49">
        <v>1</v>
      </c>
      <c r="U56" s="50">
        <v>6</v>
      </c>
      <c r="V56" s="50">
        <v>0.333333</v>
      </c>
      <c r="W56" s="50">
        <v>0</v>
      </c>
      <c r="X56" s="50">
        <v>2.167932</v>
      </c>
      <c r="Y56" s="50">
        <v>0</v>
      </c>
      <c r="Z56" s="50">
        <v>0</v>
      </c>
      <c r="AA56" s="72">
        <v>56</v>
      </c>
      <c r="AB56" s="72"/>
      <c r="AC56" s="73"/>
      <c r="AD56" s="79" t="s">
        <v>981</v>
      </c>
      <c r="AE56" s="84" t="s">
        <v>1142</v>
      </c>
      <c r="AF56" s="79">
        <v>2493</v>
      </c>
      <c r="AG56" s="79">
        <v>12561</v>
      </c>
      <c r="AH56" s="79">
        <v>25384</v>
      </c>
      <c r="AI56" s="79">
        <v>1339</v>
      </c>
      <c r="AJ56" s="79"/>
      <c r="AK56" s="79" t="s">
        <v>1297</v>
      </c>
      <c r="AL56" s="79" t="s">
        <v>1393</v>
      </c>
      <c r="AM56" s="86" t="str">
        <f>HYPERLINK("https://t.co/9i1uRY7LeS")</f>
        <v>https://t.co/9i1uRY7LeS</v>
      </c>
      <c r="AN56" s="79"/>
      <c r="AO56" s="81">
        <v>40675.831412037034</v>
      </c>
      <c r="AP56" s="86" t="str">
        <f>HYPERLINK("https://pbs.twimg.com/profile_banners/297606187/1578418755")</f>
        <v>https://pbs.twimg.com/profile_banners/297606187/1578418755</v>
      </c>
      <c r="AQ56" s="79" t="b">
        <v>0</v>
      </c>
      <c r="AR56" s="79" t="b">
        <v>0</v>
      </c>
      <c r="AS56" s="79" t="b">
        <v>1</v>
      </c>
      <c r="AT56" s="79"/>
      <c r="AU56" s="79">
        <v>186</v>
      </c>
      <c r="AV56" s="86" t="str">
        <f>HYPERLINK("https://abs.twimg.com/images/themes/theme1/bg.png")</f>
        <v>https://abs.twimg.com/images/themes/theme1/bg.png</v>
      </c>
      <c r="AW56" s="79" t="b">
        <v>0</v>
      </c>
      <c r="AX56" s="79" t="s">
        <v>1458</v>
      </c>
      <c r="AY56" s="86" t="str">
        <f>HYPERLINK("https://twitter.com/gabinetemex")</f>
        <v>https://twitter.com/gabinetemex</v>
      </c>
      <c r="AZ56" s="79" t="s">
        <v>66</v>
      </c>
      <c r="BA56" s="79" t="str">
        <f>REPLACE(INDEX(GroupVertices[Group],MATCH(Vertices[[#This Row],[Vertex]],GroupVertices[Vertex],0)),1,1,"")</f>
        <v>11</v>
      </c>
      <c r="BB56" s="49">
        <v>0</v>
      </c>
      <c r="BC56" s="50">
        <v>0</v>
      </c>
      <c r="BD56" s="49">
        <v>0</v>
      </c>
      <c r="BE56" s="50">
        <v>0</v>
      </c>
      <c r="BF56" s="49">
        <v>0</v>
      </c>
      <c r="BG56" s="50">
        <v>0</v>
      </c>
      <c r="BH56" s="49">
        <v>76</v>
      </c>
      <c r="BI56" s="50">
        <v>100</v>
      </c>
      <c r="BJ56" s="49">
        <v>76</v>
      </c>
      <c r="BK56" s="49" t="s">
        <v>2142</v>
      </c>
      <c r="BL56" s="49" t="s">
        <v>2142</v>
      </c>
      <c r="BM56" s="49" t="s">
        <v>459</v>
      </c>
      <c r="BN56" s="49" t="s">
        <v>459</v>
      </c>
      <c r="BO56" s="49" t="s">
        <v>472</v>
      </c>
      <c r="BP56" s="49" t="s">
        <v>472</v>
      </c>
      <c r="BQ56" s="115" t="s">
        <v>2540</v>
      </c>
      <c r="BR56" s="115" t="s">
        <v>2572</v>
      </c>
      <c r="BS56" s="115" t="s">
        <v>2593</v>
      </c>
      <c r="BT56" s="115" t="s">
        <v>2615</v>
      </c>
      <c r="BU56" s="2"/>
      <c r="BV56" s="3"/>
      <c r="BW56" s="3"/>
      <c r="BX56" s="3"/>
      <c r="BY56" s="3"/>
    </row>
    <row r="57" spans="1:77" ht="15">
      <c r="A57" s="65" t="s">
        <v>256</v>
      </c>
      <c r="B57" s="66"/>
      <c r="C57" s="66"/>
      <c r="D57" s="67">
        <v>100</v>
      </c>
      <c r="E57" s="69"/>
      <c r="F57" s="103" t="str">
        <f>HYPERLINK("https://pbs.twimg.com/profile_images/1289264192143396870/LfBKoKW0_normal.jpg")</f>
        <v>https://pbs.twimg.com/profile_images/1289264192143396870/LfBKoKW0_normal.jpg</v>
      </c>
      <c r="G57" s="66"/>
      <c r="H57" s="70" t="s">
        <v>256</v>
      </c>
      <c r="I57" s="71"/>
      <c r="J57" s="71" t="s">
        <v>159</v>
      </c>
      <c r="K57" s="70" t="s">
        <v>1512</v>
      </c>
      <c r="L57" s="74">
        <v>1</v>
      </c>
      <c r="M57" s="75">
        <v>9291.9892578125</v>
      </c>
      <c r="N57" s="75">
        <v>5663.99072265625</v>
      </c>
      <c r="O57" s="76"/>
      <c r="P57" s="77"/>
      <c r="Q57" s="77"/>
      <c r="R57" s="89"/>
      <c r="S57" s="49">
        <v>0</v>
      </c>
      <c r="T57" s="49">
        <v>1</v>
      </c>
      <c r="U57" s="50">
        <v>0</v>
      </c>
      <c r="V57" s="50">
        <v>0.2</v>
      </c>
      <c r="W57" s="50">
        <v>0</v>
      </c>
      <c r="X57" s="50">
        <v>0.610685</v>
      </c>
      <c r="Y57" s="50">
        <v>0</v>
      </c>
      <c r="Z57" s="50">
        <v>0</v>
      </c>
      <c r="AA57" s="72">
        <v>57</v>
      </c>
      <c r="AB57" s="72"/>
      <c r="AC57" s="73"/>
      <c r="AD57" s="79" t="s">
        <v>982</v>
      </c>
      <c r="AE57" s="84" t="s">
        <v>1143</v>
      </c>
      <c r="AF57" s="79">
        <v>679</v>
      </c>
      <c r="AG57" s="79">
        <v>783</v>
      </c>
      <c r="AH57" s="79">
        <v>214009</v>
      </c>
      <c r="AI57" s="79">
        <v>46307</v>
      </c>
      <c r="AJ57" s="79"/>
      <c r="AK57" s="79" t="s">
        <v>1298</v>
      </c>
      <c r="AL57" s="79" t="s">
        <v>1416</v>
      </c>
      <c r="AM57" s="79"/>
      <c r="AN57" s="79"/>
      <c r="AO57" s="81">
        <v>40449.45446759259</v>
      </c>
      <c r="AP57" s="86" t="str">
        <f>HYPERLINK("https://pbs.twimg.com/profile_banners/196110680/1489617768")</f>
        <v>https://pbs.twimg.com/profile_banners/196110680/1489617768</v>
      </c>
      <c r="AQ57" s="79" t="b">
        <v>1</v>
      </c>
      <c r="AR57" s="79" t="b">
        <v>0</v>
      </c>
      <c r="AS57" s="79" t="b">
        <v>1</v>
      </c>
      <c r="AT57" s="79"/>
      <c r="AU57" s="79">
        <v>209</v>
      </c>
      <c r="AV57" s="86" t="str">
        <f>HYPERLINK("https://abs.twimg.com/images/themes/theme1/bg.png")</f>
        <v>https://abs.twimg.com/images/themes/theme1/bg.png</v>
      </c>
      <c r="AW57" s="79" t="b">
        <v>0</v>
      </c>
      <c r="AX57" s="79" t="s">
        <v>1458</v>
      </c>
      <c r="AY57" s="86" t="str">
        <f>HYPERLINK("https://twitter.com/dianadi58")</f>
        <v>https://twitter.com/dianadi58</v>
      </c>
      <c r="AZ57" s="79" t="s">
        <v>66</v>
      </c>
      <c r="BA57" s="79" t="str">
        <f>REPLACE(INDEX(GroupVertices[Group],MATCH(Vertices[[#This Row],[Vertex]],GroupVertices[Vertex],0)),1,1,"")</f>
        <v>11</v>
      </c>
      <c r="BB57" s="49">
        <v>0</v>
      </c>
      <c r="BC57" s="50">
        <v>0</v>
      </c>
      <c r="BD57" s="49">
        <v>0</v>
      </c>
      <c r="BE57" s="50">
        <v>0</v>
      </c>
      <c r="BF57" s="49">
        <v>0</v>
      </c>
      <c r="BG57" s="50">
        <v>0</v>
      </c>
      <c r="BH57" s="49">
        <v>40</v>
      </c>
      <c r="BI57" s="50">
        <v>100</v>
      </c>
      <c r="BJ57" s="49">
        <v>40</v>
      </c>
      <c r="BK57" s="49" t="s">
        <v>2142</v>
      </c>
      <c r="BL57" s="49" t="s">
        <v>2142</v>
      </c>
      <c r="BM57" s="49" t="s">
        <v>459</v>
      </c>
      <c r="BN57" s="49" t="s">
        <v>459</v>
      </c>
      <c r="BO57" s="49" t="s">
        <v>472</v>
      </c>
      <c r="BP57" s="49" t="s">
        <v>472</v>
      </c>
      <c r="BQ57" s="115" t="s">
        <v>2541</v>
      </c>
      <c r="BR57" s="115" t="s">
        <v>2573</v>
      </c>
      <c r="BS57" s="115" t="s">
        <v>2594</v>
      </c>
      <c r="BT57" s="115" t="s">
        <v>2616</v>
      </c>
      <c r="BU57" s="2"/>
      <c r="BV57" s="3"/>
      <c r="BW57" s="3"/>
      <c r="BX57" s="3"/>
      <c r="BY57" s="3"/>
    </row>
    <row r="58" spans="1:77" ht="15">
      <c r="A58" s="65" t="s">
        <v>258</v>
      </c>
      <c r="B58" s="66"/>
      <c r="C58" s="66"/>
      <c r="D58" s="67">
        <v>100</v>
      </c>
      <c r="E58" s="69"/>
      <c r="F58" s="103" t="str">
        <f>HYPERLINK("https://pbs.twimg.com/profile_images/1674395799/389893_196827873735876_196824073736256_448496_363226284_n_normal.jpg")</f>
        <v>https://pbs.twimg.com/profile_images/1674395799/389893_196827873735876_196824073736256_448496_363226284_n_normal.jpg</v>
      </c>
      <c r="G58" s="66"/>
      <c r="H58" s="70" t="s">
        <v>258</v>
      </c>
      <c r="I58" s="71"/>
      <c r="J58" s="71" t="s">
        <v>159</v>
      </c>
      <c r="K58" s="70" t="s">
        <v>1513</v>
      </c>
      <c r="L58" s="74">
        <v>1</v>
      </c>
      <c r="M58" s="75">
        <v>8546.630859375</v>
      </c>
      <c r="N58" s="75">
        <v>4660.6708984375</v>
      </c>
      <c r="O58" s="76"/>
      <c r="P58" s="77"/>
      <c r="Q58" s="77"/>
      <c r="R58" s="89"/>
      <c r="S58" s="49">
        <v>0</v>
      </c>
      <c r="T58" s="49">
        <v>1</v>
      </c>
      <c r="U58" s="50">
        <v>0</v>
      </c>
      <c r="V58" s="50">
        <v>0.2</v>
      </c>
      <c r="W58" s="50">
        <v>0</v>
      </c>
      <c r="X58" s="50">
        <v>0.610685</v>
      </c>
      <c r="Y58" s="50">
        <v>0</v>
      </c>
      <c r="Z58" s="50">
        <v>0</v>
      </c>
      <c r="AA58" s="72">
        <v>58</v>
      </c>
      <c r="AB58" s="72"/>
      <c r="AC58" s="73"/>
      <c r="AD58" s="79" t="s">
        <v>983</v>
      </c>
      <c r="AE58" s="84" t="s">
        <v>1144</v>
      </c>
      <c r="AF58" s="79">
        <v>845</v>
      </c>
      <c r="AG58" s="79">
        <v>713</v>
      </c>
      <c r="AH58" s="79">
        <v>9783</v>
      </c>
      <c r="AI58" s="79">
        <v>63</v>
      </c>
      <c r="AJ58" s="79"/>
      <c r="AK58" s="79" t="s">
        <v>1299</v>
      </c>
      <c r="AL58" s="79" t="s">
        <v>1417</v>
      </c>
      <c r="AM58" s="86" t="str">
        <f>HYPERLINK("http://t.co/t5Nwxj2LSM")</f>
        <v>http://t.co/t5Nwxj2LSM</v>
      </c>
      <c r="AN58" s="79"/>
      <c r="AO58" s="81">
        <v>40882.02662037037</v>
      </c>
      <c r="AP58" s="79"/>
      <c r="AQ58" s="79" t="b">
        <v>0</v>
      </c>
      <c r="AR58" s="79" t="b">
        <v>0</v>
      </c>
      <c r="AS58" s="79" t="b">
        <v>0</v>
      </c>
      <c r="AT58" s="79"/>
      <c r="AU58" s="79">
        <v>5</v>
      </c>
      <c r="AV58" s="86" t="str">
        <f>HYPERLINK("https://abs.twimg.com/images/themes/theme1/bg.png")</f>
        <v>https://abs.twimg.com/images/themes/theme1/bg.png</v>
      </c>
      <c r="AW58" s="79" t="b">
        <v>0</v>
      </c>
      <c r="AX58" s="79" t="s">
        <v>1458</v>
      </c>
      <c r="AY58" s="86" t="str">
        <f>HYPERLINK("https://twitter.com/kaleydoscopio1")</f>
        <v>https://twitter.com/kaleydoscopio1</v>
      </c>
      <c r="AZ58" s="79" t="s">
        <v>66</v>
      </c>
      <c r="BA58" s="79" t="str">
        <f>REPLACE(INDEX(GroupVertices[Group],MATCH(Vertices[[#This Row],[Vertex]],GroupVertices[Vertex],0)),1,1,"")</f>
        <v>11</v>
      </c>
      <c r="BB58" s="49">
        <v>0</v>
      </c>
      <c r="BC58" s="50">
        <v>0</v>
      </c>
      <c r="BD58" s="49">
        <v>0</v>
      </c>
      <c r="BE58" s="50">
        <v>0</v>
      </c>
      <c r="BF58" s="49">
        <v>0</v>
      </c>
      <c r="BG58" s="50">
        <v>0</v>
      </c>
      <c r="BH58" s="49">
        <v>76</v>
      </c>
      <c r="BI58" s="50">
        <v>100</v>
      </c>
      <c r="BJ58" s="49">
        <v>76</v>
      </c>
      <c r="BK58" s="49" t="s">
        <v>2142</v>
      </c>
      <c r="BL58" s="49" t="s">
        <v>2142</v>
      </c>
      <c r="BM58" s="49" t="s">
        <v>459</v>
      </c>
      <c r="BN58" s="49" t="s">
        <v>459</v>
      </c>
      <c r="BO58" s="49" t="s">
        <v>472</v>
      </c>
      <c r="BP58" s="49" t="s">
        <v>472</v>
      </c>
      <c r="BQ58" s="115" t="s">
        <v>2542</v>
      </c>
      <c r="BR58" s="115" t="s">
        <v>2574</v>
      </c>
      <c r="BS58" s="115" t="s">
        <v>2595</v>
      </c>
      <c r="BT58" s="115" t="s">
        <v>2617</v>
      </c>
      <c r="BU58" s="2"/>
      <c r="BV58" s="3"/>
      <c r="BW58" s="3"/>
      <c r="BX58" s="3"/>
      <c r="BY58" s="3"/>
    </row>
    <row r="59" spans="1:77" ht="15">
      <c r="A59" s="65" t="s">
        <v>259</v>
      </c>
      <c r="B59" s="66"/>
      <c r="C59" s="66"/>
      <c r="D59" s="67">
        <v>100</v>
      </c>
      <c r="E59" s="69"/>
      <c r="F59" s="103" t="str">
        <f>HYPERLINK("https://pbs.twimg.com/profile_images/1331590517537329155/XlAc2nXq_normal.jpg")</f>
        <v>https://pbs.twimg.com/profile_images/1331590517537329155/XlAc2nXq_normal.jpg</v>
      </c>
      <c r="G59" s="66"/>
      <c r="H59" s="70" t="s">
        <v>259</v>
      </c>
      <c r="I59" s="71"/>
      <c r="J59" s="71" t="s">
        <v>159</v>
      </c>
      <c r="K59" s="70" t="s">
        <v>1514</v>
      </c>
      <c r="L59" s="74">
        <v>1</v>
      </c>
      <c r="M59" s="75">
        <v>8078.80078125</v>
      </c>
      <c r="N59" s="75">
        <v>8153.19287109375</v>
      </c>
      <c r="O59" s="76"/>
      <c r="P59" s="77"/>
      <c r="Q59" s="77"/>
      <c r="R59" s="89"/>
      <c r="S59" s="49">
        <v>1</v>
      </c>
      <c r="T59" s="49">
        <v>1</v>
      </c>
      <c r="U59" s="50">
        <v>0</v>
      </c>
      <c r="V59" s="50">
        <v>0</v>
      </c>
      <c r="W59" s="50">
        <v>0</v>
      </c>
      <c r="X59" s="50">
        <v>0.999997</v>
      </c>
      <c r="Y59" s="50">
        <v>0</v>
      </c>
      <c r="Z59" s="50">
        <v>0</v>
      </c>
      <c r="AA59" s="72">
        <v>59</v>
      </c>
      <c r="AB59" s="72"/>
      <c r="AC59" s="73"/>
      <c r="AD59" s="79" t="s">
        <v>984</v>
      </c>
      <c r="AE59" s="84" t="s">
        <v>1145</v>
      </c>
      <c r="AF59" s="79">
        <v>155</v>
      </c>
      <c r="AG59" s="79">
        <v>8564</v>
      </c>
      <c r="AH59" s="79">
        <v>19974</v>
      </c>
      <c r="AI59" s="79">
        <v>204</v>
      </c>
      <c r="AJ59" s="79"/>
      <c r="AK59" s="79" t="s">
        <v>1300</v>
      </c>
      <c r="AL59" s="79" t="s">
        <v>1400</v>
      </c>
      <c r="AM59" s="86" t="str">
        <f>HYPERLINK("http://t.co/FzWuzGJbdo")</f>
        <v>http://t.co/FzWuzGJbdo</v>
      </c>
      <c r="AN59" s="79"/>
      <c r="AO59" s="81">
        <v>40778.66119212963</v>
      </c>
      <c r="AP59" s="86" t="str">
        <f>HYPERLINK("https://pbs.twimg.com/profile_banners/360676038/1623774584")</f>
        <v>https://pbs.twimg.com/profile_banners/360676038/1623774584</v>
      </c>
      <c r="AQ59" s="79" t="b">
        <v>0</v>
      </c>
      <c r="AR59" s="79" t="b">
        <v>0</v>
      </c>
      <c r="AS59" s="79" t="b">
        <v>1</v>
      </c>
      <c r="AT59" s="79"/>
      <c r="AU59" s="79">
        <v>50</v>
      </c>
      <c r="AV59" s="86" t="str">
        <f>HYPERLINK("https://abs.twimg.com/images/themes/theme1/bg.png")</f>
        <v>https://abs.twimg.com/images/themes/theme1/bg.png</v>
      </c>
      <c r="AW59" s="79" t="b">
        <v>0</v>
      </c>
      <c r="AX59" s="79" t="s">
        <v>1458</v>
      </c>
      <c r="AY59" s="86" t="str">
        <f>HYPERLINK("https://twitter.com/azteca_tamps")</f>
        <v>https://twitter.com/azteca_tamps</v>
      </c>
      <c r="AZ59" s="79" t="s">
        <v>66</v>
      </c>
      <c r="BA59" s="79" t="str">
        <f>REPLACE(INDEX(GroupVertices[Group],MATCH(Vertices[[#This Row],[Vertex]],GroupVertices[Vertex],0)),1,1,"")</f>
        <v>4</v>
      </c>
      <c r="BB59" s="49">
        <v>0</v>
      </c>
      <c r="BC59" s="50">
        <v>0</v>
      </c>
      <c r="BD59" s="49">
        <v>0</v>
      </c>
      <c r="BE59" s="50">
        <v>0</v>
      </c>
      <c r="BF59" s="49">
        <v>0</v>
      </c>
      <c r="BG59" s="50">
        <v>0</v>
      </c>
      <c r="BH59" s="49">
        <v>56</v>
      </c>
      <c r="BI59" s="50">
        <v>100</v>
      </c>
      <c r="BJ59" s="49">
        <v>56</v>
      </c>
      <c r="BK59" s="49"/>
      <c r="BL59" s="49"/>
      <c r="BM59" s="49"/>
      <c r="BN59" s="49"/>
      <c r="BO59" s="49" t="s">
        <v>2503</v>
      </c>
      <c r="BP59" s="49" t="s">
        <v>2514</v>
      </c>
      <c r="BQ59" s="115" t="s">
        <v>2543</v>
      </c>
      <c r="BR59" s="115" t="s">
        <v>2575</v>
      </c>
      <c r="BS59" s="115" t="s">
        <v>2596</v>
      </c>
      <c r="BT59" s="115" t="s">
        <v>2596</v>
      </c>
      <c r="BU59" s="2"/>
      <c r="BV59" s="3"/>
      <c r="BW59" s="3"/>
      <c r="BX59" s="3"/>
      <c r="BY59" s="3"/>
    </row>
    <row r="60" spans="1:77" ht="15">
      <c r="A60" s="65" t="s">
        <v>260</v>
      </c>
      <c r="B60" s="66"/>
      <c r="C60" s="66"/>
      <c r="D60" s="67">
        <v>100</v>
      </c>
      <c r="E60" s="69"/>
      <c r="F60" s="103" t="str">
        <f>HYPERLINK("https://pbs.twimg.com/profile_images/1405362508311891974/Pk_VYkUN_normal.jpg")</f>
        <v>https://pbs.twimg.com/profile_images/1405362508311891974/Pk_VYkUN_normal.jpg</v>
      </c>
      <c r="G60" s="66"/>
      <c r="H60" s="70" t="s">
        <v>260</v>
      </c>
      <c r="I60" s="71"/>
      <c r="J60" s="71" t="s">
        <v>159</v>
      </c>
      <c r="K60" s="70" t="s">
        <v>1515</v>
      </c>
      <c r="L60" s="74">
        <v>1</v>
      </c>
      <c r="M60" s="75">
        <v>6326.18310546875</v>
      </c>
      <c r="N60" s="75">
        <v>3876.194580078125</v>
      </c>
      <c r="O60" s="76"/>
      <c r="P60" s="77"/>
      <c r="Q60" s="77"/>
      <c r="R60" s="89"/>
      <c r="S60" s="49">
        <v>1</v>
      </c>
      <c r="T60" s="49">
        <v>1</v>
      </c>
      <c r="U60" s="50">
        <v>0</v>
      </c>
      <c r="V60" s="50">
        <v>0.5</v>
      </c>
      <c r="W60" s="50">
        <v>0</v>
      </c>
      <c r="X60" s="50">
        <v>0.999997</v>
      </c>
      <c r="Y60" s="50">
        <v>0.5</v>
      </c>
      <c r="Z60" s="50">
        <v>0</v>
      </c>
      <c r="AA60" s="72">
        <v>60</v>
      </c>
      <c r="AB60" s="72"/>
      <c r="AC60" s="73"/>
      <c r="AD60" s="79" t="s">
        <v>985</v>
      </c>
      <c r="AE60" s="84" t="s">
        <v>875</v>
      </c>
      <c r="AF60" s="79">
        <v>1105</v>
      </c>
      <c r="AG60" s="79">
        <v>308</v>
      </c>
      <c r="AH60" s="79">
        <v>3922</v>
      </c>
      <c r="AI60" s="79">
        <v>931</v>
      </c>
      <c r="AJ60" s="79"/>
      <c r="AK60" s="79" t="s">
        <v>1301</v>
      </c>
      <c r="AL60" s="79" t="s">
        <v>1418</v>
      </c>
      <c r="AM60" s="79"/>
      <c r="AN60" s="79"/>
      <c r="AO60" s="81">
        <v>41134.09642361111</v>
      </c>
      <c r="AP60" s="86" t="str">
        <f>HYPERLINK("https://pbs.twimg.com/profile_banners/754224450/1623899507")</f>
        <v>https://pbs.twimg.com/profile_banners/754224450/1623899507</v>
      </c>
      <c r="AQ60" s="79" t="b">
        <v>1</v>
      </c>
      <c r="AR60" s="79" t="b">
        <v>0</v>
      </c>
      <c r="AS60" s="79" t="b">
        <v>1</v>
      </c>
      <c r="AT60" s="79"/>
      <c r="AU60" s="79">
        <v>2</v>
      </c>
      <c r="AV60" s="86" t="str">
        <f>HYPERLINK("https://abs.twimg.com/images/themes/theme1/bg.png")</f>
        <v>https://abs.twimg.com/images/themes/theme1/bg.png</v>
      </c>
      <c r="AW60" s="79" t="b">
        <v>0</v>
      </c>
      <c r="AX60" s="79" t="s">
        <v>1458</v>
      </c>
      <c r="AY60" s="86" t="str">
        <f>HYPERLINK("https://twitter.com/alexvalan")</f>
        <v>https://twitter.com/alexvalan</v>
      </c>
      <c r="AZ60" s="79" t="s">
        <v>66</v>
      </c>
      <c r="BA60" s="79" t="str">
        <f>REPLACE(INDEX(GroupVertices[Group],MATCH(Vertices[[#This Row],[Vertex]],GroupVertices[Vertex],0)),1,1,"")</f>
        <v>16</v>
      </c>
      <c r="BB60" s="49">
        <v>0</v>
      </c>
      <c r="BC60" s="50">
        <v>0</v>
      </c>
      <c r="BD60" s="49">
        <v>0</v>
      </c>
      <c r="BE60" s="50">
        <v>0</v>
      </c>
      <c r="BF60" s="49">
        <v>0</v>
      </c>
      <c r="BG60" s="50">
        <v>0</v>
      </c>
      <c r="BH60" s="49">
        <v>38</v>
      </c>
      <c r="BI60" s="50">
        <v>100</v>
      </c>
      <c r="BJ60" s="49">
        <v>38</v>
      </c>
      <c r="BK60" s="49"/>
      <c r="BL60" s="49"/>
      <c r="BM60" s="49"/>
      <c r="BN60" s="49"/>
      <c r="BO60" s="49" t="s">
        <v>472</v>
      </c>
      <c r="BP60" s="49" t="s">
        <v>472</v>
      </c>
      <c r="BQ60" s="115" t="s">
        <v>2544</v>
      </c>
      <c r="BR60" s="115" t="s">
        <v>2544</v>
      </c>
      <c r="BS60" s="115" t="s">
        <v>2404</v>
      </c>
      <c r="BT60" s="115" t="s">
        <v>2404</v>
      </c>
      <c r="BU60" s="2"/>
      <c r="BV60" s="3"/>
      <c r="BW60" s="3"/>
      <c r="BX60" s="3"/>
      <c r="BY60" s="3"/>
    </row>
    <row r="61" spans="1:77" ht="15">
      <c r="A61" s="65" t="s">
        <v>369</v>
      </c>
      <c r="B61" s="66"/>
      <c r="C61" s="66"/>
      <c r="D61" s="67">
        <v>100</v>
      </c>
      <c r="E61" s="69"/>
      <c r="F61" s="103" t="str">
        <f>HYPERLINK("https://pbs.twimg.com/profile_images/1366268321281306626/e8ZUYsyI_normal.jpg")</f>
        <v>https://pbs.twimg.com/profile_images/1366268321281306626/e8ZUYsyI_normal.jpg</v>
      </c>
      <c r="G61" s="66"/>
      <c r="H61" s="70" t="s">
        <v>369</v>
      </c>
      <c r="I61" s="71"/>
      <c r="J61" s="71" t="s">
        <v>159</v>
      </c>
      <c r="K61" s="70" t="s">
        <v>1516</v>
      </c>
      <c r="L61" s="74">
        <v>1</v>
      </c>
      <c r="M61" s="75">
        <v>5851.3701171875</v>
      </c>
      <c r="N61" s="75">
        <v>3876.194580078125</v>
      </c>
      <c r="O61" s="76"/>
      <c r="P61" s="77"/>
      <c r="Q61" s="77"/>
      <c r="R61" s="89"/>
      <c r="S61" s="49">
        <v>2</v>
      </c>
      <c r="T61" s="49">
        <v>0</v>
      </c>
      <c r="U61" s="50">
        <v>0</v>
      </c>
      <c r="V61" s="50">
        <v>0.5</v>
      </c>
      <c r="W61" s="50">
        <v>0</v>
      </c>
      <c r="X61" s="50">
        <v>0.999997</v>
      </c>
      <c r="Y61" s="50">
        <v>0.5</v>
      </c>
      <c r="Z61" s="50">
        <v>0</v>
      </c>
      <c r="AA61" s="72">
        <v>61</v>
      </c>
      <c r="AB61" s="72"/>
      <c r="AC61" s="73"/>
      <c r="AD61" s="79" t="s">
        <v>986</v>
      </c>
      <c r="AE61" s="84" t="s">
        <v>1146</v>
      </c>
      <c r="AF61" s="79">
        <v>94</v>
      </c>
      <c r="AG61" s="79">
        <v>1254650</v>
      </c>
      <c r="AH61" s="79">
        <v>37020</v>
      </c>
      <c r="AI61" s="79">
        <v>1808</v>
      </c>
      <c r="AJ61" s="79"/>
      <c r="AK61" s="79" t="s">
        <v>1302</v>
      </c>
      <c r="AL61" s="79" t="s">
        <v>1393</v>
      </c>
      <c r="AM61" s="86" t="str">
        <f>HYPERLINK("https://t.co/CHjLhFbRvK")</f>
        <v>https://t.co/CHjLhFbRvK</v>
      </c>
      <c r="AN61" s="79"/>
      <c r="AO61" s="81">
        <v>40245.696608796294</v>
      </c>
      <c r="AP61" s="86" t="str">
        <f>HYPERLINK("https://pbs.twimg.com/profile_banners/121165363/1631901210")</f>
        <v>https://pbs.twimg.com/profile_banners/121165363/1631901210</v>
      </c>
      <c r="AQ61" s="79" t="b">
        <v>0</v>
      </c>
      <c r="AR61" s="79" t="b">
        <v>0</v>
      </c>
      <c r="AS61" s="79" t="b">
        <v>1</v>
      </c>
      <c r="AT61" s="79"/>
      <c r="AU61" s="79">
        <v>3046</v>
      </c>
      <c r="AV61" s="86" t="str">
        <f>HYPERLINK("https://abs.twimg.com/images/themes/theme1/bg.png")</f>
        <v>https://abs.twimg.com/images/themes/theme1/bg.png</v>
      </c>
      <c r="AW61" s="79" t="b">
        <v>1</v>
      </c>
      <c r="AX61" s="79" t="s">
        <v>1458</v>
      </c>
      <c r="AY61" s="86" t="str">
        <f>HYPERLINK("https://twitter.com/sedenamx")</f>
        <v>https://twitter.com/sedenamx</v>
      </c>
      <c r="AZ61" s="79" t="s">
        <v>65</v>
      </c>
      <c r="BA61" s="79" t="str">
        <f>REPLACE(INDEX(GroupVertices[Group],MATCH(Vertices[[#This Row],[Vertex]],GroupVertices[Vertex],0)),1,1,"")</f>
        <v>16</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261</v>
      </c>
      <c r="B62" s="66"/>
      <c r="C62" s="66"/>
      <c r="D62" s="67">
        <v>100</v>
      </c>
      <c r="E62" s="69"/>
      <c r="F62" s="103" t="str">
        <f>HYPERLINK("https://pbs.twimg.com/profile_images/1436200195222654979/X-0kvAuz_normal.jpg")</f>
        <v>https://pbs.twimg.com/profile_images/1436200195222654979/X-0kvAuz_normal.jpg</v>
      </c>
      <c r="G62" s="66"/>
      <c r="H62" s="70" t="s">
        <v>261</v>
      </c>
      <c r="I62" s="71"/>
      <c r="J62" s="71" t="s">
        <v>159</v>
      </c>
      <c r="K62" s="70" t="s">
        <v>1517</v>
      </c>
      <c r="L62" s="74">
        <v>1</v>
      </c>
      <c r="M62" s="75">
        <v>5851.3701171875</v>
      </c>
      <c r="N62" s="75">
        <v>3338.273681640625</v>
      </c>
      <c r="O62" s="76"/>
      <c r="P62" s="77"/>
      <c r="Q62" s="77"/>
      <c r="R62" s="89"/>
      <c r="S62" s="49">
        <v>0</v>
      </c>
      <c r="T62" s="49">
        <v>2</v>
      </c>
      <c r="U62" s="50">
        <v>0</v>
      </c>
      <c r="V62" s="50">
        <v>0.5</v>
      </c>
      <c r="W62" s="50">
        <v>0</v>
      </c>
      <c r="X62" s="50">
        <v>0.999997</v>
      </c>
      <c r="Y62" s="50">
        <v>0.5</v>
      </c>
      <c r="Z62" s="50">
        <v>0</v>
      </c>
      <c r="AA62" s="72">
        <v>62</v>
      </c>
      <c r="AB62" s="72"/>
      <c r="AC62" s="73"/>
      <c r="AD62" s="79" t="s">
        <v>987</v>
      </c>
      <c r="AE62" s="84" t="s">
        <v>1147</v>
      </c>
      <c r="AF62" s="79">
        <v>381</v>
      </c>
      <c r="AG62" s="79">
        <v>285</v>
      </c>
      <c r="AH62" s="79">
        <v>37578</v>
      </c>
      <c r="AI62" s="79">
        <v>67344</v>
      </c>
      <c r="AJ62" s="79"/>
      <c r="AK62" s="79"/>
      <c r="AL62" s="79"/>
      <c r="AM62" s="79"/>
      <c r="AN62" s="79"/>
      <c r="AO62" s="81">
        <v>40680.534155092595</v>
      </c>
      <c r="AP62" s="86" t="str">
        <f>HYPERLINK("https://pbs.twimg.com/profile_banners/300239054/1631437467")</f>
        <v>https://pbs.twimg.com/profile_banners/300239054/1631437467</v>
      </c>
      <c r="AQ62" s="79" t="b">
        <v>0</v>
      </c>
      <c r="AR62" s="79" t="b">
        <v>0</v>
      </c>
      <c r="AS62" s="79" t="b">
        <v>1</v>
      </c>
      <c r="AT62" s="79"/>
      <c r="AU62" s="79">
        <v>0</v>
      </c>
      <c r="AV62" s="86" t="str">
        <f>HYPERLINK("https://abs.twimg.com/images/themes/theme7/bg.gif")</f>
        <v>https://abs.twimg.com/images/themes/theme7/bg.gif</v>
      </c>
      <c r="AW62" s="79" t="b">
        <v>0</v>
      </c>
      <c r="AX62" s="79" t="s">
        <v>1458</v>
      </c>
      <c r="AY62" s="86" t="str">
        <f>HYPERLINK("https://twitter.com/leav_11")</f>
        <v>https://twitter.com/leav_11</v>
      </c>
      <c r="AZ62" s="79" t="s">
        <v>66</v>
      </c>
      <c r="BA62" s="79" t="str">
        <f>REPLACE(INDEX(GroupVertices[Group],MATCH(Vertices[[#This Row],[Vertex]],GroupVertices[Vertex],0)),1,1,"")</f>
        <v>16</v>
      </c>
      <c r="BB62" s="49">
        <v>0</v>
      </c>
      <c r="BC62" s="50">
        <v>0</v>
      </c>
      <c r="BD62" s="49">
        <v>0</v>
      </c>
      <c r="BE62" s="50">
        <v>0</v>
      </c>
      <c r="BF62" s="49">
        <v>0</v>
      </c>
      <c r="BG62" s="50">
        <v>0</v>
      </c>
      <c r="BH62" s="49">
        <v>38</v>
      </c>
      <c r="BI62" s="50">
        <v>100</v>
      </c>
      <c r="BJ62" s="49">
        <v>38</v>
      </c>
      <c r="BK62" s="49"/>
      <c r="BL62" s="49"/>
      <c r="BM62" s="49"/>
      <c r="BN62" s="49"/>
      <c r="BO62" s="49" t="s">
        <v>472</v>
      </c>
      <c r="BP62" s="49" t="s">
        <v>472</v>
      </c>
      <c r="BQ62" s="115" t="s">
        <v>2544</v>
      </c>
      <c r="BR62" s="115" t="s">
        <v>2544</v>
      </c>
      <c r="BS62" s="115" t="s">
        <v>2404</v>
      </c>
      <c r="BT62" s="115" t="s">
        <v>2404</v>
      </c>
      <c r="BU62" s="2"/>
      <c r="BV62" s="3"/>
      <c r="BW62" s="3"/>
      <c r="BX62" s="3"/>
      <c r="BY62" s="3"/>
    </row>
    <row r="63" spans="1:77" ht="15">
      <c r="A63" s="65" t="s">
        <v>262</v>
      </c>
      <c r="B63" s="66"/>
      <c r="C63" s="66"/>
      <c r="D63" s="67">
        <v>100</v>
      </c>
      <c r="E63" s="69"/>
      <c r="F63" s="103" t="str">
        <f>HYPERLINK("https://pbs.twimg.com/profile_images/1027277148204089344/xnY8zncw_normal.jpg")</f>
        <v>https://pbs.twimg.com/profile_images/1027277148204089344/xnY8zncw_normal.jpg</v>
      </c>
      <c r="G63" s="66"/>
      <c r="H63" s="70" t="s">
        <v>262</v>
      </c>
      <c r="I63" s="71"/>
      <c r="J63" s="71" t="s">
        <v>159</v>
      </c>
      <c r="K63" s="70" t="s">
        <v>1518</v>
      </c>
      <c r="L63" s="74">
        <v>1</v>
      </c>
      <c r="M63" s="75">
        <v>8274.3125</v>
      </c>
      <c r="N63" s="75">
        <v>585.384521484375</v>
      </c>
      <c r="O63" s="76"/>
      <c r="P63" s="77"/>
      <c r="Q63" s="77"/>
      <c r="R63" s="89"/>
      <c r="S63" s="49">
        <v>2</v>
      </c>
      <c r="T63" s="49">
        <v>1</v>
      </c>
      <c r="U63" s="50">
        <v>0</v>
      </c>
      <c r="V63" s="50">
        <v>1</v>
      </c>
      <c r="W63" s="50">
        <v>0</v>
      </c>
      <c r="X63" s="50">
        <v>1.298241</v>
      </c>
      <c r="Y63" s="50">
        <v>0</v>
      </c>
      <c r="Z63" s="50">
        <v>0</v>
      </c>
      <c r="AA63" s="72">
        <v>63</v>
      </c>
      <c r="AB63" s="72"/>
      <c r="AC63" s="73"/>
      <c r="AD63" s="79" t="s">
        <v>988</v>
      </c>
      <c r="AE63" s="84" t="s">
        <v>1148</v>
      </c>
      <c r="AF63" s="79">
        <v>514</v>
      </c>
      <c r="AG63" s="79">
        <v>506</v>
      </c>
      <c r="AH63" s="79">
        <v>25662</v>
      </c>
      <c r="AI63" s="79">
        <v>49157</v>
      </c>
      <c r="AJ63" s="79"/>
      <c r="AK63" s="79" t="s">
        <v>1303</v>
      </c>
      <c r="AL63" s="79"/>
      <c r="AM63" s="79"/>
      <c r="AN63" s="79"/>
      <c r="AO63" s="81">
        <v>42374.01399305555</v>
      </c>
      <c r="AP63" s="86" t="str">
        <f>HYPERLINK("https://pbs.twimg.com/profile_banners/4711080697/1538793736")</f>
        <v>https://pbs.twimg.com/profile_banners/4711080697/1538793736</v>
      </c>
      <c r="AQ63" s="79" t="b">
        <v>1</v>
      </c>
      <c r="AR63" s="79" t="b">
        <v>0</v>
      </c>
      <c r="AS63" s="79" t="b">
        <v>0</v>
      </c>
      <c r="AT63" s="79"/>
      <c r="AU63" s="79">
        <v>0</v>
      </c>
      <c r="AV63" s="79"/>
      <c r="AW63" s="79" t="b">
        <v>0</v>
      </c>
      <c r="AX63" s="79" t="s">
        <v>1458</v>
      </c>
      <c r="AY63" s="86" t="str">
        <f>HYPERLINK("https://twitter.com/gaboku_hirako")</f>
        <v>https://twitter.com/gaboku_hirako</v>
      </c>
      <c r="AZ63" s="79" t="s">
        <v>66</v>
      </c>
      <c r="BA63" s="79" t="str">
        <f>REPLACE(INDEX(GroupVertices[Group],MATCH(Vertices[[#This Row],[Vertex]],GroupVertices[Vertex],0)),1,1,"")</f>
        <v>22</v>
      </c>
      <c r="BB63" s="49">
        <v>0</v>
      </c>
      <c r="BC63" s="50">
        <v>0</v>
      </c>
      <c r="BD63" s="49">
        <v>0</v>
      </c>
      <c r="BE63" s="50">
        <v>0</v>
      </c>
      <c r="BF63" s="49">
        <v>0</v>
      </c>
      <c r="BG63" s="50">
        <v>0</v>
      </c>
      <c r="BH63" s="49">
        <v>16</v>
      </c>
      <c r="BI63" s="50">
        <v>100</v>
      </c>
      <c r="BJ63" s="49">
        <v>16</v>
      </c>
      <c r="BK63" s="49" t="s">
        <v>2486</v>
      </c>
      <c r="BL63" s="49" t="s">
        <v>2486</v>
      </c>
      <c r="BM63" s="49" t="s">
        <v>460</v>
      </c>
      <c r="BN63" s="49" t="s">
        <v>460</v>
      </c>
      <c r="BO63" s="49" t="s">
        <v>2504</v>
      </c>
      <c r="BP63" s="49" t="s">
        <v>2515</v>
      </c>
      <c r="BQ63" s="115" t="s">
        <v>2545</v>
      </c>
      <c r="BR63" s="115" t="s">
        <v>2545</v>
      </c>
      <c r="BS63" s="115" t="s">
        <v>2597</v>
      </c>
      <c r="BT63" s="115" t="s">
        <v>2597</v>
      </c>
      <c r="BU63" s="2"/>
      <c r="BV63" s="3"/>
      <c r="BW63" s="3"/>
      <c r="BX63" s="3"/>
      <c r="BY63" s="3"/>
    </row>
    <row r="64" spans="1:77" ht="15">
      <c r="A64" s="65" t="s">
        <v>263</v>
      </c>
      <c r="B64" s="66"/>
      <c r="C64" s="66"/>
      <c r="D64" s="67">
        <v>100</v>
      </c>
      <c r="E64" s="69"/>
      <c r="F64" s="103" t="str">
        <f>HYPERLINK("https://pbs.twimg.com/profile_images/1354294314239549447/aopcj9fY_normal.jpg")</f>
        <v>https://pbs.twimg.com/profile_images/1354294314239549447/aopcj9fY_normal.jpg</v>
      </c>
      <c r="G64" s="66"/>
      <c r="H64" s="70" t="s">
        <v>263</v>
      </c>
      <c r="I64" s="71"/>
      <c r="J64" s="71" t="s">
        <v>159</v>
      </c>
      <c r="K64" s="70" t="s">
        <v>1519</v>
      </c>
      <c r="L64" s="74">
        <v>1</v>
      </c>
      <c r="M64" s="75">
        <v>8791.0205078125</v>
      </c>
      <c r="N64" s="75">
        <v>585.384521484375</v>
      </c>
      <c r="O64" s="76"/>
      <c r="P64" s="77"/>
      <c r="Q64" s="77"/>
      <c r="R64" s="89"/>
      <c r="S64" s="49">
        <v>0</v>
      </c>
      <c r="T64" s="49">
        <v>1</v>
      </c>
      <c r="U64" s="50">
        <v>0</v>
      </c>
      <c r="V64" s="50">
        <v>1</v>
      </c>
      <c r="W64" s="50">
        <v>0</v>
      </c>
      <c r="X64" s="50">
        <v>0.701752</v>
      </c>
      <c r="Y64" s="50">
        <v>0</v>
      </c>
      <c r="Z64" s="50">
        <v>0</v>
      </c>
      <c r="AA64" s="72">
        <v>64</v>
      </c>
      <c r="AB64" s="72"/>
      <c r="AC64" s="73"/>
      <c r="AD64" s="79" t="s">
        <v>989</v>
      </c>
      <c r="AE64" s="84" t="s">
        <v>1149</v>
      </c>
      <c r="AF64" s="79">
        <v>111</v>
      </c>
      <c r="AG64" s="79">
        <v>30</v>
      </c>
      <c r="AH64" s="79">
        <v>3532</v>
      </c>
      <c r="AI64" s="79">
        <v>1676</v>
      </c>
      <c r="AJ64" s="79"/>
      <c r="AK64" s="79"/>
      <c r="AL64" s="79"/>
      <c r="AM64" s="86" t="str">
        <f>HYPERLINK("https://t.co/nynsu5y7qF")</f>
        <v>https://t.co/nynsu5y7qF</v>
      </c>
      <c r="AN64" s="79"/>
      <c r="AO64" s="81">
        <v>44223.20710648148</v>
      </c>
      <c r="AP64" s="86" t="str">
        <f>HYPERLINK("https://pbs.twimg.com/profile_banners/1354292492548464640/1611723915")</f>
        <v>https://pbs.twimg.com/profile_banners/1354292492548464640/1611723915</v>
      </c>
      <c r="AQ64" s="79" t="b">
        <v>1</v>
      </c>
      <c r="AR64" s="79" t="b">
        <v>0</v>
      </c>
      <c r="AS64" s="79" t="b">
        <v>0</v>
      </c>
      <c r="AT64" s="79"/>
      <c r="AU64" s="79">
        <v>0</v>
      </c>
      <c r="AV64" s="79"/>
      <c r="AW64" s="79" t="b">
        <v>0</v>
      </c>
      <c r="AX64" s="79" t="s">
        <v>1458</v>
      </c>
      <c r="AY64" s="86" t="str">
        <f>HYPERLINK("https://twitter.com/danielascalante")</f>
        <v>https://twitter.com/danielascalante</v>
      </c>
      <c r="AZ64" s="79" t="s">
        <v>66</v>
      </c>
      <c r="BA64" s="79" t="str">
        <f>REPLACE(INDEX(GroupVertices[Group],MATCH(Vertices[[#This Row],[Vertex]],GroupVertices[Vertex],0)),1,1,"")</f>
        <v>22</v>
      </c>
      <c r="BB64" s="49">
        <v>0</v>
      </c>
      <c r="BC64" s="50">
        <v>0</v>
      </c>
      <c r="BD64" s="49">
        <v>0</v>
      </c>
      <c r="BE64" s="50">
        <v>0</v>
      </c>
      <c r="BF64" s="49">
        <v>0</v>
      </c>
      <c r="BG64" s="50">
        <v>0</v>
      </c>
      <c r="BH64" s="49">
        <v>3</v>
      </c>
      <c r="BI64" s="50">
        <v>100</v>
      </c>
      <c r="BJ64" s="49">
        <v>3</v>
      </c>
      <c r="BK64" s="49" t="s">
        <v>2487</v>
      </c>
      <c r="BL64" s="49" t="s">
        <v>2487</v>
      </c>
      <c r="BM64" s="49" t="s">
        <v>460</v>
      </c>
      <c r="BN64" s="49" t="s">
        <v>460</v>
      </c>
      <c r="BO64" s="49" t="s">
        <v>489</v>
      </c>
      <c r="BP64" s="49" t="s">
        <v>489</v>
      </c>
      <c r="BQ64" s="115" t="s">
        <v>2546</v>
      </c>
      <c r="BR64" s="115" t="s">
        <v>2546</v>
      </c>
      <c r="BS64" s="115" t="s">
        <v>2407</v>
      </c>
      <c r="BT64" s="115" t="s">
        <v>2407</v>
      </c>
      <c r="BU64" s="2"/>
      <c r="BV64" s="3"/>
      <c r="BW64" s="3"/>
      <c r="BX64" s="3"/>
      <c r="BY64" s="3"/>
    </row>
    <row r="65" spans="1:77" ht="15">
      <c r="A65" s="65" t="s">
        <v>264</v>
      </c>
      <c r="B65" s="66"/>
      <c r="C65" s="66"/>
      <c r="D65" s="67">
        <v>118.62068965517241</v>
      </c>
      <c r="E65" s="69"/>
      <c r="F65" s="103" t="str">
        <f>HYPERLINK("https://pbs.twimg.com/profile_images/1431117786714148877/BfXlrhLw_normal.jpg")</f>
        <v>https://pbs.twimg.com/profile_images/1431117786714148877/BfXlrhLw_normal.jpg</v>
      </c>
      <c r="G65" s="66"/>
      <c r="H65" s="70" t="s">
        <v>264</v>
      </c>
      <c r="I65" s="71"/>
      <c r="J65" s="71" t="s">
        <v>75</v>
      </c>
      <c r="K65" s="70" t="s">
        <v>1520</v>
      </c>
      <c r="L65" s="74">
        <v>24.804761904761904</v>
      </c>
      <c r="M65" s="75">
        <v>2150.8876953125</v>
      </c>
      <c r="N65" s="75">
        <v>445.6569519042969</v>
      </c>
      <c r="O65" s="76"/>
      <c r="P65" s="77"/>
      <c r="Q65" s="77"/>
      <c r="R65" s="89"/>
      <c r="S65" s="49">
        <v>0</v>
      </c>
      <c r="T65" s="49">
        <v>3</v>
      </c>
      <c r="U65" s="50">
        <v>3</v>
      </c>
      <c r="V65" s="50">
        <v>0.012346</v>
      </c>
      <c r="W65" s="50">
        <v>0.037132</v>
      </c>
      <c r="X65" s="50">
        <v>0.675241</v>
      </c>
      <c r="Y65" s="50">
        <v>0.3333333333333333</v>
      </c>
      <c r="Z65" s="50">
        <v>0</v>
      </c>
      <c r="AA65" s="72">
        <v>65</v>
      </c>
      <c r="AB65" s="72"/>
      <c r="AC65" s="73"/>
      <c r="AD65" s="79" t="s">
        <v>990</v>
      </c>
      <c r="AE65" s="84" t="s">
        <v>1150</v>
      </c>
      <c r="AF65" s="79">
        <v>1580</v>
      </c>
      <c r="AG65" s="79">
        <v>1115</v>
      </c>
      <c r="AH65" s="79">
        <v>63118</v>
      </c>
      <c r="AI65" s="79">
        <v>31723</v>
      </c>
      <c r="AJ65" s="79"/>
      <c r="AK65" s="79"/>
      <c r="AL65" s="79"/>
      <c r="AM65" s="79"/>
      <c r="AN65" s="79"/>
      <c r="AO65" s="81">
        <v>40229.01962962963</v>
      </c>
      <c r="AP65" s="86" t="str">
        <f>HYPERLINK("https://pbs.twimg.com/profile_banners/115796748/1631728873")</f>
        <v>https://pbs.twimg.com/profile_banners/115796748/1631728873</v>
      </c>
      <c r="AQ65" s="79" t="b">
        <v>0</v>
      </c>
      <c r="AR65" s="79" t="b">
        <v>0</v>
      </c>
      <c r="AS65" s="79" t="b">
        <v>1</v>
      </c>
      <c r="AT65" s="79"/>
      <c r="AU65" s="79">
        <v>2</v>
      </c>
      <c r="AV65" s="86" t="str">
        <f>HYPERLINK("https://abs.twimg.com/images/themes/theme7/bg.gif")</f>
        <v>https://abs.twimg.com/images/themes/theme7/bg.gif</v>
      </c>
      <c r="AW65" s="79" t="b">
        <v>0</v>
      </c>
      <c r="AX65" s="79" t="s">
        <v>1458</v>
      </c>
      <c r="AY65" s="86" t="str">
        <f>HYPERLINK("https://twitter.com/ccc9012")</f>
        <v>https://twitter.com/ccc9012</v>
      </c>
      <c r="AZ65" s="79" t="s">
        <v>66</v>
      </c>
      <c r="BA65" s="79" t="str">
        <f>REPLACE(INDEX(GroupVertices[Group],MATCH(Vertices[[#This Row],[Vertex]],GroupVertices[Vertex],0)),1,1,"")</f>
        <v>2</v>
      </c>
      <c r="BB65" s="49">
        <v>0</v>
      </c>
      <c r="BC65" s="50">
        <v>0</v>
      </c>
      <c r="BD65" s="49">
        <v>0</v>
      </c>
      <c r="BE65" s="50">
        <v>0</v>
      </c>
      <c r="BF65" s="49">
        <v>0</v>
      </c>
      <c r="BG65" s="50">
        <v>0</v>
      </c>
      <c r="BH65" s="49">
        <v>25</v>
      </c>
      <c r="BI65" s="50">
        <v>100</v>
      </c>
      <c r="BJ65" s="49">
        <v>25</v>
      </c>
      <c r="BK65" s="49"/>
      <c r="BL65" s="49"/>
      <c r="BM65" s="49"/>
      <c r="BN65" s="49"/>
      <c r="BO65" s="49" t="s">
        <v>491</v>
      </c>
      <c r="BP65" s="49" t="s">
        <v>491</v>
      </c>
      <c r="BQ65" s="115" t="s">
        <v>2547</v>
      </c>
      <c r="BR65" s="115" t="s">
        <v>2547</v>
      </c>
      <c r="BS65" s="115" t="s">
        <v>2393</v>
      </c>
      <c r="BT65" s="115" t="s">
        <v>2393</v>
      </c>
      <c r="BU65" s="2"/>
      <c r="BV65" s="3"/>
      <c r="BW65" s="3"/>
      <c r="BX65" s="3"/>
      <c r="BY65" s="3"/>
    </row>
    <row r="66" spans="1:77" ht="15">
      <c r="A66" s="65" t="s">
        <v>370</v>
      </c>
      <c r="B66" s="66"/>
      <c r="C66" s="66"/>
      <c r="D66" s="67">
        <v>422.7586206896552</v>
      </c>
      <c r="E66" s="69"/>
      <c r="F66" s="103" t="str">
        <f>HYPERLINK("https://pbs.twimg.com/profile_images/1436140310317338626/LDrQKKaR_normal.jpg")</f>
        <v>https://pbs.twimg.com/profile_images/1436140310317338626/LDrQKKaR_normal.jpg</v>
      </c>
      <c r="G66" s="66"/>
      <c r="H66" s="70" t="s">
        <v>370</v>
      </c>
      <c r="I66" s="71"/>
      <c r="J66" s="71" t="s">
        <v>75</v>
      </c>
      <c r="K66" s="70" t="s">
        <v>1521</v>
      </c>
      <c r="L66" s="74">
        <v>413.61587301587304</v>
      </c>
      <c r="M66" s="75">
        <v>3266.1494140625</v>
      </c>
      <c r="N66" s="75">
        <v>2052.60888671875</v>
      </c>
      <c r="O66" s="76"/>
      <c r="P66" s="77"/>
      <c r="Q66" s="77"/>
      <c r="R66" s="89"/>
      <c r="S66" s="49">
        <v>14</v>
      </c>
      <c r="T66" s="49">
        <v>0</v>
      </c>
      <c r="U66" s="50">
        <v>52</v>
      </c>
      <c r="V66" s="50">
        <v>0.011111</v>
      </c>
      <c r="W66" s="50">
        <v>0.077256</v>
      </c>
      <c r="X66" s="50">
        <v>2.806728</v>
      </c>
      <c r="Y66" s="50">
        <v>0.07142857142857142</v>
      </c>
      <c r="Z66" s="50">
        <v>0</v>
      </c>
      <c r="AA66" s="72">
        <v>66</v>
      </c>
      <c r="AB66" s="72"/>
      <c r="AC66" s="73"/>
      <c r="AD66" s="79" t="s">
        <v>991</v>
      </c>
      <c r="AE66" s="84" t="s">
        <v>1151</v>
      </c>
      <c r="AF66" s="79">
        <v>169</v>
      </c>
      <c r="AG66" s="79">
        <v>1560845</v>
      </c>
      <c r="AH66" s="79">
        <v>9616</v>
      </c>
      <c r="AI66" s="79">
        <v>1329</v>
      </c>
      <c r="AJ66" s="79"/>
      <c r="AK66" s="79" t="s">
        <v>1304</v>
      </c>
      <c r="AL66" s="79" t="s">
        <v>1393</v>
      </c>
      <c r="AM66" s="86" t="str">
        <f>HYPERLINK("https://t.co/Ilp716Pi8b")</f>
        <v>https://t.co/Ilp716Pi8b</v>
      </c>
      <c r="AN66" s="79"/>
      <c r="AO66" s="81">
        <v>43431.033217592594</v>
      </c>
      <c r="AP66" s="86" t="str">
        <f>HYPERLINK("https://pbs.twimg.com/profile_banners/1067218403914436608/1632322779")</f>
        <v>https://pbs.twimg.com/profile_banners/1067218403914436608/1632322779</v>
      </c>
      <c r="AQ66" s="79" t="b">
        <v>1</v>
      </c>
      <c r="AR66" s="79" t="b">
        <v>0</v>
      </c>
      <c r="AS66" s="79" t="b">
        <v>1</v>
      </c>
      <c r="AT66" s="79"/>
      <c r="AU66" s="79">
        <v>1688</v>
      </c>
      <c r="AV66" s="79"/>
      <c r="AW66" s="79" t="b">
        <v>1</v>
      </c>
      <c r="AX66" s="79" t="s">
        <v>1458</v>
      </c>
      <c r="AY66" s="86" t="str">
        <f>HYPERLINK("https://twitter.com/gobiernomx")</f>
        <v>https://twitter.com/gobiernomx</v>
      </c>
      <c r="AZ66" s="79" t="s">
        <v>65</v>
      </c>
      <c r="BA66" s="79"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337</v>
      </c>
      <c r="B67" s="66"/>
      <c r="C67" s="66"/>
      <c r="D67" s="67">
        <v>441.37931034482756</v>
      </c>
      <c r="E67" s="69"/>
      <c r="F67" s="103" t="str">
        <f>HYPERLINK("https://pbs.twimg.com/profile_images/1409580775733927938/uRYYr3Uw_normal.jpg")</f>
        <v>https://pbs.twimg.com/profile_images/1409580775733927938/uRYYr3Uw_normal.jpg</v>
      </c>
      <c r="G67" s="66"/>
      <c r="H67" s="70" t="s">
        <v>337</v>
      </c>
      <c r="I67" s="71"/>
      <c r="J67" s="71" t="s">
        <v>75</v>
      </c>
      <c r="K67" s="70" t="s">
        <v>1522</v>
      </c>
      <c r="L67" s="74">
        <v>437.42063492063494</v>
      </c>
      <c r="M67" s="75">
        <v>2578.802978515625</v>
      </c>
      <c r="N67" s="75">
        <v>2037.4649658203125</v>
      </c>
      <c r="O67" s="76"/>
      <c r="P67" s="77"/>
      <c r="Q67" s="77"/>
      <c r="R67" s="89"/>
      <c r="S67" s="49">
        <v>13</v>
      </c>
      <c r="T67" s="49">
        <v>2</v>
      </c>
      <c r="U67" s="50">
        <v>55</v>
      </c>
      <c r="V67" s="50">
        <v>0.014493</v>
      </c>
      <c r="W67" s="50">
        <v>0.090088</v>
      </c>
      <c r="X67" s="50">
        <v>2.992787</v>
      </c>
      <c r="Y67" s="50">
        <v>0.12380952380952381</v>
      </c>
      <c r="Z67" s="50">
        <v>0</v>
      </c>
      <c r="AA67" s="72">
        <v>67</v>
      </c>
      <c r="AB67" s="72"/>
      <c r="AC67" s="73"/>
      <c r="AD67" s="79" t="s">
        <v>992</v>
      </c>
      <c r="AE67" s="84" t="s">
        <v>1152</v>
      </c>
      <c r="AF67" s="79">
        <v>585</v>
      </c>
      <c r="AG67" s="79">
        <v>152452</v>
      </c>
      <c r="AH67" s="79">
        <v>40570</v>
      </c>
      <c r="AI67" s="79">
        <v>7154</v>
      </c>
      <c r="AJ67" s="79"/>
      <c r="AK67" s="79" t="s">
        <v>1305</v>
      </c>
      <c r="AL67" s="79" t="s">
        <v>1395</v>
      </c>
      <c r="AM67" s="86" t="str">
        <f>HYPERLINK("https://t.co/36nILhimh5")</f>
        <v>https://t.co/36nILhimh5</v>
      </c>
      <c r="AN67" s="79"/>
      <c r="AO67" s="81">
        <v>41504.242430555554</v>
      </c>
      <c r="AP67" s="86" t="str">
        <f>HYPERLINK("https://pbs.twimg.com/profile_banners/1679981059/1629504969")</f>
        <v>https://pbs.twimg.com/profile_banners/1679981059/1629504969</v>
      </c>
      <c r="AQ67" s="79" t="b">
        <v>0</v>
      </c>
      <c r="AR67" s="79" t="b">
        <v>0</v>
      </c>
      <c r="AS67" s="79" t="b">
        <v>1</v>
      </c>
      <c r="AT67" s="79"/>
      <c r="AU67" s="79">
        <v>232</v>
      </c>
      <c r="AV67" s="86" t="str">
        <f>HYPERLINK("https://abs.twimg.com/images/themes/theme1/bg.png")</f>
        <v>https://abs.twimg.com/images/themes/theme1/bg.png</v>
      </c>
      <c r="AW67" s="79" t="b">
        <v>1</v>
      </c>
      <c r="AX67" s="79" t="s">
        <v>1458</v>
      </c>
      <c r="AY67" s="86" t="str">
        <f>HYPERLINK("https://twitter.com/alertachiapas")</f>
        <v>https://twitter.com/alertachiapas</v>
      </c>
      <c r="AZ67" s="79" t="s">
        <v>66</v>
      </c>
      <c r="BA67" s="79" t="str">
        <f>REPLACE(INDEX(GroupVertices[Group],MATCH(Vertices[[#This Row],[Vertex]],GroupVertices[Vertex],0)),1,1,"")</f>
        <v>2</v>
      </c>
      <c r="BB67" s="49">
        <v>0</v>
      </c>
      <c r="BC67" s="50">
        <v>0</v>
      </c>
      <c r="BD67" s="49">
        <v>0</v>
      </c>
      <c r="BE67" s="50">
        <v>0</v>
      </c>
      <c r="BF67" s="49">
        <v>0</v>
      </c>
      <c r="BG67" s="50">
        <v>0</v>
      </c>
      <c r="BH67" s="49">
        <v>25</v>
      </c>
      <c r="BI67" s="50">
        <v>100</v>
      </c>
      <c r="BJ67" s="49">
        <v>25</v>
      </c>
      <c r="BK67" s="49"/>
      <c r="BL67" s="49"/>
      <c r="BM67" s="49"/>
      <c r="BN67" s="49"/>
      <c r="BO67" s="49" t="s">
        <v>491</v>
      </c>
      <c r="BP67" s="49" t="s">
        <v>491</v>
      </c>
      <c r="BQ67" s="115" t="s">
        <v>2547</v>
      </c>
      <c r="BR67" s="115" t="s">
        <v>2547</v>
      </c>
      <c r="BS67" s="115" t="s">
        <v>2393</v>
      </c>
      <c r="BT67" s="115" t="s">
        <v>2393</v>
      </c>
      <c r="BU67" s="2"/>
      <c r="BV67" s="3"/>
      <c r="BW67" s="3"/>
      <c r="BX67" s="3"/>
      <c r="BY67" s="3"/>
    </row>
    <row r="68" spans="1:77" ht="15">
      <c r="A68" s="65" t="s">
        <v>265</v>
      </c>
      <c r="B68" s="66"/>
      <c r="C68" s="66"/>
      <c r="D68" s="67">
        <v>118.62068965517241</v>
      </c>
      <c r="E68" s="69"/>
      <c r="F68" s="103" t="str">
        <f>HYPERLINK("https://pbs.twimg.com/profile_images/1380564777240555520/V4P1IXt1_normal.jpg")</f>
        <v>https://pbs.twimg.com/profile_images/1380564777240555520/V4P1IXt1_normal.jpg</v>
      </c>
      <c r="G68" s="66"/>
      <c r="H68" s="70" t="s">
        <v>265</v>
      </c>
      <c r="I68" s="71"/>
      <c r="J68" s="71" t="s">
        <v>75</v>
      </c>
      <c r="K68" s="70" t="s">
        <v>1523</v>
      </c>
      <c r="L68" s="74">
        <v>24.804761904761904</v>
      </c>
      <c r="M68" s="75">
        <v>2444.953125</v>
      </c>
      <c r="N68" s="75">
        <v>1230.6798095703125</v>
      </c>
      <c r="O68" s="76"/>
      <c r="P68" s="77"/>
      <c r="Q68" s="77"/>
      <c r="R68" s="89"/>
      <c r="S68" s="49">
        <v>0</v>
      </c>
      <c r="T68" s="49">
        <v>3</v>
      </c>
      <c r="U68" s="50">
        <v>3</v>
      </c>
      <c r="V68" s="50">
        <v>0.012346</v>
      </c>
      <c r="W68" s="50">
        <v>0.037132</v>
      </c>
      <c r="X68" s="50">
        <v>0.675241</v>
      </c>
      <c r="Y68" s="50">
        <v>0.3333333333333333</v>
      </c>
      <c r="Z68" s="50">
        <v>0</v>
      </c>
      <c r="AA68" s="72">
        <v>68</v>
      </c>
      <c r="AB68" s="72"/>
      <c r="AC68" s="73"/>
      <c r="AD68" s="79" t="s">
        <v>993</v>
      </c>
      <c r="AE68" s="84" t="s">
        <v>1153</v>
      </c>
      <c r="AF68" s="79">
        <v>914</v>
      </c>
      <c r="AG68" s="79">
        <v>194</v>
      </c>
      <c r="AH68" s="79">
        <v>57564</v>
      </c>
      <c r="AI68" s="79">
        <v>13342</v>
      </c>
      <c r="AJ68" s="79"/>
      <c r="AK68" s="79" t="s">
        <v>1306</v>
      </c>
      <c r="AL68" s="79" t="s">
        <v>902</v>
      </c>
      <c r="AM68" s="79"/>
      <c r="AN68" s="79"/>
      <c r="AO68" s="81">
        <v>42079.96428240741</v>
      </c>
      <c r="AP68" s="79"/>
      <c r="AQ68" s="79" t="b">
        <v>1</v>
      </c>
      <c r="AR68" s="79" t="b">
        <v>0</v>
      </c>
      <c r="AS68" s="79" t="b">
        <v>0</v>
      </c>
      <c r="AT68" s="79"/>
      <c r="AU68" s="79">
        <v>14</v>
      </c>
      <c r="AV68" s="86" t="str">
        <f>HYPERLINK("https://abs.twimg.com/images/themes/theme1/bg.png")</f>
        <v>https://abs.twimg.com/images/themes/theme1/bg.png</v>
      </c>
      <c r="AW68" s="79" t="b">
        <v>0</v>
      </c>
      <c r="AX68" s="79" t="s">
        <v>1458</v>
      </c>
      <c r="AY68" s="86" t="str">
        <f>HYPERLINK("https://twitter.com/adriana_yafa")</f>
        <v>https://twitter.com/adriana_yafa</v>
      </c>
      <c r="AZ68" s="79" t="s">
        <v>66</v>
      </c>
      <c r="BA68" s="79" t="str">
        <f>REPLACE(INDEX(GroupVertices[Group],MATCH(Vertices[[#This Row],[Vertex]],GroupVertices[Vertex],0)),1,1,"")</f>
        <v>2</v>
      </c>
      <c r="BB68" s="49">
        <v>0</v>
      </c>
      <c r="BC68" s="50">
        <v>0</v>
      </c>
      <c r="BD68" s="49">
        <v>0</v>
      </c>
      <c r="BE68" s="50">
        <v>0</v>
      </c>
      <c r="BF68" s="49">
        <v>0</v>
      </c>
      <c r="BG68" s="50">
        <v>0</v>
      </c>
      <c r="BH68" s="49">
        <v>25</v>
      </c>
      <c r="BI68" s="50">
        <v>100</v>
      </c>
      <c r="BJ68" s="49">
        <v>25</v>
      </c>
      <c r="BK68" s="49"/>
      <c r="BL68" s="49"/>
      <c r="BM68" s="49"/>
      <c r="BN68" s="49"/>
      <c r="BO68" s="49" t="s">
        <v>491</v>
      </c>
      <c r="BP68" s="49" t="s">
        <v>491</v>
      </c>
      <c r="BQ68" s="115" t="s">
        <v>2547</v>
      </c>
      <c r="BR68" s="115" t="s">
        <v>2547</v>
      </c>
      <c r="BS68" s="115" t="s">
        <v>2393</v>
      </c>
      <c r="BT68" s="115" t="s">
        <v>2393</v>
      </c>
      <c r="BU68" s="2"/>
      <c r="BV68" s="3"/>
      <c r="BW68" s="3"/>
      <c r="BX68" s="3"/>
      <c r="BY68" s="3"/>
    </row>
    <row r="69" spans="1:77" ht="15">
      <c r="A69" s="65" t="s">
        <v>266</v>
      </c>
      <c r="B69" s="66"/>
      <c r="C69" s="66"/>
      <c r="D69" s="67">
        <v>118.62068965517241</v>
      </c>
      <c r="E69" s="69"/>
      <c r="F69" s="103" t="str">
        <f>HYPERLINK("https://pbs.twimg.com/profile_images/378800000763702904/4c38c4d4e09f27e67dc7003dd6d87b14_normal.jpeg")</f>
        <v>https://pbs.twimg.com/profile_images/378800000763702904/4c38c4d4e09f27e67dc7003dd6d87b14_normal.jpeg</v>
      </c>
      <c r="G69" s="66"/>
      <c r="H69" s="70" t="s">
        <v>266</v>
      </c>
      <c r="I69" s="71"/>
      <c r="J69" s="71" t="s">
        <v>75</v>
      </c>
      <c r="K69" s="70" t="s">
        <v>1524</v>
      </c>
      <c r="L69" s="74">
        <v>24.804761904761904</v>
      </c>
      <c r="M69" s="75">
        <v>2493.062744140625</v>
      </c>
      <c r="N69" s="75">
        <v>2885.724365234375</v>
      </c>
      <c r="O69" s="76"/>
      <c r="P69" s="77"/>
      <c r="Q69" s="77"/>
      <c r="R69" s="89"/>
      <c r="S69" s="49">
        <v>0</v>
      </c>
      <c r="T69" s="49">
        <v>3</v>
      </c>
      <c r="U69" s="50">
        <v>3</v>
      </c>
      <c r="V69" s="50">
        <v>0.012346</v>
      </c>
      <c r="W69" s="50">
        <v>0.037132</v>
      </c>
      <c r="X69" s="50">
        <v>0.675241</v>
      </c>
      <c r="Y69" s="50">
        <v>0.3333333333333333</v>
      </c>
      <c r="Z69" s="50">
        <v>0</v>
      </c>
      <c r="AA69" s="72">
        <v>69</v>
      </c>
      <c r="AB69" s="72"/>
      <c r="AC69" s="73"/>
      <c r="AD69" s="79" t="s">
        <v>994</v>
      </c>
      <c r="AE69" s="84" t="s">
        <v>1154</v>
      </c>
      <c r="AF69" s="79">
        <v>331</v>
      </c>
      <c r="AG69" s="79">
        <v>137</v>
      </c>
      <c r="AH69" s="79">
        <v>2251</v>
      </c>
      <c r="AI69" s="79">
        <v>3203</v>
      </c>
      <c r="AJ69" s="79"/>
      <c r="AK69" s="79"/>
      <c r="AL69" s="79"/>
      <c r="AM69" s="79"/>
      <c r="AN69" s="79"/>
      <c r="AO69" s="81">
        <v>41598.04153935185</v>
      </c>
      <c r="AP69" s="86" t="str">
        <f>HYPERLINK("https://pbs.twimg.com/profile_banners/2204015906/1385089736")</f>
        <v>https://pbs.twimg.com/profile_banners/2204015906/1385089736</v>
      </c>
      <c r="AQ69" s="79" t="b">
        <v>1</v>
      </c>
      <c r="AR69" s="79" t="b">
        <v>0</v>
      </c>
      <c r="AS69" s="79" t="b">
        <v>0</v>
      </c>
      <c r="AT69" s="79"/>
      <c r="AU69" s="79">
        <v>0</v>
      </c>
      <c r="AV69" s="86" t="str">
        <f>HYPERLINK("https://abs.twimg.com/images/themes/theme1/bg.png")</f>
        <v>https://abs.twimg.com/images/themes/theme1/bg.png</v>
      </c>
      <c r="AW69" s="79" t="b">
        <v>0</v>
      </c>
      <c r="AX69" s="79" t="s">
        <v>1458</v>
      </c>
      <c r="AY69" s="86" t="str">
        <f>HYPERLINK("https://twitter.com/gclementej")</f>
        <v>https://twitter.com/gclementej</v>
      </c>
      <c r="AZ69" s="79" t="s">
        <v>66</v>
      </c>
      <c r="BA69" s="79" t="str">
        <f>REPLACE(INDEX(GroupVertices[Group],MATCH(Vertices[[#This Row],[Vertex]],GroupVertices[Vertex],0)),1,1,"")</f>
        <v>2</v>
      </c>
      <c r="BB69" s="49">
        <v>0</v>
      </c>
      <c r="BC69" s="50">
        <v>0</v>
      </c>
      <c r="BD69" s="49">
        <v>0</v>
      </c>
      <c r="BE69" s="50">
        <v>0</v>
      </c>
      <c r="BF69" s="49">
        <v>0</v>
      </c>
      <c r="BG69" s="50">
        <v>0</v>
      </c>
      <c r="BH69" s="49">
        <v>25</v>
      </c>
      <c r="BI69" s="50">
        <v>100</v>
      </c>
      <c r="BJ69" s="49">
        <v>25</v>
      </c>
      <c r="BK69" s="49"/>
      <c r="BL69" s="49"/>
      <c r="BM69" s="49"/>
      <c r="BN69" s="49"/>
      <c r="BO69" s="49" t="s">
        <v>491</v>
      </c>
      <c r="BP69" s="49" t="s">
        <v>491</v>
      </c>
      <c r="BQ69" s="115" t="s">
        <v>2547</v>
      </c>
      <c r="BR69" s="115" t="s">
        <v>2547</v>
      </c>
      <c r="BS69" s="115" t="s">
        <v>2393</v>
      </c>
      <c r="BT69" s="115" t="s">
        <v>2393</v>
      </c>
      <c r="BU69" s="2"/>
      <c r="BV69" s="3"/>
      <c r="BW69" s="3"/>
      <c r="BX69" s="3"/>
      <c r="BY69" s="3"/>
    </row>
    <row r="70" spans="1:77" ht="15">
      <c r="A70" s="65" t="s">
        <v>267</v>
      </c>
      <c r="B70" s="66"/>
      <c r="C70" s="66"/>
      <c r="D70" s="67">
        <v>100</v>
      </c>
      <c r="E70" s="69"/>
      <c r="F70" s="103" t="str">
        <f>HYPERLINK("https://pbs.twimg.com/profile_images/801805981537554432/FTgyH__A_normal.jpg")</f>
        <v>https://pbs.twimg.com/profile_images/801805981537554432/FTgyH__A_normal.jpg</v>
      </c>
      <c r="G70" s="66"/>
      <c r="H70" s="70" t="s">
        <v>267</v>
      </c>
      <c r="I70" s="71"/>
      <c r="J70" s="71" t="s">
        <v>159</v>
      </c>
      <c r="K70" s="70" t="s">
        <v>1525</v>
      </c>
      <c r="L70" s="74">
        <v>1</v>
      </c>
      <c r="M70" s="75">
        <v>8078.80078125</v>
      </c>
      <c r="N70" s="75">
        <v>8764.9462890625</v>
      </c>
      <c r="O70" s="76"/>
      <c r="P70" s="77"/>
      <c r="Q70" s="77"/>
      <c r="R70" s="89"/>
      <c r="S70" s="49">
        <v>1</v>
      </c>
      <c r="T70" s="49">
        <v>1</v>
      </c>
      <c r="U70" s="50">
        <v>0</v>
      </c>
      <c r="V70" s="50">
        <v>0</v>
      </c>
      <c r="W70" s="50">
        <v>0</v>
      </c>
      <c r="X70" s="50">
        <v>0.999997</v>
      </c>
      <c r="Y70" s="50">
        <v>0</v>
      </c>
      <c r="Z70" s="50">
        <v>0</v>
      </c>
      <c r="AA70" s="72">
        <v>70</v>
      </c>
      <c r="AB70" s="72"/>
      <c r="AC70" s="73"/>
      <c r="AD70" s="79" t="s">
        <v>995</v>
      </c>
      <c r="AE70" s="84" t="s">
        <v>1155</v>
      </c>
      <c r="AF70" s="79">
        <v>158</v>
      </c>
      <c r="AG70" s="79">
        <v>517</v>
      </c>
      <c r="AH70" s="79">
        <v>1873</v>
      </c>
      <c r="AI70" s="79">
        <v>52</v>
      </c>
      <c r="AJ70" s="79"/>
      <c r="AK70" s="79" t="s">
        <v>1307</v>
      </c>
      <c r="AL70" s="79" t="s">
        <v>1419</v>
      </c>
      <c r="AM70" s="86" t="str">
        <f>HYPERLINK("https://t.co/WRnM9oj5cI")</f>
        <v>https://t.co/WRnM9oj5cI</v>
      </c>
      <c r="AN70" s="79"/>
      <c r="AO70" s="81">
        <v>42698.62002314815</v>
      </c>
      <c r="AP70" s="86" t="str">
        <f>HYPERLINK("https://pbs.twimg.com/profile_banners/801800750598758400/1552770729")</f>
        <v>https://pbs.twimg.com/profile_banners/801800750598758400/1552770729</v>
      </c>
      <c r="AQ70" s="79" t="b">
        <v>1</v>
      </c>
      <c r="AR70" s="79" t="b">
        <v>0</v>
      </c>
      <c r="AS70" s="79" t="b">
        <v>0</v>
      </c>
      <c r="AT70" s="79"/>
      <c r="AU70" s="79">
        <v>11</v>
      </c>
      <c r="AV70" s="79"/>
      <c r="AW70" s="79" t="b">
        <v>0</v>
      </c>
      <c r="AX70" s="79" t="s">
        <v>1458</v>
      </c>
      <c r="AY70" s="86" t="str">
        <f>HYPERLINK("https://twitter.com/samuelspl")</f>
        <v>https://twitter.com/samuelspl</v>
      </c>
      <c r="AZ70" s="79" t="s">
        <v>66</v>
      </c>
      <c r="BA70" s="79" t="str">
        <f>REPLACE(INDEX(GroupVertices[Group],MATCH(Vertices[[#This Row],[Vertex]],GroupVertices[Vertex],0)),1,1,"")</f>
        <v>4</v>
      </c>
      <c r="BB70" s="49">
        <v>0</v>
      </c>
      <c r="BC70" s="50">
        <v>0</v>
      </c>
      <c r="BD70" s="49">
        <v>0</v>
      </c>
      <c r="BE70" s="50">
        <v>0</v>
      </c>
      <c r="BF70" s="49">
        <v>0</v>
      </c>
      <c r="BG70" s="50">
        <v>0</v>
      </c>
      <c r="BH70" s="49">
        <v>4</v>
      </c>
      <c r="BI70" s="50">
        <v>100</v>
      </c>
      <c r="BJ70" s="49">
        <v>4</v>
      </c>
      <c r="BK70" s="49" t="s">
        <v>2165</v>
      </c>
      <c r="BL70" s="49" t="s">
        <v>2165</v>
      </c>
      <c r="BM70" s="49" t="s">
        <v>458</v>
      </c>
      <c r="BN70" s="49" t="s">
        <v>458</v>
      </c>
      <c r="BO70" s="49" t="s">
        <v>492</v>
      </c>
      <c r="BP70" s="49" t="s">
        <v>492</v>
      </c>
      <c r="BQ70" s="115" t="s">
        <v>2548</v>
      </c>
      <c r="BR70" s="115" t="s">
        <v>2548</v>
      </c>
      <c r="BS70" s="115" t="s">
        <v>2598</v>
      </c>
      <c r="BT70" s="115" t="s">
        <v>2598</v>
      </c>
      <c r="BU70" s="2"/>
      <c r="BV70" s="3"/>
      <c r="BW70" s="3"/>
      <c r="BX70" s="3"/>
      <c r="BY70" s="3"/>
    </row>
    <row r="71" spans="1:77" ht="15">
      <c r="A71" s="65" t="s">
        <v>270</v>
      </c>
      <c r="B71" s="66"/>
      <c r="C71" s="66"/>
      <c r="D71" s="67">
        <v>100</v>
      </c>
      <c r="E71" s="69"/>
      <c r="F71" s="103" t="str">
        <f>HYPERLINK("https://abs.twimg.com/sticky/default_profile_images/default_profile_normal.png")</f>
        <v>https://abs.twimg.com/sticky/default_profile_images/default_profile_normal.png</v>
      </c>
      <c r="G71" s="66"/>
      <c r="H71" s="70" t="s">
        <v>270</v>
      </c>
      <c r="I71" s="71"/>
      <c r="J71" s="71" t="s">
        <v>159</v>
      </c>
      <c r="K71" s="70" t="s">
        <v>1526</v>
      </c>
      <c r="L71" s="74">
        <v>1</v>
      </c>
      <c r="M71" s="75">
        <v>3910.223388671875</v>
      </c>
      <c r="N71" s="75">
        <v>8988.26953125</v>
      </c>
      <c r="O71" s="76"/>
      <c r="P71" s="77"/>
      <c r="Q71" s="77"/>
      <c r="R71" s="89"/>
      <c r="S71" s="49">
        <v>0</v>
      </c>
      <c r="T71" s="49">
        <v>1</v>
      </c>
      <c r="U71" s="50">
        <v>0</v>
      </c>
      <c r="V71" s="50">
        <v>0.047619</v>
      </c>
      <c r="W71" s="50">
        <v>0</v>
      </c>
      <c r="X71" s="50">
        <v>0.462912</v>
      </c>
      <c r="Y71" s="50">
        <v>0</v>
      </c>
      <c r="Z71" s="50">
        <v>0</v>
      </c>
      <c r="AA71" s="72">
        <v>71</v>
      </c>
      <c r="AB71" s="72"/>
      <c r="AC71" s="73"/>
      <c r="AD71" s="79" t="s">
        <v>996</v>
      </c>
      <c r="AE71" s="84" t="s">
        <v>1156</v>
      </c>
      <c r="AF71" s="79">
        <v>704</v>
      </c>
      <c r="AG71" s="79">
        <v>597</v>
      </c>
      <c r="AH71" s="79">
        <v>31746</v>
      </c>
      <c r="AI71" s="79">
        <v>29645</v>
      </c>
      <c r="AJ71" s="79"/>
      <c r="AK71" s="79" t="s">
        <v>1308</v>
      </c>
      <c r="AL71" s="79" t="s">
        <v>1420</v>
      </c>
      <c r="AM71" s="79"/>
      <c r="AN71" s="79"/>
      <c r="AO71" s="81">
        <v>43507.822222222225</v>
      </c>
      <c r="AP71" s="79"/>
      <c r="AQ71" s="79" t="b">
        <v>1</v>
      </c>
      <c r="AR71" s="79" t="b">
        <v>1</v>
      </c>
      <c r="AS71" s="79" t="b">
        <v>1</v>
      </c>
      <c r="AT71" s="79"/>
      <c r="AU71" s="79">
        <v>0</v>
      </c>
      <c r="AV71" s="79"/>
      <c r="AW71" s="79" t="b">
        <v>0</v>
      </c>
      <c r="AX71" s="79" t="s">
        <v>1458</v>
      </c>
      <c r="AY71" s="86" t="str">
        <f>HYPERLINK("https://twitter.com/rodrigezthayri")</f>
        <v>https://twitter.com/rodrigezthayri</v>
      </c>
      <c r="AZ71" s="79" t="s">
        <v>66</v>
      </c>
      <c r="BA71" s="79" t="str">
        <f>REPLACE(INDEX(GroupVertices[Group],MATCH(Vertices[[#This Row],[Vertex]],GroupVertices[Vertex],0)),1,1,"")</f>
        <v>3</v>
      </c>
      <c r="BB71" s="49">
        <v>0</v>
      </c>
      <c r="BC71" s="50">
        <v>0</v>
      </c>
      <c r="BD71" s="49">
        <v>0</v>
      </c>
      <c r="BE71" s="50">
        <v>0</v>
      </c>
      <c r="BF71" s="49">
        <v>0</v>
      </c>
      <c r="BG71" s="50">
        <v>0</v>
      </c>
      <c r="BH71" s="49">
        <v>35</v>
      </c>
      <c r="BI71" s="50">
        <v>100</v>
      </c>
      <c r="BJ71" s="49">
        <v>35</v>
      </c>
      <c r="BK71" s="49" t="s">
        <v>2150</v>
      </c>
      <c r="BL71" s="49" t="s">
        <v>2150</v>
      </c>
      <c r="BM71" s="49" t="s">
        <v>451</v>
      </c>
      <c r="BN71" s="49" t="s">
        <v>451</v>
      </c>
      <c r="BO71" s="49" t="s">
        <v>493</v>
      </c>
      <c r="BP71" s="49" t="s">
        <v>493</v>
      </c>
      <c r="BQ71" s="115" t="s">
        <v>2549</v>
      </c>
      <c r="BR71" s="115" t="s">
        <v>2549</v>
      </c>
      <c r="BS71" s="115" t="s">
        <v>2599</v>
      </c>
      <c r="BT71" s="115" t="s">
        <v>2599</v>
      </c>
      <c r="BU71" s="2"/>
      <c r="BV71" s="3"/>
      <c r="BW71" s="3"/>
      <c r="BX71" s="3"/>
      <c r="BY71" s="3"/>
    </row>
    <row r="72" spans="1:77" ht="15">
      <c r="A72" s="65" t="s">
        <v>271</v>
      </c>
      <c r="B72" s="66"/>
      <c r="C72" s="66"/>
      <c r="D72" s="67">
        <v>118.62068965517241</v>
      </c>
      <c r="E72" s="69"/>
      <c r="F72" s="103" t="str">
        <f>HYPERLINK("https://pbs.twimg.com/profile_images/1413567664253984768/YbKrR1Lh_normal.jpg")</f>
        <v>https://pbs.twimg.com/profile_images/1413567664253984768/YbKrR1Lh_normal.jpg</v>
      </c>
      <c r="G72" s="66"/>
      <c r="H72" s="70" t="s">
        <v>271</v>
      </c>
      <c r="I72" s="71"/>
      <c r="J72" s="71" t="s">
        <v>75</v>
      </c>
      <c r="K72" s="70" t="s">
        <v>1527</v>
      </c>
      <c r="L72" s="74">
        <v>24.804761904761904</v>
      </c>
      <c r="M72" s="75">
        <v>1787.6407470703125</v>
      </c>
      <c r="N72" s="75">
        <v>1080.873779296875</v>
      </c>
      <c r="O72" s="76"/>
      <c r="P72" s="77"/>
      <c r="Q72" s="77"/>
      <c r="R72" s="89"/>
      <c r="S72" s="49">
        <v>0</v>
      </c>
      <c r="T72" s="49">
        <v>3</v>
      </c>
      <c r="U72" s="50">
        <v>3</v>
      </c>
      <c r="V72" s="50">
        <v>0.012346</v>
      </c>
      <c r="W72" s="50">
        <v>0.037132</v>
      </c>
      <c r="X72" s="50">
        <v>0.675241</v>
      </c>
      <c r="Y72" s="50">
        <v>0.3333333333333333</v>
      </c>
      <c r="Z72" s="50">
        <v>0</v>
      </c>
      <c r="AA72" s="72">
        <v>72</v>
      </c>
      <c r="AB72" s="72"/>
      <c r="AC72" s="73"/>
      <c r="AD72" s="79" t="s">
        <v>997</v>
      </c>
      <c r="AE72" s="84" t="s">
        <v>1157</v>
      </c>
      <c r="AF72" s="79">
        <v>993</v>
      </c>
      <c r="AG72" s="79">
        <v>837</v>
      </c>
      <c r="AH72" s="79">
        <v>7791</v>
      </c>
      <c r="AI72" s="79">
        <v>13408</v>
      </c>
      <c r="AJ72" s="79"/>
      <c r="AK72" s="79"/>
      <c r="AL72" s="79" t="s">
        <v>906</v>
      </c>
      <c r="AM72" s="79"/>
      <c r="AN72" s="79"/>
      <c r="AO72" s="81">
        <v>44386.774618055555</v>
      </c>
      <c r="AP72" s="86" t="str">
        <f>HYPERLINK("https://pbs.twimg.com/profile_banners/1413567335798018050/1628980294")</f>
        <v>https://pbs.twimg.com/profile_banners/1413567335798018050/1628980294</v>
      </c>
      <c r="AQ72" s="79" t="b">
        <v>1</v>
      </c>
      <c r="AR72" s="79" t="b">
        <v>0</v>
      </c>
      <c r="AS72" s="79" t="b">
        <v>0</v>
      </c>
      <c r="AT72" s="79"/>
      <c r="AU72" s="79">
        <v>0</v>
      </c>
      <c r="AV72" s="79"/>
      <c r="AW72" s="79" t="b">
        <v>0</v>
      </c>
      <c r="AX72" s="79" t="s">
        <v>1458</v>
      </c>
      <c r="AY72" s="86" t="str">
        <f>HYPERLINK("https://twitter.com/morgantux91")</f>
        <v>https://twitter.com/morgantux91</v>
      </c>
      <c r="AZ72" s="79" t="s">
        <v>66</v>
      </c>
      <c r="BA72" s="79" t="str">
        <f>REPLACE(INDEX(GroupVertices[Group],MATCH(Vertices[[#This Row],[Vertex]],GroupVertices[Vertex],0)),1,1,"")</f>
        <v>2</v>
      </c>
      <c r="BB72" s="49">
        <v>0</v>
      </c>
      <c r="BC72" s="50">
        <v>0</v>
      </c>
      <c r="BD72" s="49">
        <v>0</v>
      </c>
      <c r="BE72" s="50">
        <v>0</v>
      </c>
      <c r="BF72" s="49">
        <v>0</v>
      </c>
      <c r="BG72" s="50">
        <v>0</v>
      </c>
      <c r="BH72" s="49">
        <v>25</v>
      </c>
      <c r="BI72" s="50">
        <v>100</v>
      </c>
      <c r="BJ72" s="49">
        <v>25</v>
      </c>
      <c r="BK72" s="49"/>
      <c r="BL72" s="49"/>
      <c r="BM72" s="49"/>
      <c r="BN72" s="49"/>
      <c r="BO72" s="49" t="s">
        <v>491</v>
      </c>
      <c r="BP72" s="49" t="s">
        <v>491</v>
      </c>
      <c r="BQ72" s="115" t="s">
        <v>2547</v>
      </c>
      <c r="BR72" s="115" t="s">
        <v>2547</v>
      </c>
      <c r="BS72" s="115" t="s">
        <v>2393</v>
      </c>
      <c r="BT72" s="115" t="s">
        <v>2393</v>
      </c>
      <c r="BU72" s="2"/>
      <c r="BV72" s="3"/>
      <c r="BW72" s="3"/>
      <c r="BX72" s="3"/>
      <c r="BY72" s="3"/>
    </row>
    <row r="73" spans="1:77" ht="15">
      <c r="A73" s="65" t="s">
        <v>272</v>
      </c>
      <c r="B73" s="66"/>
      <c r="C73" s="66"/>
      <c r="D73" s="67">
        <v>100</v>
      </c>
      <c r="E73" s="69"/>
      <c r="F73" s="103" t="str">
        <f>HYPERLINK("https://pbs.twimg.com/profile_images/1348757759706202121/uqTtMs7E_normal.jpg")</f>
        <v>https://pbs.twimg.com/profile_images/1348757759706202121/uqTtMs7E_normal.jpg</v>
      </c>
      <c r="G73" s="66"/>
      <c r="H73" s="70" t="s">
        <v>272</v>
      </c>
      <c r="I73" s="71"/>
      <c r="J73" s="71" t="s">
        <v>159</v>
      </c>
      <c r="K73" s="70" t="s">
        <v>1528</v>
      </c>
      <c r="L73" s="74">
        <v>1</v>
      </c>
      <c r="M73" s="75">
        <v>8078.80078125</v>
      </c>
      <c r="N73" s="75">
        <v>9376.69921875</v>
      </c>
      <c r="O73" s="76"/>
      <c r="P73" s="77"/>
      <c r="Q73" s="77"/>
      <c r="R73" s="89"/>
      <c r="S73" s="49">
        <v>1</v>
      </c>
      <c r="T73" s="49">
        <v>1</v>
      </c>
      <c r="U73" s="50">
        <v>0</v>
      </c>
      <c r="V73" s="50">
        <v>0</v>
      </c>
      <c r="W73" s="50">
        <v>0</v>
      </c>
      <c r="X73" s="50">
        <v>0.999997</v>
      </c>
      <c r="Y73" s="50">
        <v>0</v>
      </c>
      <c r="Z73" s="50">
        <v>0</v>
      </c>
      <c r="AA73" s="72">
        <v>73</v>
      </c>
      <c r="AB73" s="72"/>
      <c r="AC73" s="73"/>
      <c r="AD73" s="79" t="s">
        <v>998</v>
      </c>
      <c r="AE73" s="84" t="s">
        <v>1158</v>
      </c>
      <c r="AF73" s="79">
        <v>1021</v>
      </c>
      <c r="AG73" s="79">
        <v>365</v>
      </c>
      <c r="AH73" s="79">
        <v>5024</v>
      </c>
      <c r="AI73" s="79">
        <v>601</v>
      </c>
      <c r="AJ73" s="79"/>
      <c r="AK73" s="79" t="s">
        <v>1309</v>
      </c>
      <c r="AL73" s="79" t="s">
        <v>1421</v>
      </c>
      <c r="AM73" s="86" t="str">
        <f>HYPERLINK("https://t.co/q7HLMnyJdZ")</f>
        <v>https://t.co/q7HLMnyJdZ</v>
      </c>
      <c r="AN73" s="79"/>
      <c r="AO73" s="81">
        <v>43207.001064814816</v>
      </c>
      <c r="AP73" s="86" t="str">
        <f>HYPERLINK("https://pbs.twimg.com/profile_banners/986031870885449730/1610403884")</f>
        <v>https://pbs.twimg.com/profile_banners/986031870885449730/1610403884</v>
      </c>
      <c r="AQ73" s="79" t="b">
        <v>1</v>
      </c>
      <c r="AR73" s="79" t="b">
        <v>0</v>
      </c>
      <c r="AS73" s="79" t="b">
        <v>0</v>
      </c>
      <c r="AT73" s="79"/>
      <c r="AU73" s="79">
        <v>5</v>
      </c>
      <c r="AV73" s="79"/>
      <c r="AW73" s="79" t="b">
        <v>0</v>
      </c>
      <c r="AX73" s="79" t="s">
        <v>1458</v>
      </c>
      <c r="AY73" s="86" t="str">
        <f>HYPERLINK("https://twitter.com/surpulso")</f>
        <v>https://twitter.com/surpulso</v>
      </c>
      <c r="AZ73" s="79" t="s">
        <v>66</v>
      </c>
      <c r="BA73" s="79" t="str">
        <f>REPLACE(INDEX(GroupVertices[Group],MATCH(Vertices[[#This Row],[Vertex]],GroupVertices[Vertex],0)),1,1,"")</f>
        <v>4</v>
      </c>
      <c r="BB73" s="49">
        <v>0</v>
      </c>
      <c r="BC73" s="50">
        <v>0</v>
      </c>
      <c r="BD73" s="49">
        <v>0</v>
      </c>
      <c r="BE73" s="50">
        <v>0</v>
      </c>
      <c r="BF73" s="49">
        <v>0</v>
      </c>
      <c r="BG73" s="50">
        <v>0</v>
      </c>
      <c r="BH73" s="49">
        <v>17</v>
      </c>
      <c r="BI73" s="50">
        <v>100</v>
      </c>
      <c r="BJ73" s="49">
        <v>17</v>
      </c>
      <c r="BK73" s="49" t="s">
        <v>2166</v>
      </c>
      <c r="BL73" s="49" t="s">
        <v>2166</v>
      </c>
      <c r="BM73" s="49" t="s">
        <v>461</v>
      </c>
      <c r="BN73" s="49" t="s">
        <v>461</v>
      </c>
      <c r="BO73" s="49" t="s">
        <v>2505</v>
      </c>
      <c r="BP73" s="49" t="s">
        <v>2505</v>
      </c>
      <c r="BQ73" s="115" t="s">
        <v>2550</v>
      </c>
      <c r="BR73" s="115" t="s">
        <v>2550</v>
      </c>
      <c r="BS73" s="115" t="s">
        <v>2600</v>
      </c>
      <c r="BT73" s="115" t="s">
        <v>2600</v>
      </c>
      <c r="BU73" s="2"/>
      <c r="BV73" s="3"/>
      <c r="BW73" s="3"/>
      <c r="BX73" s="3"/>
      <c r="BY73" s="3"/>
    </row>
    <row r="74" spans="1:77" ht="15">
      <c r="A74" s="65" t="s">
        <v>273</v>
      </c>
      <c r="B74" s="66"/>
      <c r="C74" s="66"/>
      <c r="D74" s="67">
        <v>118.62068965517241</v>
      </c>
      <c r="E74" s="69"/>
      <c r="F74" s="103" t="str">
        <f>HYPERLINK("https://pbs.twimg.com/profile_images/378800000290172321/3cda4bb6ed4dd5fdeba0bf268941fa32_normal.jpeg")</f>
        <v>https://pbs.twimg.com/profile_images/378800000290172321/3cda4bb6ed4dd5fdeba0bf268941fa32_normal.jpeg</v>
      </c>
      <c r="G74" s="66"/>
      <c r="H74" s="70" t="s">
        <v>273</v>
      </c>
      <c r="I74" s="71"/>
      <c r="J74" s="71" t="s">
        <v>75</v>
      </c>
      <c r="K74" s="70" t="s">
        <v>1529</v>
      </c>
      <c r="L74" s="74">
        <v>24.804761904761904</v>
      </c>
      <c r="M74" s="75">
        <v>2695.849365234375</v>
      </c>
      <c r="N74" s="75">
        <v>559.3467407226562</v>
      </c>
      <c r="O74" s="76"/>
      <c r="P74" s="77"/>
      <c r="Q74" s="77"/>
      <c r="R74" s="89"/>
      <c r="S74" s="49">
        <v>0</v>
      </c>
      <c r="T74" s="49">
        <v>3</v>
      </c>
      <c r="U74" s="50">
        <v>3</v>
      </c>
      <c r="V74" s="50">
        <v>0.012346</v>
      </c>
      <c r="W74" s="50">
        <v>0.037132</v>
      </c>
      <c r="X74" s="50">
        <v>0.675241</v>
      </c>
      <c r="Y74" s="50">
        <v>0.3333333333333333</v>
      </c>
      <c r="Z74" s="50">
        <v>0</v>
      </c>
      <c r="AA74" s="72">
        <v>74</v>
      </c>
      <c r="AB74" s="72"/>
      <c r="AC74" s="73"/>
      <c r="AD74" s="79" t="s">
        <v>999</v>
      </c>
      <c r="AE74" s="84" t="s">
        <v>1159</v>
      </c>
      <c r="AF74" s="79">
        <v>1253</v>
      </c>
      <c r="AG74" s="79">
        <v>543</v>
      </c>
      <c r="AH74" s="79">
        <v>73342</v>
      </c>
      <c r="AI74" s="79">
        <v>3376</v>
      </c>
      <c r="AJ74" s="79"/>
      <c r="AK74" s="79" t="s">
        <v>1310</v>
      </c>
      <c r="AL74" s="79" t="s">
        <v>1422</v>
      </c>
      <c r="AM74" s="79"/>
      <c r="AN74" s="79"/>
      <c r="AO74" s="81">
        <v>41499.803761574076</v>
      </c>
      <c r="AP74" s="86" t="str">
        <f>HYPERLINK("https://pbs.twimg.com/profile_banners/1668590221/1376422396")</f>
        <v>https://pbs.twimg.com/profile_banners/1668590221/1376422396</v>
      </c>
      <c r="AQ74" s="79" t="b">
        <v>1</v>
      </c>
      <c r="AR74" s="79" t="b">
        <v>0</v>
      </c>
      <c r="AS74" s="79" t="b">
        <v>1</v>
      </c>
      <c r="AT74" s="79"/>
      <c r="AU74" s="79">
        <v>16</v>
      </c>
      <c r="AV74" s="86" t="str">
        <f>HYPERLINK("https://abs.twimg.com/images/themes/theme1/bg.png")</f>
        <v>https://abs.twimg.com/images/themes/theme1/bg.png</v>
      </c>
      <c r="AW74" s="79" t="b">
        <v>0</v>
      </c>
      <c r="AX74" s="79" t="s">
        <v>1458</v>
      </c>
      <c r="AY74" s="86" t="str">
        <f>HYPERLINK("https://twitter.com/educhiapas")</f>
        <v>https://twitter.com/educhiapas</v>
      </c>
      <c r="AZ74" s="79" t="s">
        <v>66</v>
      </c>
      <c r="BA74" s="79" t="str">
        <f>REPLACE(INDEX(GroupVertices[Group],MATCH(Vertices[[#This Row],[Vertex]],GroupVertices[Vertex],0)),1,1,"")</f>
        <v>2</v>
      </c>
      <c r="BB74" s="49">
        <v>0</v>
      </c>
      <c r="BC74" s="50">
        <v>0</v>
      </c>
      <c r="BD74" s="49">
        <v>0</v>
      </c>
      <c r="BE74" s="50">
        <v>0</v>
      </c>
      <c r="BF74" s="49">
        <v>0</v>
      </c>
      <c r="BG74" s="50">
        <v>0</v>
      </c>
      <c r="BH74" s="49">
        <v>25</v>
      </c>
      <c r="BI74" s="50">
        <v>100</v>
      </c>
      <c r="BJ74" s="49">
        <v>25</v>
      </c>
      <c r="BK74" s="49"/>
      <c r="BL74" s="49"/>
      <c r="BM74" s="49"/>
      <c r="BN74" s="49"/>
      <c r="BO74" s="49" t="s">
        <v>491</v>
      </c>
      <c r="BP74" s="49" t="s">
        <v>491</v>
      </c>
      <c r="BQ74" s="115" t="s">
        <v>2547</v>
      </c>
      <c r="BR74" s="115" t="s">
        <v>2547</v>
      </c>
      <c r="BS74" s="115" t="s">
        <v>2393</v>
      </c>
      <c r="BT74" s="115" t="s">
        <v>2393</v>
      </c>
      <c r="BU74" s="2"/>
      <c r="BV74" s="3"/>
      <c r="BW74" s="3"/>
      <c r="BX74" s="3"/>
      <c r="BY74" s="3"/>
    </row>
    <row r="75" spans="1:77" ht="15">
      <c r="A75" s="65" t="s">
        <v>274</v>
      </c>
      <c r="B75" s="66"/>
      <c r="C75" s="66"/>
      <c r="D75" s="67">
        <v>100</v>
      </c>
      <c r="E75" s="69"/>
      <c r="F75" s="103" t="str">
        <f>HYPERLINK("https://pbs.twimg.com/profile_images/824853195553857536/8CxIhZIF_normal.jpg")</f>
        <v>https://pbs.twimg.com/profile_images/824853195553857536/8CxIhZIF_normal.jpg</v>
      </c>
      <c r="G75" s="66"/>
      <c r="H75" s="70" t="s">
        <v>274</v>
      </c>
      <c r="I75" s="71"/>
      <c r="J75" s="71" t="s">
        <v>159</v>
      </c>
      <c r="K75" s="70" t="s">
        <v>1530</v>
      </c>
      <c r="L75" s="74">
        <v>1</v>
      </c>
      <c r="M75" s="75">
        <v>7422.44189453125</v>
      </c>
      <c r="N75" s="75">
        <v>9376.69921875</v>
      </c>
      <c r="O75" s="76"/>
      <c r="P75" s="77"/>
      <c r="Q75" s="77"/>
      <c r="R75" s="89"/>
      <c r="S75" s="49">
        <v>1</v>
      </c>
      <c r="T75" s="49">
        <v>1</v>
      </c>
      <c r="U75" s="50">
        <v>0</v>
      </c>
      <c r="V75" s="50">
        <v>0</v>
      </c>
      <c r="W75" s="50">
        <v>0</v>
      </c>
      <c r="X75" s="50">
        <v>0.999997</v>
      </c>
      <c r="Y75" s="50">
        <v>0</v>
      </c>
      <c r="Z75" s="50">
        <v>0</v>
      </c>
      <c r="AA75" s="72">
        <v>75</v>
      </c>
      <c r="AB75" s="72"/>
      <c r="AC75" s="73"/>
      <c r="AD75" s="79" t="s">
        <v>1000</v>
      </c>
      <c r="AE75" s="84" t="s">
        <v>1160</v>
      </c>
      <c r="AF75" s="79">
        <v>150</v>
      </c>
      <c r="AG75" s="79">
        <v>330</v>
      </c>
      <c r="AH75" s="79">
        <v>1826</v>
      </c>
      <c r="AI75" s="79">
        <v>2901</v>
      </c>
      <c r="AJ75" s="79"/>
      <c r="AK75" s="79" t="s">
        <v>1311</v>
      </c>
      <c r="AL75" s="79" t="s">
        <v>1393</v>
      </c>
      <c r="AM75" s="79"/>
      <c r="AN75" s="79"/>
      <c r="AO75" s="81">
        <v>42241.38247685185</v>
      </c>
      <c r="AP75" s="86" t="str">
        <f>HYPERLINK("https://pbs.twimg.com/profile_banners/3335694912/1619979041")</f>
        <v>https://pbs.twimg.com/profile_banners/3335694912/1619979041</v>
      </c>
      <c r="AQ75" s="79" t="b">
        <v>0</v>
      </c>
      <c r="AR75" s="79" t="b">
        <v>0</v>
      </c>
      <c r="AS75" s="79" t="b">
        <v>0</v>
      </c>
      <c r="AT75" s="79"/>
      <c r="AU75" s="79">
        <v>1</v>
      </c>
      <c r="AV75" s="86" t="str">
        <f>HYPERLINK("https://abs.twimg.com/images/themes/theme18/bg.gif")</f>
        <v>https://abs.twimg.com/images/themes/theme18/bg.gif</v>
      </c>
      <c r="AW75" s="79" t="b">
        <v>0</v>
      </c>
      <c r="AX75" s="79" t="s">
        <v>1458</v>
      </c>
      <c r="AY75" s="86" t="str">
        <f>HYPERLINK("https://twitter.com/pirubruja")</f>
        <v>https://twitter.com/pirubruja</v>
      </c>
      <c r="AZ75" s="79" t="s">
        <v>66</v>
      </c>
      <c r="BA75" s="79" t="str">
        <f>REPLACE(INDEX(GroupVertices[Group],MATCH(Vertices[[#This Row],[Vertex]],GroupVertices[Vertex],0)),1,1,"")</f>
        <v>4</v>
      </c>
      <c r="BB75" s="49">
        <v>0</v>
      </c>
      <c r="BC75" s="50">
        <v>0</v>
      </c>
      <c r="BD75" s="49">
        <v>0</v>
      </c>
      <c r="BE75" s="50">
        <v>0</v>
      </c>
      <c r="BF75" s="49">
        <v>0</v>
      </c>
      <c r="BG75" s="50">
        <v>0</v>
      </c>
      <c r="BH75" s="49">
        <v>24</v>
      </c>
      <c r="BI75" s="50">
        <v>100</v>
      </c>
      <c r="BJ75" s="49">
        <v>24</v>
      </c>
      <c r="BK75" s="49"/>
      <c r="BL75" s="49"/>
      <c r="BM75" s="49"/>
      <c r="BN75" s="49"/>
      <c r="BO75" s="49" t="s">
        <v>495</v>
      </c>
      <c r="BP75" s="49" t="s">
        <v>495</v>
      </c>
      <c r="BQ75" s="115" t="s">
        <v>2551</v>
      </c>
      <c r="BR75" s="115" t="s">
        <v>2551</v>
      </c>
      <c r="BS75" s="115" t="s">
        <v>2601</v>
      </c>
      <c r="BT75" s="115" t="s">
        <v>2601</v>
      </c>
      <c r="BU75" s="2"/>
      <c r="BV75" s="3"/>
      <c r="BW75" s="3"/>
      <c r="BX75" s="3"/>
      <c r="BY75" s="3"/>
    </row>
    <row r="76" spans="1:77" ht="15">
      <c r="A76" s="65" t="s">
        <v>275</v>
      </c>
      <c r="B76" s="66"/>
      <c r="C76" s="66"/>
      <c r="D76" s="67">
        <v>100</v>
      </c>
      <c r="E76" s="69"/>
      <c r="F76" s="103" t="str">
        <f>HYPERLINK("https://pbs.twimg.com/profile_images/1216750479524294656/lDgQ18NW_normal.jpg")</f>
        <v>https://pbs.twimg.com/profile_images/1216750479524294656/lDgQ18NW_normal.jpg</v>
      </c>
      <c r="G76" s="66"/>
      <c r="H76" s="70" t="s">
        <v>275</v>
      </c>
      <c r="I76" s="71"/>
      <c r="J76" s="71" t="s">
        <v>159</v>
      </c>
      <c r="K76" s="70" t="s">
        <v>1531</v>
      </c>
      <c r="L76" s="74">
        <v>1</v>
      </c>
      <c r="M76" s="75">
        <v>824.2581176757812</v>
      </c>
      <c r="N76" s="75">
        <v>695.7389526367188</v>
      </c>
      <c r="O76" s="76"/>
      <c r="P76" s="77"/>
      <c r="Q76" s="77"/>
      <c r="R76" s="89"/>
      <c r="S76" s="49">
        <v>0</v>
      </c>
      <c r="T76" s="49">
        <v>2</v>
      </c>
      <c r="U76" s="50">
        <v>0</v>
      </c>
      <c r="V76" s="50">
        <v>0.012048</v>
      </c>
      <c r="W76" s="50">
        <v>0.018551</v>
      </c>
      <c r="X76" s="50">
        <v>0.544572</v>
      </c>
      <c r="Y76" s="50">
        <v>0.5</v>
      </c>
      <c r="Z76" s="50">
        <v>0</v>
      </c>
      <c r="AA76" s="72">
        <v>76</v>
      </c>
      <c r="AB76" s="72"/>
      <c r="AC76" s="73"/>
      <c r="AD76" s="79" t="s">
        <v>1001</v>
      </c>
      <c r="AE76" s="84" t="s">
        <v>1161</v>
      </c>
      <c r="AF76" s="79">
        <v>639</v>
      </c>
      <c r="AG76" s="79">
        <v>154</v>
      </c>
      <c r="AH76" s="79">
        <v>13381</v>
      </c>
      <c r="AI76" s="79">
        <v>107796</v>
      </c>
      <c r="AJ76" s="79"/>
      <c r="AK76" s="79"/>
      <c r="AL76" s="79"/>
      <c r="AM76" s="79"/>
      <c r="AN76" s="79"/>
      <c r="AO76" s="81">
        <v>41312.22944444444</v>
      </c>
      <c r="AP76" s="86" t="str">
        <f>HYPERLINK("https://pbs.twimg.com/profile_banners/1156129171/1586284079")</f>
        <v>https://pbs.twimg.com/profile_banners/1156129171/1586284079</v>
      </c>
      <c r="AQ76" s="79" t="b">
        <v>1</v>
      </c>
      <c r="AR76" s="79" t="b">
        <v>0</v>
      </c>
      <c r="AS76" s="79" t="b">
        <v>0</v>
      </c>
      <c r="AT76" s="79"/>
      <c r="AU76" s="79">
        <v>1</v>
      </c>
      <c r="AV76" s="86" t="str">
        <f>HYPERLINK("https://abs.twimg.com/images/themes/theme1/bg.png")</f>
        <v>https://abs.twimg.com/images/themes/theme1/bg.png</v>
      </c>
      <c r="AW76" s="79" t="b">
        <v>0</v>
      </c>
      <c r="AX76" s="79" t="s">
        <v>1458</v>
      </c>
      <c r="AY76" s="86" t="str">
        <f>HYPERLINK("https://twitter.com/belicejp")</f>
        <v>https://twitter.com/belicejp</v>
      </c>
      <c r="AZ76" s="79" t="s">
        <v>66</v>
      </c>
      <c r="BA76" s="79" t="str">
        <f>REPLACE(INDEX(GroupVertices[Group],MATCH(Vertices[[#This Row],[Vertex]],GroupVertices[Vertex],0)),1,1,"")</f>
        <v>2</v>
      </c>
      <c r="BB76" s="49">
        <v>0</v>
      </c>
      <c r="BC76" s="50">
        <v>0</v>
      </c>
      <c r="BD76" s="49">
        <v>0</v>
      </c>
      <c r="BE76" s="50">
        <v>0</v>
      </c>
      <c r="BF76" s="49">
        <v>0</v>
      </c>
      <c r="BG76" s="50">
        <v>0</v>
      </c>
      <c r="BH76" s="49">
        <v>38</v>
      </c>
      <c r="BI76" s="50">
        <v>100</v>
      </c>
      <c r="BJ76" s="49">
        <v>38</v>
      </c>
      <c r="BK76" s="49" t="s">
        <v>2144</v>
      </c>
      <c r="BL76" s="49" t="s">
        <v>2144</v>
      </c>
      <c r="BM76" s="49" t="s">
        <v>451</v>
      </c>
      <c r="BN76" s="49" t="s">
        <v>451</v>
      </c>
      <c r="BO76" s="49" t="s">
        <v>496</v>
      </c>
      <c r="BP76" s="49" t="s">
        <v>496</v>
      </c>
      <c r="BQ76" s="115" t="s">
        <v>2552</v>
      </c>
      <c r="BR76" s="115" t="s">
        <v>2552</v>
      </c>
      <c r="BS76" s="115" t="s">
        <v>2602</v>
      </c>
      <c r="BT76" s="115" t="s">
        <v>2602</v>
      </c>
      <c r="BU76" s="2"/>
      <c r="BV76" s="3"/>
      <c r="BW76" s="3"/>
      <c r="BX76" s="3"/>
      <c r="BY76" s="3"/>
    </row>
    <row r="77" spans="1:77" ht="15">
      <c r="A77" s="65" t="s">
        <v>314</v>
      </c>
      <c r="B77" s="66"/>
      <c r="C77" s="66"/>
      <c r="D77" s="67">
        <v>193.10344827586206</v>
      </c>
      <c r="E77" s="69"/>
      <c r="F77" s="103" t="str">
        <f>HYPERLINK("https://pbs.twimg.com/profile_images/588503723002834944/95acWEsy_normal.jpg")</f>
        <v>https://pbs.twimg.com/profile_images/588503723002834944/95acWEsy_normal.jpg</v>
      </c>
      <c r="G77" s="66"/>
      <c r="H77" s="70" t="s">
        <v>314</v>
      </c>
      <c r="I77" s="71"/>
      <c r="J77" s="71" t="s">
        <v>75</v>
      </c>
      <c r="K77" s="70" t="s">
        <v>1532</v>
      </c>
      <c r="L77" s="74">
        <v>120.02380952380952</v>
      </c>
      <c r="M77" s="75">
        <v>653.3060913085938</v>
      </c>
      <c r="N77" s="75">
        <v>1604.881591796875</v>
      </c>
      <c r="O77" s="76"/>
      <c r="P77" s="77"/>
      <c r="Q77" s="77"/>
      <c r="R77" s="89"/>
      <c r="S77" s="49">
        <v>6</v>
      </c>
      <c r="T77" s="49">
        <v>1</v>
      </c>
      <c r="U77" s="50">
        <v>15</v>
      </c>
      <c r="V77" s="50">
        <v>0.012821</v>
      </c>
      <c r="W77" s="50">
        <v>0.029574</v>
      </c>
      <c r="X77" s="50">
        <v>1.7239</v>
      </c>
      <c r="Y77" s="50">
        <v>0.14285714285714285</v>
      </c>
      <c r="Z77" s="50">
        <v>0</v>
      </c>
      <c r="AA77" s="72">
        <v>77</v>
      </c>
      <c r="AB77" s="72"/>
      <c r="AC77" s="73"/>
      <c r="AD77" s="79" t="s">
        <v>1002</v>
      </c>
      <c r="AE77" s="84" t="s">
        <v>1162</v>
      </c>
      <c r="AF77" s="79">
        <v>292</v>
      </c>
      <c r="AG77" s="79">
        <v>2623188</v>
      </c>
      <c r="AH77" s="79">
        <v>313507</v>
      </c>
      <c r="AI77" s="79">
        <v>178</v>
      </c>
      <c r="AJ77" s="79"/>
      <c r="AK77" s="79" t="s">
        <v>1312</v>
      </c>
      <c r="AL77" s="79" t="s">
        <v>1393</v>
      </c>
      <c r="AM77" s="86" t="str">
        <f>HYPERLINK("https://t.co/Cqf3QfdOWr")</f>
        <v>https://t.co/Cqf3QfdOWr</v>
      </c>
      <c r="AN77" s="79"/>
      <c r="AO77" s="81">
        <v>39931.153275462966</v>
      </c>
      <c r="AP77" s="86" t="str">
        <f>HYPERLINK("https://pbs.twimg.com/profile_banners/35977487/1587165267")</f>
        <v>https://pbs.twimg.com/profile_banners/35977487/1587165267</v>
      </c>
      <c r="AQ77" s="79" t="b">
        <v>0</v>
      </c>
      <c r="AR77" s="79" t="b">
        <v>0</v>
      </c>
      <c r="AS77" s="79" t="b">
        <v>0</v>
      </c>
      <c r="AT77" s="79"/>
      <c r="AU77" s="79">
        <v>11511</v>
      </c>
      <c r="AV77" s="86" t="str">
        <f>HYPERLINK("https://abs.twimg.com/images/themes/theme7/bg.gif")</f>
        <v>https://abs.twimg.com/images/themes/theme7/bg.gif</v>
      </c>
      <c r="AW77" s="79" t="b">
        <v>1</v>
      </c>
      <c r="AX77" s="79" t="s">
        <v>1458</v>
      </c>
      <c r="AY77" s="86" t="str">
        <f>HYPERLINK("https://twitter.com/lajornadaonline")</f>
        <v>https://twitter.com/lajornadaonline</v>
      </c>
      <c r="AZ77" s="79" t="s">
        <v>66</v>
      </c>
      <c r="BA77" s="79" t="str">
        <f>REPLACE(INDEX(GroupVertices[Group],MATCH(Vertices[[#This Row],[Vertex]],GroupVertices[Vertex],0)),1,1,"")</f>
        <v>2</v>
      </c>
      <c r="BB77" s="49">
        <v>0</v>
      </c>
      <c r="BC77" s="50">
        <v>0</v>
      </c>
      <c r="BD77" s="49">
        <v>0</v>
      </c>
      <c r="BE77" s="50">
        <v>0</v>
      </c>
      <c r="BF77" s="49">
        <v>0</v>
      </c>
      <c r="BG77" s="50">
        <v>0</v>
      </c>
      <c r="BH77" s="49">
        <v>38</v>
      </c>
      <c r="BI77" s="50">
        <v>100</v>
      </c>
      <c r="BJ77" s="49">
        <v>38</v>
      </c>
      <c r="BK77" s="49" t="s">
        <v>2144</v>
      </c>
      <c r="BL77" s="49" t="s">
        <v>2144</v>
      </c>
      <c r="BM77" s="49" t="s">
        <v>451</v>
      </c>
      <c r="BN77" s="49" t="s">
        <v>451</v>
      </c>
      <c r="BO77" s="49" t="s">
        <v>496</v>
      </c>
      <c r="BP77" s="49" t="s">
        <v>496</v>
      </c>
      <c r="BQ77" s="115" t="s">
        <v>2552</v>
      </c>
      <c r="BR77" s="115" t="s">
        <v>2552</v>
      </c>
      <c r="BS77" s="115" t="s">
        <v>2602</v>
      </c>
      <c r="BT77" s="115" t="s">
        <v>2602</v>
      </c>
      <c r="BU77" s="2"/>
      <c r="BV77" s="3"/>
      <c r="BW77" s="3"/>
      <c r="BX77" s="3"/>
      <c r="BY77" s="3"/>
    </row>
    <row r="78" spans="1:77" ht="15">
      <c r="A78" s="65" t="s">
        <v>276</v>
      </c>
      <c r="B78" s="66"/>
      <c r="C78" s="66"/>
      <c r="D78" s="67">
        <v>100</v>
      </c>
      <c r="E78" s="69"/>
      <c r="F78" s="103" t="str">
        <f>HYPERLINK("https://pbs.twimg.com/profile_images/1291206854274699265/3zG5dGq-_normal.jpg")</f>
        <v>https://pbs.twimg.com/profile_images/1291206854274699265/3zG5dGq-_normal.jpg</v>
      </c>
      <c r="G78" s="66"/>
      <c r="H78" s="70" t="s">
        <v>276</v>
      </c>
      <c r="I78" s="71"/>
      <c r="J78" s="71" t="s">
        <v>159</v>
      </c>
      <c r="K78" s="70" t="s">
        <v>1533</v>
      </c>
      <c r="L78" s="74">
        <v>1</v>
      </c>
      <c r="M78" s="75">
        <v>1184.810546875</v>
      </c>
      <c r="N78" s="75">
        <v>379.7088623046875</v>
      </c>
      <c r="O78" s="76"/>
      <c r="P78" s="77"/>
      <c r="Q78" s="77"/>
      <c r="R78" s="89"/>
      <c r="S78" s="49">
        <v>0</v>
      </c>
      <c r="T78" s="49">
        <v>2</v>
      </c>
      <c r="U78" s="50">
        <v>0</v>
      </c>
      <c r="V78" s="50">
        <v>0.012048</v>
      </c>
      <c r="W78" s="50">
        <v>0.018551</v>
      </c>
      <c r="X78" s="50">
        <v>0.544572</v>
      </c>
      <c r="Y78" s="50">
        <v>0.5</v>
      </c>
      <c r="Z78" s="50">
        <v>0</v>
      </c>
      <c r="AA78" s="72">
        <v>78</v>
      </c>
      <c r="AB78" s="72"/>
      <c r="AC78" s="73"/>
      <c r="AD78" s="79" t="s">
        <v>1003</v>
      </c>
      <c r="AE78" s="84" t="s">
        <v>1163</v>
      </c>
      <c r="AF78" s="79">
        <v>890</v>
      </c>
      <c r="AG78" s="79">
        <v>508</v>
      </c>
      <c r="AH78" s="79">
        <v>63082</v>
      </c>
      <c r="AI78" s="79">
        <v>117713</v>
      </c>
      <c r="AJ78" s="79"/>
      <c r="AK78" s="79"/>
      <c r="AL78" s="79"/>
      <c r="AM78" s="79"/>
      <c r="AN78" s="79"/>
      <c r="AO78" s="81">
        <v>43458.99459490741</v>
      </c>
      <c r="AP78" s="79"/>
      <c r="AQ78" s="79" t="b">
        <v>1</v>
      </c>
      <c r="AR78" s="79" t="b">
        <v>0</v>
      </c>
      <c r="AS78" s="79" t="b">
        <v>1</v>
      </c>
      <c r="AT78" s="79"/>
      <c r="AU78" s="79">
        <v>2</v>
      </c>
      <c r="AV78" s="79"/>
      <c r="AW78" s="79" t="b">
        <v>0</v>
      </c>
      <c r="AX78" s="79" t="s">
        <v>1458</v>
      </c>
      <c r="AY78" s="86" t="str">
        <f>HYPERLINK("https://twitter.com/antonio69111557")</f>
        <v>https://twitter.com/antonio69111557</v>
      </c>
      <c r="AZ78" s="79" t="s">
        <v>66</v>
      </c>
      <c r="BA78" s="79" t="str">
        <f>REPLACE(INDEX(GroupVertices[Group],MATCH(Vertices[[#This Row],[Vertex]],GroupVertices[Vertex],0)),1,1,"")</f>
        <v>2</v>
      </c>
      <c r="BB78" s="49">
        <v>0</v>
      </c>
      <c r="BC78" s="50">
        <v>0</v>
      </c>
      <c r="BD78" s="49">
        <v>0</v>
      </c>
      <c r="BE78" s="50">
        <v>0</v>
      </c>
      <c r="BF78" s="49">
        <v>0</v>
      </c>
      <c r="BG78" s="50">
        <v>0</v>
      </c>
      <c r="BH78" s="49">
        <v>38</v>
      </c>
      <c r="BI78" s="50">
        <v>100</v>
      </c>
      <c r="BJ78" s="49">
        <v>38</v>
      </c>
      <c r="BK78" s="49" t="s">
        <v>2144</v>
      </c>
      <c r="BL78" s="49" t="s">
        <v>2144</v>
      </c>
      <c r="BM78" s="49" t="s">
        <v>451</v>
      </c>
      <c r="BN78" s="49" t="s">
        <v>451</v>
      </c>
      <c r="BO78" s="49" t="s">
        <v>496</v>
      </c>
      <c r="BP78" s="49" t="s">
        <v>496</v>
      </c>
      <c r="BQ78" s="115" t="s">
        <v>2552</v>
      </c>
      <c r="BR78" s="115" t="s">
        <v>2552</v>
      </c>
      <c r="BS78" s="115" t="s">
        <v>2602</v>
      </c>
      <c r="BT78" s="115" t="s">
        <v>2602</v>
      </c>
      <c r="BU78" s="2"/>
      <c r="BV78" s="3"/>
      <c r="BW78" s="3"/>
      <c r="BX78" s="3"/>
      <c r="BY78" s="3"/>
    </row>
    <row r="79" spans="1:77" ht="15">
      <c r="A79" s="65" t="s">
        <v>277</v>
      </c>
      <c r="B79" s="66"/>
      <c r="C79" s="66"/>
      <c r="D79" s="67">
        <v>100</v>
      </c>
      <c r="E79" s="69"/>
      <c r="F79" s="103" t="str">
        <f>HYPERLINK("https://pbs.twimg.com/profile_images/1437905246462758913/8XTelcEC_normal.jpg")</f>
        <v>https://pbs.twimg.com/profile_images/1437905246462758913/8XTelcEC_normal.jpg</v>
      </c>
      <c r="G79" s="66"/>
      <c r="H79" s="70" t="s">
        <v>277</v>
      </c>
      <c r="I79" s="71"/>
      <c r="J79" s="71" t="s">
        <v>159</v>
      </c>
      <c r="K79" s="70" t="s">
        <v>1534</v>
      </c>
      <c r="L79" s="74">
        <v>1</v>
      </c>
      <c r="M79" s="75">
        <v>569.887451171875</v>
      </c>
      <c r="N79" s="75">
        <v>2940.921875</v>
      </c>
      <c r="O79" s="76"/>
      <c r="P79" s="77"/>
      <c r="Q79" s="77"/>
      <c r="R79" s="89"/>
      <c r="S79" s="49">
        <v>0</v>
      </c>
      <c r="T79" s="49">
        <v>2</v>
      </c>
      <c r="U79" s="50">
        <v>0</v>
      </c>
      <c r="V79" s="50">
        <v>0.012048</v>
      </c>
      <c r="W79" s="50">
        <v>0.018551</v>
      </c>
      <c r="X79" s="50">
        <v>0.544572</v>
      </c>
      <c r="Y79" s="50">
        <v>0.5</v>
      </c>
      <c r="Z79" s="50">
        <v>0</v>
      </c>
      <c r="AA79" s="72">
        <v>79</v>
      </c>
      <c r="AB79" s="72"/>
      <c r="AC79" s="73"/>
      <c r="AD79" s="79" t="s">
        <v>1004</v>
      </c>
      <c r="AE79" s="84" t="s">
        <v>1164</v>
      </c>
      <c r="AF79" s="79">
        <v>1357</v>
      </c>
      <c r="AG79" s="79">
        <v>1915</v>
      </c>
      <c r="AH79" s="79">
        <v>124157</v>
      </c>
      <c r="AI79" s="79">
        <v>182578</v>
      </c>
      <c r="AJ79" s="79"/>
      <c r="AK79" s="79" t="s">
        <v>1313</v>
      </c>
      <c r="AL79" s="79"/>
      <c r="AM79" s="79"/>
      <c r="AN79" s="79"/>
      <c r="AO79" s="81">
        <v>40363.16449074074</v>
      </c>
      <c r="AP79" s="79"/>
      <c r="AQ79" s="79" t="b">
        <v>0</v>
      </c>
      <c r="AR79" s="79" t="b">
        <v>0</v>
      </c>
      <c r="AS79" s="79" t="b">
        <v>0</v>
      </c>
      <c r="AT79" s="79"/>
      <c r="AU79" s="79">
        <v>0</v>
      </c>
      <c r="AV79" s="86" t="str">
        <f>HYPERLINK("https://abs.twimg.com/images/themes/theme15/bg.png")</f>
        <v>https://abs.twimg.com/images/themes/theme15/bg.png</v>
      </c>
      <c r="AW79" s="79" t="b">
        <v>0</v>
      </c>
      <c r="AX79" s="79" t="s">
        <v>1458</v>
      </c>
      <c r="AY79" s="86" t="str">
        <f>HYPERLINK("https://twitter.com/joel_fm_")</f>
        <v>https://twitter.com/joel_fm_</v>
      </c>
      <c r="AZ79" s="79" t="s">
        <v>66</v>
      </c>
      <c r="BA79" s="79" t="str">
        <f>REPLACE(INDEX(GroupVertices[Group],MATCH(Vertices[[#This Row],[Vertex]],GroupVertices[Vertex],0)),1,1,"")</f>
        <v>2</v>
      </c>
      <c r="BB79" s="49">
        <v>0</v>
      </c>
      <c r="BC79" s="50">
        <v>0</v>
      </c>
      <c r="BD79" s="49">
        <v>0</v>
      </c>
      <c r="BE79" s="50">
        <v>0</v>
      </c>
      <c r="BF79" s="49">
        <v>0</v>
      </c>
      <c r="BG79" s="50">
        <v>0</v>
      </c>
      <c r="BH79" s="49">
        <v>38</v>
      </c>
      <c r="BI79" s="50">
        <v>100</v>
      </c>
      <c r="BJ79" s="49">
        <v>38</v>
      </c>
      <c r="BK79" s="49" t="s">
        <v>2144</v>
      </c>
      <c r="BL79" s="49" t="s">
        <v>2144</v>
      </c>
      <c r="BM79" s="49" t="s">
        <v>451</v>
      </c>
      <c r="BN79" s="49" t="s">
        <v>451</v>
      </c>
      <c r="BO79" s="49" t="s">
        <v>496</v>
      </c>
      <c r="BP79" s="49" t="s">
        <v>496</v>
      </c>
      <c r="BQ79" s="115" t="s">
        <v>2552</v>
      </c>
      <c r="BR79" s="115" t="s">
        <v>2552</v>
      </c>
      <c r="BS79" s="115" t="s">
        <v>2602</v>
      </c>
      <c r="BT79" s="115" t="s">
        <v>2602</v>
      </c>
      <c r="BU79" s="2"/>
      <c r="BV79" s="3"/>
      <c r="BW79" s="3"/>
      <c r="BX79" s="3"/>
      <c r="BY79" s="3"/>
    </row>
    <row r="80" spans="1:77" ht="15">
      <c r="A80" s="65" t="s">
        <v>278</v>
      </c>
      <c r="B80" s="66"/>
      <c r="C80" s="66"/>
      <c r="D80" s="67">
        <v>100</v>
      </c>
      <c r="E80" s="69"/>
      <c r="F80" s="103" t="str">
        <f>HYPERLINK("https://pbs.twimg.com/profile_images/829554306554671105/BK3Ns23e_normal.jpg")</f>
        <v>https://pbs.twimg.com/profile_images/829554306554671105/BK3Ns23e_normal.jpg</v>
      </c>
      <c r="G80" s="66"/>
      <c r="H80" s="70" t="s">
        <v>278</v>
      </c>
      <c r="I80" s="71"/>
      <c r="J80" s="71" t="s">
        <v>159</v>
      </c>
      <c r="K80" s="70" t="s">
        <v>1535</v>
      </c>
      <c r="L80" s="74">
        <v>1</v>
      </c>
      <c r="M80" s="75">
        <v>335.1620178222656</v>
      </c>
      <c r="N80" s="75">
        <v>1922.8409423828125</v>
      </c>
      <c r="O80" s="76"/>
      <c r="P80" s="77"/>
      <c r="Q80" s="77"/>
      <c r="R80" s="89"/>
      <c r="S80" s="49">
        <v>0</v>
      </c>
      <c r="T80" s="49">
        <v>2</v>
      </c>
      <c r="U80" s="50">
        <v>0</v>
      </c>
      <c r="V80" s="50">
        <v>0.012048</v>
      </c>
      <c r="W80" s="50">
        <v>0.018551</v>
      </c>
      <c r="X80" s="50">
        <v>0.544572</v>
      </c>
      <c r="Y80" s="50">
        <v>0.5</v>
      </c>
      <c r="Z80" s="50">
        <v>0</v>
      </c>
      <c r="AA80" s="72">
        <v>80</v>
      </c>
      <c r="AB80" s="72"/>
      <c r="AC80" s="73"/>
      <c r="AD80" s="79" t="s">
        <v>1005</v>
      </c>
      <c r="AE80" s="84" t="s">
        <v>1165</v>
      </c>
      <c r="AF80" s="79">
        <v>119</v>
      </c>
      <c r="AG80" s="79">
        <v>161</v>
      </c>
      <c r="AH80" s="79">
        <v>40246</v>
      </c>
      <c r="AI80" s="79">
        <v>92171</v>
      </c>
      <c r="AJ80" s="79"/>
      <c r="AK80" s="79" t="s">
        <v>1314</v>
      </c>
      <c r="AL80" s="79"/>
      <c r="AM80" s="79"/>
      <c r="AN80" s="79"/>
      <c r="AO80" s="81">
        <v>40563.733715277776</v>
      </c>
      <c r="AP80" s="86" t="str">
        <f>HYPERLINK("https://pbs.twimg.com/profile_banners/240757879/1378581936")</f>
        <v>https://pbs.twimg.com/profile_banners/240757879/1378581936</v>
      </c>
      <c r="AQ80" s="79" t="b">
        <v>1</v>
      </c>
      <c r="AR80" s="79" t="b">
        <v>0</v>
      </c>
      <c r="AS80" s="79" t="b">
        <v>0</v>
      </c>
      <c r="AT80" s="79"/>
      <c r="AU80" s="79">
        <v>2</v>
      </c>
      <c r="AV80" s="86" t="str">
        <f>HYPERLINK("https://abs.twimg.com/images/themes/theme1/bg.png")</f>
        <v>https://abs.twimg.com/images/themes/theme1/bg.png</v>
      </c>
      <c r="AW80" s="79" t="b">
        <v>0</v>
      </c>
      <c r="AX80" s="79" t="s">
        <v>1458</v>
      </c>
      <c r="AY80" s="86" t="str">
        <f>HYPERLINK("https://twitter.com/artemioac")</f>
        <v>https://twitter.com/artemioac</v>
      </c>
      <c r="AZ80" s="79" t="s">
        <v>66</v>
      </c>
      <c r="BA80" s="79" t="str">
        <f>REPLACE(INDEX(GroupVertices[Group],MATCH(Vertices[[#This Row],[Vertex]],GroupVertices[Vertex],0)),1,1,"")</f>
        <v>2</v>
      </c>
      <c r="BB80" s="49">
        <v>0</v>
      </c>
      <c r="BC80" s="50">
        <v>0</v>
      </c>
      <c r="BD80" s="49">
        <v>0</v>
      </c>
      <c r="BE80" s="50">
        <v>0</v>
      </c>
      <c r="BF80" s="49">
        <v>0</v>
      </c>
      <c r="BG80" s="50">
        <v>0</v>
      </c>
      <c r="BH80" s="49">
        <v>38</v>
      </c>
      <c r="BI80" s="50">
        <v>100</v>
      </c>
      <c r="BJ80" s="49">
        <v>38</v>
      </c>
      <c r="BK80" s="49" t="s">
        <v>2144</v>
      </c>
      <c r="BL80" s="49" t="s">
        <v>2144</v>
      </c>
      <c r="BM80" s="49" t="s">
        <v>451</v>
      </c>
      <c r="BN80" s="49" t="s">
        <v>451</v>
      </c>
      <c r="BO80" s="49" t="s">
        <v>496</v>
      </c>
      <c r="BP80" s="49" t="s">
        <v>496</v>
      </c>
      <c r="BQ80" s="115" t="s">
        <v>2552</v>
      </c>
      <c r="BR80" s="115" t="s">
        <v>2552</v>
      </c>
      <c r="BS80" s="115" t="s">
        <v>2602</v>
      </c>
      <c r="BT80" s="115" t="s">
        <v>2602</v>
      </c>
      <c r="BU80" s="2"/>
      <c r="BV80" s="3"/>
      <c r="BW80" s="3"/>
      <c r="BX80" s="3"/>
      <c r="BY80" s="3"/>
    </row>
    <row r="81" spans="1:77" ht="15">
      <c r="A81" s="65" t="s">
        <v>279</v>
      </c>
      <c r="B81" s="66"/>
      <c r="C81" s="66"/>
      <c r="D81" s="67">
        <v>100</v>
      </c>
      <c r="E81" s="69"/>
      <c r="F81" s="103" t="str">
        <f>HYPERLINK("https://pbs.twimg.com/profile_images/3482387200/56210e7c0dec246575b9c9b373fcd599_normal.jpeg")</f>
        <v>https://pbs.twimg.com/profile_images/3482387200/56210e7c0dec246575b9c9b373fcd599_normal.jpeg</v>
      </c>
      <c r="G81" s="66"/>
      <c r="H81" s="70" t="s">
        <v>279</v>
      </c>
      <c r="I81" s="71"/>
      <c r="J81" s="71" t="s">
        <v>159</v>
      </c>
      <c r="K81" s="70" t="s">
        <v>1536</v>
      </c>
      <c r="L81" s="74">
        <v>1</v>
      </c>
      <c r="M81" s="75">
        <v>6538.56982421875</v>
      </c>
      <c r="N81" s="75">
        <v>9241.73046875</v>
      </c>
      <c r="O81" s="76"/>
      <c r="P81" s="77"/>
      <c r="Q81" s="77"/>
      <c r="R81" s="89"/>
      <c r="S81" s="49">
        <v>0</v>
      </c>
      <c r="T81" s="49">
        <v>1</v>
      </c>
      <c r="U81" s="50">
        <v>0</v>
      </c>
      <c r="V81" s="50">
        <v>0.047619</v>
      </c>
      <c r="W81" s="50">
        <v>0</v>
      </c>
      <c r="X81" s="50">
        <v>0.462912</v>
      </c>
      <c r="Y81" s="50">
        <v>0</v>
      </c>
      <c r="Z81" s="50">
        <v>0</v>
      </c>
      <c r="AA81" s="72">
        <v>81</v>
      </c>
      <c r="AB81" s="72"/>
      <c r="AC81" s="73"/>
      <c r="AD81" s="79" t="s">
        <v>279</v>
      </c>
      <c r="AE81" s="84" t="s">
        <v>1166</v>
      </c>
      <c r="AF81" s="79">
        <v>1313</v>
      </c>
      <c r="AG81" s="79">
        <v>218</v>
      </c>
      <c r="AH81" s="79">
        <v>4888</v>
      </c>
      <c r="AI81" s="79">
        <v>7625</v>
      </c>
      <c r="AJ81" s="79"/>
      <c r="AK81" s="79"/>
      <c r="AL81" s="79"/>
      <c r="AM81" s="79"/>
      <c r="AN81" s="79"/>
      <c r="AO81" s="81">
        <v>41092.665347222224</v>
      </c>
      <c r="AP81" s="86" t="str">
        <f>HYPERLINK("https://pbs.twimg.com/profile_banners/624779231/1416364788")</f>
        <v>https://pbs.twimg.com/profile_banners/624779231/1416364788</v>
      </c>
      <c r="AQ81" s="79" t="b">
        <v>1</v>
      </c>
      <c r="AR81" s="79" t="b">
        <v>0</v>
      </c>
      <c r="AS81" s="79" t="b">
        <v>0</v>
      </c>
      <c r="AT81" s="79"/>
      <c r="AU81" s="79">
        <v>3</v>
      </c>
      <c r="AV81" s="86" t="str">
        <f>HYPERLINK("https://abs.twimg.com/images/themes/theme1/bg.png")</f>
        <v>https://abs.twimg.com/images/themes/theme1/bg.png</v>
      </c>
      <c r="AW81" s="79" t="b">
        <v>0</v>
      </c>
      <c r="AX81" s="79" t="s">
        <v>1458</v>
      </c>
      <c r="AY81" s="86" t="str">
        <f>HYPERLINK("https://twitter.com/amerigospot")</f>
        <v>https://twitter.com/amerigospot</v>
      </c>
      <c r="AZ81" s="79" t="s">
        <v>66</v>
      </c>
      <c r="BA81" s="79" t="str">
        <f>REPLACE(INDEX(GroupVertices[Group],MATCH(Vertices[[#This Row],[Vertex]],GroupVertices[Vertex],0)),1,1,"")</f>
        <v>3</v>
      </c>
      <c r="BB81" s="49">
        <v>1</v>
      </c>
      <c r="BC81" s="50">
        <v>1.3333333333333333</v>
      </c>
      <c r="BD81" s="49">
        <v>0</v>
      </c>
      <c r="BE81" s="50">
        <v>0</v>
      </c>
      <c r="BF81" s="49">
        <v>0</v>
      </c>
      <c r="BG81" s="50">
        <v>0</v>
      </c>
      <c r="BH81" s="49">
        <v>74</v>
      </c>
      <c r="BI81" s="50">
        <v>98.66666666666667</v>
      </c>
      <c r="BJ81" s="49">
        <v>75</v>
      </c>
      <c r="BK81" s="49" t="s">
        <v>2488</v>
      </c>
      <c r="BL81" s="49" t="s">
        <v>2488</v>
      </c>
      <c r="BM81" s="49" t="s">
        <v>451</v>
      </c>
      <c r="BN81" s="49" t="s">
        <v>451</v>
      </c>
      <c r="BO81" s="49" t="s">
        <v>2506</v>
      </c>
      <c r="BP81" s="49" t="s">
        <v>2516</v>
      </c>
      <c r="BQ81" s="115" t="s">
        <v>2553</v>
      </c>
      <c r="BR81" s="115" t="s">
        <v>2576</v>
      </c>
      <c r="BS81" s="115" t="s">
        <v>2599</v>
      </c>
      <c r="BT81" s="115" t="s">
        <v>2599</v>
      </c>
      <c r="BU81" s="2"/>
      <c r="BV81" s="3"/>
      <c r="BW81" s="3"/>
      <c r="BX81" s="3"/>
      <c r="BY81" s="3"/>
    </row>
    <row r="82" spans="1:77" ht="15">
      <c r="A82" s="65" t="s">
        <v>280</v>
      </c>
      <c r="B82" s="66"/>
      <c r="C82" s="66"/>
      <c r="D82" s="67">
        <v>224.13793103448276</v>
      </c>
      <c r="E82" s="69"/>
      <c r="F82" s="103" t="str">
        <f>HYPERLINK("https://abs.twimg.com/sticky/default_profile_images/default_profile_normal.png")</f>
        <v>https://abs.twimg.com/sticky/default_profile_images/default_profile_normal.png</v>
      </c>
      <c r="G82" s="66"/>
      <c r="H82" s="70" t="s">
        <v>280</v>
      </c>
      <c r="I82" s="71"/>
      <c r="J82" s="71" t="s">
        <v>75</v>
      </c>
      <c r="K82" s="70" t="s">
        <v>1537</v>
      </c>
      <c r="L82" s="74">
        <v>159.6984126984127</v>
      </c>
      <c r="M82" s="75">
        <v>8886.9443359375</v>
      </c>
      <c r="N82" s="75">
        <v>6770.84326171875</v>
      </c>
      <c r="O82" s="76"/>
      <c r="P82" s="77"/>
      <c r="Q82" s="77"/>
      <c r="R82" s="89"/>
      <c r="S82" s="49">
        <v>0</v>
      </c>
      <c r="T82" s="49">
        <v>5</v>
      </c>
      <c r="U82" s="50">
        <v>20</v>
      </c>
      <c r="V82" s="50">
        <v>0.2</v>
      </c>
      <c r="W82" s="50">
        <v>0</v>
      </c>
      <c r="X82" s="50">
        <v>2.837829</v>
      </c>
      <c r="Y82" s="50">
        <v>0</v>
      </c>
      <c r="Z82" s="50">
        <v>0</v>
      </c>
      <c r="AA82" s="72">
        <v>82</v>
      </c>
      <c r="AB82" s="72"/>
      <c r="AC82" s="73"/>
      <c r="AD82" s="79" t="s">
        <v>1006</v>
      </c>
      <c r="AE82" s="84" t="s">
        <v>1167</v>
      </c>
      <c r="AF82" s="79">
        <v>23</v>
      </c>
      <c r="AG82" s="79">
        <v>1</v>
      </c>
      <c r="AH82" s="79">
        <v>1099</v>
      </c>
      <c r="AI82" s="79">
        <v>9</v>
      </c>
      <c r="AJ82" s="79"/>
      <c r="AK82" s="79"/>
      <c r="AL82" s="79"/>
      <c r="AM82" s="79"/>
      <c r="AN82" s="79"/>
      <c r="AO82" s="81">
        <v>43853.7703125</v>
      </c>
      <c r="AP82" s="79"/>
      <c r="AQ82" s="79" t="b">
        <v>1</v>
      </c>
      <c r="AR82" s="79" t="b">
        <v>1</v>
      </c>
      <c r="AS82" s="79" t="b">
        <v>0</v>
      </c>
      <c r="AT82" s="79"/>
      <c r="AU82" s="79">
        <v>1</v>
      </c>
      <c r="AV82" s="79"/>
      <c r="AW82" s="79" t="b">
        <v>0</v>
      </c>
      <c r="AX82" s="79" t="s">
        <v>1458</v>
      </c>
      <c r="AY82" s="86" t="str">
        <f>HYPERLINK("https://twitter.com/jay00291440")</f>
        <v>https://twitter.com/jay00291440</v>
      </c>
      <c r="AZ82" s="79" t="s">
        <v>66</v>
      </c>
      <c r="BA82" s="79" t="str">
        <f>REPLACE(INDEX(GroupVertices[Group],MATCH(Vertices[[#This Row],[Vertex]],GroupVertices[Vertex],0)),1,1,"")</f>
        <v>9</v>
      </c>
      <c r="BB82" s="49">
        <v>0</v>
      </c>
      <c r="BC82" s="50">
        <v>0</v>
      </c>
      <c r="BD82" s="49">
        <v>3</v>
      </c>
      <c r="BE82" s="50">
        <v>8.333333333333334</v>
      </c>
      <c r="BF82" s="49">
        <v>0</v>
      </c>
      <c r="BG82" s="50">
        <v>0</v>
      </c>
      <c r="BH82" s="49">
        <v>33</v>
      </c>
      <c r="BI82" s="50">
        <v>91.66666666666667</v>
      </c>
      <c r="BJ82" s="49">
        <v>36</v>
      </c>
      <c r="BK82" s="49"/>
      <c r="BL82" s="49"/>
      <c r="BM82" s="49"/>
      <c r="BN82" s="49"/>
      <c r="BO82" s="49" t="s">
        <v>497</v>
      </c>
      <c r="BP82" s="49" t="s">
        <v>497</v>
      </c>
      <c r="BQ82" s="115" t="s">
        <v>2554</v>
      </c>
      <c r="BR82" s="115" t="s">
        <v>2554</v>
      </c>
      <c r="BS82" s="115" t="s">
        <v>2603</v>
      </c>
      <c r="BT82" s="115" t="s">
        <v>2603</v>
      </c>
      <c r="BU82" s="2"/>
      <c r="BV82" s="3"/>
      <c r="BW82" s="3"/>
      <c r="BX82" s="3"/>
      <c r="BY82" s="3"/>
    </row>
    <row r="83" spans="1:77" ht="15">
      <c r="A83" s="65" t="s">
        <v>371</v>
      </c>
      <c r="B83" s="66"/>
      <c r="C83" s="66"/>
      <c r="D83" s="67">
        <v>100</v>
      </c>
      <c r="E83" s="69"/>
      <c r="F83" s="103" t="str">
        <f>HYPERLINK("https://pbs.twimg.com/profile_images/1114294290375688193/P9mcJNGb_normal.png")</f>
        <v>https://pbs.twimg.com/profile_images/1114294290375688193/P9mcJNGb_normal.png</v>
      </c>
      <c r="G83" s="66"/>
      <c r="H83" s="70" t="s">
        <v>371</v>
      </c>
      <c r="I83" s="71"/>
      <c r="J83" s="71" t="s">
        <v>159</v>
      </c>
      <c r="K83" s="70" t="s">
        <v>1538</v>
      </c>
      <c r="L83" s="74">
        <v>1</v>
      </c>
      <c r="M83" s="75">
        <v>8183.5390625</v>
      </c>
      <c r="N83" s="75">
        <v>6331.6181640625</v>
      </c>
      <c r="O83" s="76"/>
      <c r="P83" s="77"/>
      <c r="Q83" s="77"/>
      <c r="R83" s="89"/>
      <c r="S83" s="49">
        <v>1</v>
      </c>
      <c r="T83" s="49">
        <v>0</v>
      </c>
      <c r="U83" s="50">
        <v>0</v>
      </c>
      <c r="V83" s="50">
        <v>0.111111</v>
      </c>
      <c r="W83" s="50">
        <v>0</v>
      </c>
      <c r="X83" s="50">
        <v>0.63243</v>
      </c>
      <c r="Y83" s="50">
        <v>0</v>
      </c>
      <c r="Z83" s="50">
        <v>0</v>
      </c>
      <c r="AA83" s="72">
        <v>83</v>
      </c>
      <c r="AB83" s="72"/>
      <c r="AC83" s="73"/>
      <c r="AD83" s="79" t="s">
        <v>1007</v>
      </c>
      <c r="AE83" s="84" t="s">
        <v>1168</v>
      </c>
      <c r="AF83" s="79">
        <v>428</v>
      </c>
      <c r="AG83" s="79">
        <v>7195926</v>
      </c>
      <c r="AH83" s="79">
        <v>12078</v>
      </c>
      <c r="AI83" s="79">
        <v>11</v>
      </c>
      <c r="AJ83" s="79"/>
      <c r="AK83" s="79" t="s">
        <v>1315</v>
      </c>
      <c r="AL83" s="79" t="s">
        <v>1423</v>
      </c>
      <c r="AM83" s="86" t="str">
        <f>HYPERLINK("https://t.co/jztVqrP3x5")</f>
        <v>https://t.co/jztVqrP3x5</v>
      </c>
      <c r="AN83" s="79"/>
      <c r="AO83" s="81">
        <v>39667.6493287037</v>
      </c>
      <c r="AP83" s="86" t="str">
        <f>HYPERLINK("https://pbs.twimg.com/profile_banners/15764644/1572273026")</f>
        <v>https://pbs.twimg.com/profile_banners/15764644/1572273026</v>
      </c>
      <c r="AQ83" s="79" t="b">
        <v>0</v>
      </c>
      <c r="AR83" s="79" t="b">
        <v>0</v>
      </c>
      <c r="AS83" s="79" t="b">
        <v>1</v>
      </c>
      <c r="AT83" s="79"/>
      <c r="AU83" s="79">
        <v>23976</v>
      </c>
      <c r="AV83" s="86" t="str">
        <f>HYPERLINK("https://abs.twimg.com/images/themes/theme1/bg.png")</f>
        <v>https://abs.twimg.com/images/themes/theme1/bg.png</v>
      </c>
      <c r="AW83" s="79" t="b">
        <v>1</v>
      </c>
      <c r="AX83" s="79" t="s">
        <v>1458</v>
      </c>
      <c r="AY83" s="86" t="str">
        <f>HYPERLINK("https://twitter.com/speakerpelosi")</f>
        <v>https://twitter.com/speakerpelosi</v>
      </c>
      <c r="AZ83" s="79" t="s">
        <v>65</v>
      </c>
      <c r="BA83" s="79" t="str">
        <f>REPLACE(INDEX(GroupVertices[Group],MATCH(Vertices[[#This Row],[Vertex]],GroupVertices[Vertex],0)),1,1,"")</f>
        <v>9</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372</v>
      </c>
      <c r="B84" s="66"/>
      <c r="C84" s="66"/>
      <c r="D84" s="67">
        <v>100</v>
      </c>
      <c r="E84" s="69"/>
      <c r="F84" s="103" t="str">
        <f>HYPERLINK("https://pbs.twimg.com/profile_images/1144683452064833536/fZbuxrtg_normal.png")</f>
        <v>https://pbs.twimg.com/profile_images/1144683452064833536/fZbuxrtg_normal.png</v>
      </c>
      <c r="G84" s="66"/>
      <c r="H84" s="70" t="s">
        <v>372</v>
      </c>
      <c r="I84" s="71"/>
      <c r="J84" s="71" t="s">
        <v>159</v>
      </c>
      <c r="K84" s="70" t="s">
        <v>1539</v>
      </c>
      <c r="L84" s="74">
        <v>1</v>
      </c>
      <c r="M84" s="75">
        <v>9663.837890625</v>
      </c>
      <c r="N84" s="75">
        <v>6721.6826171875</v>
      </c>
      <c r="O84" s="76"/>
      <c r="P84" s="77"/>
      <c r="Q84" s="77"/>
      <c r="R84" s="89"/>
      <c r="S84" s="49">
        <v>1</v>
      </c>
      <c r="T84" s="49">
        <v>0</v>
      </c>
      <c r="U84" s="50">
        <v>0</v>
      </c>
      <c r="V84" s="50">
        <v>0.111111</v>
      </c>
      <c r="W84" s="50">
        <v>0</v>
      </c>
      <c r="X84" s="50">
        <v>0.63243</v>
      </c>
      <c r="Y84" s="50">
        <v>0</v>
      </c>
      <c r="Z84" s="50">
        <v>0</v>
      </c>
      <c r="AA84" s="72">
        <v>84</v>
      </c>
      <c r="AB84" s="72"/>
      <c r="AC84" s="73"/>
      <c r="AD84" s="79" t="s">
        <v>1008</v>
      </c>
      <c r="AE84" s="84" t="s">
        <v>1169</v>
      </c>
      <c r="AF84" s="79">
        <v>1424</v>
      </c>
      <c r="AG84" s="79">
        <v>1332656</v>
      </c>
      <c r="AH84" s="79">
        <v>17755</v>
      </c>
      <c r="AI84" s="79">
        <v>2135</v>
      </c>
      <c r="AJ84" s="79"/>
      <c r="AK84" s="79" t="s">
        <v>1316</v>
      </c>
      <c r="AL84" s="79" t="s">
        <v>1424</v>
      </c>
      <c r="AM84" s="86" t="str">
        <f>HYPERLINK("https://t.co/mFlMFAEtQK")</f>
        <v>https://t.co/mFlMFAEtQK</v>
      </c>
      <c r="AN84" s="79"/>
      <c r="AO84" s="81">
        <v>39842.93666666667</v>
      </c>
      <c r="AP84" s="86" t="str">
        <f>HYPERLINK("https://pbs.twimg.com/profile_banners/19739126/1627574605")</f>
        <v>https://pbs.twimg.com/profile_banners/19739126/1627574605</v>
      </c>
      <c r="AQ84" s="79" t="b">
        <v>0</v>
      </c>
      <c r="AR84" s="79" t="b">
        <v>0</v>
      </c>
      <c r="AS84" s="79" t="b">
        <v>1</v>
      </c>
      <c r="AT84" s="79"/>
      <c r="AU84" s="79">
        <v>6879</v>
      </c>
      <c r="AV84" s="86" t="str">
        <f>HYPERLINK("https://abs.twimg.com/images/themes/theme1/bg.png")</f>
        <v>https://abs.twimg.com/images/themes/theme1/bg.png</v>
      </c>
      <c r="AW84" s="79" t="b">
        <v>1</v>
      </c>
      <c r="AX84" s="79" t="s">
        <v>1458</v>
      </c>
      <c r="AY84" s="86" t="str">
        <f>HYPERLINK("https://twitter.com/gopleader")</f>
        <v>https://twitter.com/gopleader</v>
      </c>
      <c r="AZ84" s="79" t="s">
        <v>65</v>
      </c>
      <c r="BA84" s="79" t="str">
        <f>REPLACE(INDEX(GroupVertices[Group],MATCH(Vertices[[#This Row],[Vertex]],GroupVertices[Vertex],0)),1,1,"")</f>
        <v>9</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5" t="s">
        <v>373</v>
      </c>
      <c r="B85" s="66"/>
      <c r="C85" s="66"/>
      <c r="D85" s="67">
        <v>100</v>
      </c>
      <c r="E85" s="69"/>
      <c r="F85" s="103" t="str">
        <f>HYPERLINK("https://pbs.twimg.com/profile_images/1441456443362709509/GU61IyR__normal.png")</f>
        <v>https://pbs.twimg.com/profile_images/1441456443362709509/GU61IyR__normal.png</v>
      </c>
      <c r="G85" s="66"/>
      <c r="H85" s="70" t="s">
        <v>373</v>
      </c>
      <c r="I85" s="71"/>
      <c r="J85" s="71" t="s">
        <v>159</v>
      </c>
      <c r="K85" s="70" t="s">
        <v>1540</v>
      </c>
      <c r="L85" s="74">
        <v>1</v>
      </c>
      <c r="M85" s="75">
        <v>9192.115234375</v>
      </c>
      <c r="N85" s="75">
        <v>7530.892578125</v>
      </c>
      <c r="O85" s="76"/>
      <c r="P85" s="77"/>
      <c r="Q85" s="77"/>
      <c r="R85" s="89"/>
      <c r="S85" s="49">
        <v>1</v>
      </c>
      <c r="T85" s="49">
        <v>0</v>
      </c>
      <c r="U85" s="50">
        <v>0</v>
      </c>
      <c r="V85" s="50">
        <v>0.111111</v>
      </c>
      <c r="W85" s="50">
        <v>0</v>
      </c>
      <c r="X85" s="50">
        <v>0.63243</v>
      </c>
      <c r="Y85" s="50">
        <v>0</v>
      </c>
      <c r="Z85" s="50">
        <v>0</v>
      </c>
      <c r="AA85" s="72">
        <v>85</v>
      </c>
      <c r="AB85" s="72"/>
      <c r="AC85" s="73"/>
      <c r="AD85" s="79" t="s">
        <v>1009</v>
      </c>
      <c r="AE85" s="84" t="s">
        <v>1170</v>
      </c>
      <c r="AF85" s="79">
        <v>3</v>
      </c>
      <c r="AG85" s="79">
        <v>129679</v>
      </c>
      <c r="AH85" s="79">
        <v>9</v>
      </c>
      <c r="AI85" s="79">
        <v>210</v>
      </c>
      <c r="AJ85" s="79"/>
      <c r="AK85" s="79" t="s">
        <v>1317</v>
      </c>
      <c r="AL85" s="79" t="s">
        <v>1391</v>
      </c>
      <c r="AM85" s="86" t="str">
        <f>HYPERLINK("https://t.co/oHfymqBiSQ")</f>
        <v>https://t.co/oHfymqBiSQ</v>
      </c>
      <c r="AN85" s="79"/>
      <c r="AO85" s="81">
        <v>42480.60152777778</v>
      </c>
      <c r="AP85" s="86" t="str">
        <f>HYPERLINK("https://pbs.twimg.com/profile_banners/722793491059769344/1563997541")</f>
        <v>https://pbs.twimg.com/profile_banners/722793491059769344/1563997541</v>
      </c>
      <c r="AQ85" s="79" t="b">
        <v>0</v>
      </c>
      <c r="AR85" s="79" t="b">
        <v>0</v>
      </c>
      <c r="AS85" s="79" t="b">
        <v>0</v>
      </c>
      <c r="AT85" s="79"/>
      <c r="AU85" s="79">
        <v>1008</v>
      </c>
      <c r="AV85" s="86" t="str">
        <f>HYPERLINK("https://abs.twimg.com/images/themes/theme1/bg.png")</f>
        <v>https://abs.twimg.com/images/themes/theme1/bg.png</v>
      </c>
      <c r="AW85" s="79" t="b">
        <v>1</v>
      </c>
      <c r="AX85" s="79" t="s">
        <v>1458</v>
      </c>
      <c r="AY85" s="86" t="str">
        <f>HYPERLINK("https://twitter.com/dnc")</f>
        <v>https://twitter.com/dnc</v>
      </c>
      <c r="AZ85" s="79" t="s">
        <v>65</v>
      </c>
      <c r="BA85" s="79" t="str">
        <f>REPLACE(INDEX(GroupVertices[Group],MATCH(Vertices[[#This Row],[Vertex]],GroupVertices[Vertex],0)),1,1,"")</f>
        <v>9</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374</v>
      </c>
      <c r="B86" s="66"/>
      <c r="C86" s="66"/>
      <c r="D86" s="67">
        <v>100</v>
      </c>
      <c r="E86" s="69"/>
      <c r="F86" s="103" t="str">
        <f>HYPERLINK("https://pbs.twimg.com/profile_images/1430179942634074113/6uaDVi_r_normal.jpg")</f>
        <v>https://pbs.twimg.com/profile_images/1430179942634074113/6uaDVi_r_normal.jpg</v>
      </c>
      <c r="G86" s="66"/>
      <c r="H86" s="70" t="s">
        <v>374</v>
      </c>
      <c r="I86" s="71"/>
      <c r="J86" s="71" t="s">
        <v>159</v>
      </c>
      <c r="K86" s="70" t="s">
        <v>1541</v>
      </c>
      <c r="L86" s="74">
        <v>1</v>
      </c>
      <c r="M86" s="75">
        <v>9096.3564453125</v>
      </c>
      <c r="N86" s="75">
        <v>5980.41455078125</v>
      </c>
      <c r="O86" s="76"/>
      <c r="P86" s="77"/>
      <c r="Q86" s="77"/>
      <c r="R86" s="89"/>
      <c r="S86" s="49">
        <v>1</v>
      </c>
      <c r="T86" s="49">
        <v>0</v>
      </c>
      <c r="U86" s="50">
        <v>0</v>
      </c>
      <c r="V86" s="50">
        <v>0.111111</v>
      </c>
      <c r="W86" s="50">
        <v>0</v>
      </c>
      <c r="X86" s="50">
        <v>0.63243</v>
      </c>
      <c r="Y86" s="50">
        <v>0</v>
      </c>
      <c r="Z86" s="50">
        <v>0</v>
      </c>
      <c r="AA86" s="72">
        <v>86</v>
      </c>
      <c r="AB86" s="72"/>
      <c r="AC86" s="73"/>
      <c r="AD86" s="79" t="s">
        <v>1010</v>
      </c>
      <c r="AE86" s="84" t="s">
        <v>1171</v>
      </c>
      <c r="AF86" s="79">
        <v>1618</v>
      </c>
      <c r="AG86" s="79">
        <v>2742353</v>
      </c>
      <c r="AH86" s="79">
        <v>46388</v>
      </c>
      <c r="AI86" s="79">
        <v>285</v>
      </c>
      <c r="AJ86" s="79"/>
      <c r="AK86" s="79" t="s">
        <v>1318</v>
      </c>
      <c r="AL86" s="79"/>
      <c r="AM86" s="86" t="str">
        <f>HYPERLINK("https://t.co/hPSa30QMTf")</f>
        <v>https://t.co/hPSa30QMTf</v>
      </c>
      <c r="AN86" s="79"/>
      <c r="AO86" s="81">
        <v>39429.71922453704</v>
      </c>
      <c r="AP86" s="86" t="str">
        <f>HYPERLINK("https://pbs.twimg.com/profile_banners/11134252/1630094486")</f>
        <v>https://pbs.twimg.com/profile_banners/11134252/1630094486</v>
      </c>
      <c r="AQ86" s="79" t="b">
        <v>0</v>
      </c>
      <c r="AR86" s="79" t="b">
        <v>0</v>
      </c>
      <c r="AS86" s="79" t="b">
        <v>0</v>
      </c>
      <c r="AT86" s="79"/>
      <c r="AU86" s="79">
        <v>11333</v>
      </c>
      <c r="AV86" s="86" t="str">
        <f>HYPERLINK("https://abs.twimg.com/images/themes/theme1/bg.png")</f>
        <v>https://abs.twimg.com/images/themes/theme1/bg.png</v>
      </c>
      <c r="AW86" s="79" t="b">
        <v>1</v>
      </c>
      <c r="AX86" s="79" t="s">
        <v>1458</v>
      </c>
      <c r="AY86" s="86" t="str">
        <f>HYPERLINK("https://twitter.com/gop")</f>
        <v>https://twitter.com/gop</v>
      </c>
      <c r="AZ86" s="79" t="s">
        <v>65</v>
      </c>
      <c r="BA86" s="79" t="str">
        <f>REPLACE(INDEX(GroupVertices[Group],MATCH(Vertices[[#This Row],[Vertex]],GroupVertices[Vertex],0)),1,1,"")</f>
        <v>9</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375</v>
      </c>
      <c r="B87" s="66"/>
      <c r="C87" s="66"/>
      <c r="D87" s="67">
        <v>100</v>
      </c>
      <c r="E87" s="69"/>
      <c r="F87" s="103" t="str">
        <f>HYPERLINK("https://pbs.twimg.com/profile_images/1380530524779859970/TfwVAbyX_normal.jpg")</f>
        <v>https://pbs.twimg.com/profile_images/1380530524779859970/TfwVAbyX_normal.jpg</v>
      </c>
      <c r="G87" s="66"/>
      <c r="H87" s="70" t="s">
        <v>375</v>
      </c>
      <c r="I87" s="71"/>
      <c r="J87" s="71" t="s">
        <v>159</v>
      </c>
      <c r="K87" s="70" t="s">
        <v>1542</v>
      </c>
      <c r="L87" s="74">
        <v>1</v>
      </c>
      <c r="M87" s="75">
        <v>8242.7841796875</v>
      </c>
      <c r="N87" s="75">
        <v>7289.8173828125</v>
      </c>
      <c r="O87" s="76"/>
      <c r="P87" s="77"/>
      <c r="Q87" s="77"/>
      <c r="R87" s="89"/>
      <c r="S87" s="49">
        <v>1</v>
      </c>
      <c r="T87" s="49">
        <v>0</v>
      </c>
      <c r="U87" s="50">
        <v>0</v>
      </c>
      <c r="V87" s="50">
        <v>0.111111</v>
      </c>
      <c r="W87" s="50">
        <v>0</v>
      </c>
      <c r="X87" s="50">
        <v>0.63243</v>
      </c>
      <c r="Y87" s="50">
        <v>0</v>
      </c>
      <c r="Z87" s="50">
        <v>0</v>
      </c>
      <c r="AA87" s="72">
        <v>87</v>
      </c>
      <c r="AB87" s="72"/>
      <c r="AC87" s="73"/>
      <c r="AD87" s="79" t="s">
        <v>1011</v>
      </c>
      <c r="AE87" s="84" t="s">
        <v>876</v>
      </c>
      <c r="AF87" s="79">
        <v>12</v>
      </c>
      <c r="AG87" s="79">
        <v>14122855</v>
      </c>
      <c r="AH87" s="79">
        <v>1552</v>
      </c>
      <c r="AI87" s="79">
        <v>0</v>
      </c>
      <c r="AJ87" s="79"/>
      <c r="AK87" s="79" t="s">
        <v>1319</v>
      </c>
      <c r="AL87" s="79"/>
      <c r="AM87" s="86" t="str">
        <f>HYPERLINK("https://t.co/IxLjEB2zlE")</f>
        <v>https://t.co/IxLjEB2zlE</v>
      </c>
      <c r="AN87" s="79"/>
      <c r="AO87" s="81">
        <v>44209.02578703704</v>
      </c>
      <c r="AP87" s="86" t="str">
        <f>HYPERLINK("https://pbs.twimg.com/profile_banners/1349149096909668363/1628476962")</f>
        <v>https://pbs.twimg.com/profile_banners/1349149096909668363/1628476962</v>
      </c>
      <c r="AQ87" s="79" t="b">
        <v>1</v>
      </c>
      <c r="AR87" s="79" t="b">
        <v>0</v>
      </c>
      <c r="AS87" s="79" t="b">
        <v>0</v>
      </c>
      <c r="AT87" s="79"/>
      <c r="AU87" s="79">
        <v>13498</v>
      </c>
      <c r="AV87" s="79"/>
      <c r="AW87" s="79" t="b">
        <v>1</v>
      </c>
      <c r="AX87" s="79" t="s">
        <v>1458</v>
      </c>
      <c r="AY87" s="86" t="str">
        <f>HYPERLINK("https://twitter.com/potus")</f>
        <v>https://twitter.com/potus</v>
      </c>
      <c r="AZ87" s="79" t="s">
        <v>65</v>
      </c>
      <c r="BA87" s="79" t="str">
        <f>REPLACE(INDEX(GroupVertices[Group],MATCH(Vertices[[#This Row],[Vertex]],GroupVertices[Vertex],0)),1,1,"")</f>
        <v>9</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281</v>
      </c>
      <c r="B88" s="66"/>
      <c r="C88" s="66"/>
      <c r="D88" s="67">
        <v>100</v>
      </c>
      <c r="E88" s="69"/>
      <c r="F88" s="103" t="str">
        <f>HYPERLINK("https://pbs.twimg.com/profile_images/1424789980052922376/yN99MJcb_normal.jpg")</f>
        <v>https://pbs.twimg.com/profile_images/1424789980052922376/yN99MJcb_normal.jpg</v>
      </c>
      <c r="G88" s="66"/>
      <c r="H88" s="70" t="s">
        <v>281</v>
      </c>
      <c r="I88" s="71"/>
      <c r="J88" s="71" t="s">
        <v>159</v>
      </c>
      <c r="K88" s="70" t="s">
        <v>1543</v>
      </c>
      <c r="L88" s="74">
        <v>1</v>
      </c>
      <c r="M88" s="75">
        <v>381.2752685546875</v>
      </c>
      <c r="N88" s="75">
        <v>6156.728515625</v>
      </c>
      <c r="O88" s="76"/>
      <c r="P88" s="77"/>
      <c r="Q88" s="77"/>
      <c r="R88" s="89"/>
      <c r="S88" s="49">
        <v>0</v>
      </c>
      <c r="T88" s="49">
        <v>1</v>
      </c>
      <c r="U88" s="50">
        <v>0</v>
      </c>
      <c r="V88" s="50">
        <v>0.014085</v>
      </c>
      <c r="W88" s="50">
        <v>0</v>
      </c>
      <c r="X88" s="50">
        <v>0.547336</v>
      </c>
      <c r="Y88" s="50">
        <v>0</v>
      </c>
      <c r="Z88" s="50">
        <v>0</v>
      </c>
      <c r="AA88" s="72">
        <v>88</v>
      </c>
      <c r="AB88" s="72"/>
      <c r="AC88" s="73"/>
      <c r="AD88" s="79" t="s">
        <v>1012</v>
      </c>
      <c r="AE88" s="84" t="s">
        <v>1172</v>
      </c>
      <c r="AF88" s="79">
        <v>270</v>
      </c>
      <c r="AG88" s="79">
        <v>375</v>
      </c>
      <c r="AH88" s="79">
        <v>25641</v>
      </c>
      <c r="AI88" s="79">
        <v>4672</v>
      </c>
      <c r="AJ88" s="79"/>
      <c r="AK88" s="79" t="s">
        <v>1320</v>
      </c>
      <c r="AL88" s="79" t="s">
        <v>1425</v>
      </c>
      <c r="AM88" s="79"/>
      <c r="AN88" s="79"/>
      <c r="AO88" s="81">
        <v>40683.8915625</v>
      </c>
      <c r="AP88" s="86" t="str">
        <f>HYPERLINK("https://pbs.twimg.com/profile_banners/302247529/1598828117")</f>
        <v>https://pbs.twimg.com/profile_banners/302247529/1598828117</v>
      </c>
      <c r="AQ88" s="79" t="b">
        <v>1</v>
      </c>
      <c r="AR88" s="79" t="b">
        <v>0</v>
      </c>
      <c r="AS88" s="79" t="b">
        <v>1</v>
      </c>
      <c r="AT88" s="79"/>
      <c r="AU88" s="79">
        <v>3</v>
      </c>
      <c r="AV88" s="86" t="str">
        <f>HYPERLINK("https://abs.twimg.com/images/themes/theme1/bg.png")</f>
        <v>https://abs.twimg.com/images/themes/theme1/bg.png</v>
      </c>
      <c r="AW88" s="79" t="b">
        <v>0</v>
      </c>
      <c r="AX88" s="79" t="s">
        <v>1458</v>
      </c>
      <c r="AY88" s="86" t="str">
        <f>HYPERLINK("https://twitter.com/irvin_212")</f>
        <v>https://twitter.com/irvin_212</v>
      </c>
      <c r="AZ88" s="79" t="s">
        <v>66</v>
      </c>
      <c r="BA88" s="79" t="str">
        <f>REPLACE(INDEX(GroupVertices[Group],MATCH(Vertices[[#This Row],[Vertex]],GroupVertices[Vertex],0)),1,1,"")</f>
        <v>1</v>
      </c>
      <c r="BB88" s="49">
        <v>0</v>
      </c>
      <c r="BC88" s="50">
        <v>0</v>
      </c>
      <c r="BD88" s="49">
        <v>0</v>
      </c>
      <c r="BE88" s="50">
        <v>0</v>
      </c>
      <c r="BF88" s="49">
        <v>0</v>
      </c>
      <c r="BG88" s="50">
        <v>0</v>
      </c>
      <c r="BH88" s="49">
        <v>38</v>
      </c>
      <c r="BI88" s="50">
        <v>100</v>
      </c>
      <c r="BJ88" s="49">
        <v>38</v>
      </c>
      <c r="BK88" s="49"/>
      <c r="BL88" s="49"/>
      <c r="BM88" s="49"/>
      <c r="BN88" s="49"/>
      <c r="BO88" s="49" t="s">
        <v>498</v>
      </c>
      <c r="BP88" s="49" t="s">
        <v>498</v>
      </c>
      <c r="BQ88" s="115" t="s">
        <v>2277</v>
      </c>
      <c r="BR88" s="115" t="s">
        <v>2277</v>
      </c>
      <c r="BS88" s="115" t="s">
        <v>2392</v>
      </c>
      <c r="BT88" s="115" t="s">
        <v>2392</v>
      </c>
      <c r="BU88" s="2"/>
      <c r="BV88" s="3"/>
      <c r="BW88" s="3"/>
      <c r="BX88" s="3"/>
      <c r="BY88" s="3"/>
    </row>
    <row r="89" spans="1:77" ht="15">
      <c r="A89" s="65" t="s">
        <v>332</v>
      </c>
      <c r="B89" s="66"/>
      <c r="C89" s="66"/>
      <c r="D89" s="67">
        <v>1000</v>
      </c>
      <c r="E89" s="69"/>
      <c r="F89" s="103" t="str">
        <f>HYPERLINK("https://pbs.twimg.com/profile_images/1414508641462329346/QPL3mGvC_normal.jpg")</f>
        <v>https://pbs.twimg.com/profile_images/1414508641462329346/QPL3mGvC_normal.jpg</v>
      </c>
      <c r="G89" s="66"/>
      <c r="H89" s="70" t="s">
        <v>332</v>
      </c>
      <c r="I89" s="71"/>
      <c r="J89" s="71" t="s">
        <v>75</v>
      </c>
      <c r="K89" s="70" t="s">
        <v>1544</v>
      </c>
      <c r="L89" s="74">
        <v>9999</v>
      </c>
      <c r="M89" s="75">
        <v>1977.960205078125</v>
      </c>
      <c r="N89" s="75">
        <v>6964.98193359375</v>
      </c>
      <c r="O89" s="76"/>
      <c r="P89" s="77"/>
      <c r="Q89" s="77"/>
      <c r="R89" s="89"/>
      <c r="S89" s="49">
        <v>37</v>
      </c>
      <c r="T89" s="49">
        <v>1</v>
      </c>
      <c r="U89" s="50">
        <v>1260</v>
      </c>
      <c r="V89" s="50">
        <v>0.027778</v>
      </c>
      <c r="W89" s="50">
        <v>1E-06</v>
      </c>
      <c r="X89" s="50">
        <v>17.2958</v>
      </c>
      <c r="Y89" s="50">
        <v>0</v>
      </c>
      <c r="Z89" s="50">
        <v>0</v>
      </c>
      <c r="AA89" s="72">
        <v>89</v>
      </c>
      <c r="AB89" s="72"/>
      <c r="AC89" s="73"/>
      <c r="AD89" s="79" t="s">
        <v>1013</v>
      </c>
      <c r="AE89" s="84" t="s">
        <v>1173</v>
      </c>
      <c r="AF89" s="79">
        <v>863</v>
      </c>
      <c r="AG89" s="79">
        <v>35343</v>
      </c>
      <c r="AH89" s="79">
        <v>48062</v>
      </c>
      <c r="AI89" s="79">
        <v>42191</v>
      </c>
      <c r="AJ89" s="79"/>
      <c r="AK89" s="79" t="s">
        <v>1321</v>
      </c>
      <c r="AL89" s="79" t="s">
        <v>1426</v>
      </c>
      <c r="AM89" s="86" t="str">
        <f>HYPERLINK("https://t.co/FAr4tyGVzR")</f>
        <v>https://t.co/FAr4tyGVzR</v>
      </c>
      <c r="AN89" s="79"/>
      <c r="AO89" s="81">
        <v>40202.38927083334</v>
      </c>
      <c r="AP89" s="86" t="str">
        <f>HYPERLINK("https://pbs.twimg.com/profile_banners/107956904/1632173734")</f>
        <v>https://pbs.twimg.com/profile_banners/107956904/1632173734</v>
      </c>
      <c r="AQ89" s="79" t="b">
        <v>0</v>
      </c>
      <c r="AR89" s="79" t="b">
        <v>0</v>
      </c>
      <c r="AS89" s="79" t="b">
        <v>1</v>
      </c>
      <c r="AT89" s="79"/>
      <c r="AU89" s="79">
        <v>161</v>
      </c>
      <c r="AV89" s="86" t="str">
        <f>HYPERLINK("https://abs.twimg.com/images/themes/theme14/bg.gif")</f>
        <v>https://abs.twimg.com/images/themes/theme14/bg.gif</v>
      </c>
      <c r="AW89" s="79" t="b">
        <v>0</v>
      </c>
      <c r="AX89" s="79" t="s">
        <v>1458</v>
      </c>
      <c r="AY89" s="86" t="str">
        <f>HYPERLINK("https://twitter.com/nelvaldez")</f>
        <v>https://twitter.com/nelvaldez</v>
      </c>
      <c r="AZ89" s="79" t="s">
        <v>66</v>
      </c>
      <c r="BA89" s="79" t="str">
        <f>REPLACE(INDEX(GroupVertices[Group],MATCH(Vertices[[#This Row],[Vertex]],GroupVertices[Vertex],0)),1,1,"")</f>
        <v>1</v>
      </c>
      <c r="BB89" s="49">
        <v>0</v>
      </c>
      <c r="BC89" s="50">
        <v>0</v>
      </c>
      <c r="BD89" s="49">
        <v>0</v>
      </c>
      <c r="BE89" s="50">
        <v>0</v>
      </c>
      <c r="BF89" s="49">
        <v>0</v>
      </c>
      <c r="BG89" s="50">
        <v>0</v>
      </c>
      <c r="BH89" s="49">
        <v>38</v>
      </c>
      <c r="BI89" s="50">
        <v>100</v>
      </c>
      <c r="BJ89" s="49">
        <v>38</v>
      </c>
      <c r="BK89" s="49"/>
      <c r="BL89" s="49"/>
      <c r="BM89" s="49"/>
      <c r="BN89" s="49"/>
      <c r="BO89" s="49" t="s">
        <v>498</v>
      </c>
      <c r="BP89" s="49" t="s">
        <v>498</v>
      </c>
      <c r="BQ89" s="115" t="s">
        <v>2277</v>
      </c>
      <c r="BR89" s="115" t="s">
        <v>2277</v>
      </c>
      <c r="BS89" s="115" t="s">
        <v>2392</v>
      </c>
      <c r="BT89" s="115" t="s">
        <v>2392</v>
      </c>
      <c r="BU89" s="2"/>
      <c r="BV89" s="3"/>
      <c r="BW89" s="3"/>
      <c r="BX89" s="3"/>
      <c r="BY89" s="3"/>
    </row>
    <row r="90" spans="1:77" ht="15">
      <c r="A90" s="65" t="s">
        <v>282</v>
      </c>
      <c r="B90" s="66"/>
      <c r="C90" s="66"/>
      <c r="D90" s="67">
        <v>100</v>
      </c>
      <c r="E90" s="69"/>
      <c r="F90" s="103" t="str">
        <f>HYPERLINK("https://pbs.twimg.com/profile_images/1434696118231867392/FCpeuYDL_normal.jpg")</f>
        <v>https://pbs.twimg.com/profile_images/1434696118231867392/FCpeuYDL_normal.jpg</v>
      </c>
      <c r="G90" s="66"/>
      <c r="H90" s="70" t="s">
        <v>282</v>
      </c>
      <c r="I90" s="71"/>
      <c r="J90" s="71" t="s">
        <v>159</v>
      </c>
      <c r="K90" s="70" t="s">
        <v>1545</v>
      </c>
      <c r="L90" s="74">
        <v>1</v>
      </c>
      <c r="M90" s="75">
        <v>5334.662109375</v>
      </c>
      <c r="N90" s="75">
        <v>3112.654052734375</v>
      </c>
      <c r="O90" s="76"/>
      <c r="P90" s="77"/>
      <c r="Q90" s="77"/>
      <c r="R90" s="89"/>
      <c r="S90" s="49">
        <v>0</v>
      </c>
      <c r="T90" s="49">
        <v>2</v>
      </c>
      <c r="U90" s="50">
        <v>0</v>
      </c>
      <c r="V90" s="50">
        <v>0.125</v>
      </c>
      <c r="W90" s="50">
        <v>0</v>
      </c>
      <c r="X90" s="50">
        <v>0.726067</v>
      </c>
      <c r="Y90" s="50">
        <v>0.5</v>
      </c>
      <c r="Z90" s="50">
        <v>0</v>
      </c>
      <c r="AA90" s="72">
        <v>90</v>
      </c>
      <c r="AB90" s="72"/>
      <c r="AC90" s="73"/>
      <c r="AD90" s="79" t="s">
        <v>1014</v>
      </c>
      <c r="AE90" s="84" t="s">
        <v>1174</v>
      </c>
      <c r="AF90" s="79">
        <v>1824</v>
      </c>
      <c r="AG90" s="79">
        <v>5355</v>
      </c>
      <c r="AH90" s="79">
        <v>37566</v>
      </c>
      <c r="AI90" s="79">
        <v>35068</v>
      </c>
      <c r="AJ90" s="79"/>
      <c r="AK90" s="79" t="s">
        <v>1322</v>
      </c>
      <c r="AL90" s="79"/>
      <c r="AM90" s="79"/>
      <c r="AN90" s="79"/>
      <c r="AO90" s="81">
        <v>41047.02017361111</v>
      </c>
      <c r="AP90" s="86" t="str">
        <f>HYPERLINK("https://pbs.twimg.com/profile_banners/583304215/1630952946")</f>
        <v>https://pbs.twimg.com/profile_banners/583304215/1630952946</v>
      </c>
      <c r="AQ90" s="79" t="b">
        <v>0</v>
      </c>
      <c r="AR90" s="79" t="b">
        <v>0</v>
      </c>
      <c r="AS90" s="79" t="b">
        <v>1</v>
      </c>
      <c r="AT90" s="79"/>
      <c r="AU90" s="79">
        <v>56</v>
      </c>
      <c r="AV90" s="86" t="str">
        <f>HYPERLINK("https://abs.twimg.com/images/themes/theme6/bg.gif")</f>
        <v>https://abs.twimg.com/images/themes/theme6/bg.gif</v>
      </c>
      <c r="AW90" s="79" t="b">
        <v>0</v>
      </c>
      <c r="AX90" s="79" t="s">
        <v>1458</v>
      </c>
      <c r="AY90" s="86" t="str">
        <f>HYPERLINK("https://twitter.com/prensagiff")</f>
        <v>https://twitter.com/prensagiff</v>
      </c>
      <c r="AZ90" s="79" t="s">
        <v>66</v>
      </c>
      <c r="BA90" s="79" t="str">
        <f>REPLACE(INDEX(GroupVertices[Group],MATCH(Vertices[[#This Row],[Vertex]],GroupVertices[Vertex],0)),1,1,"")</f>
        <v>7</v>
      </c>
      <c r="BB90" s="49">
        <v>0</v>
      </c>
      <c r="BC90" s="50">
        <v>0</v>
      </c>
      <c r="BD90" s="49">
        <v>0</v>
      </c>
      <c r="BE90" s="50">
        <v>0</v>
      </c>
      <c r="BF90" s="49">
        <v>0</v>
      </c>
      <c r="BG90" s="50">
        <v>0</v>
      </c>
      <c r="BH90" s="49">
        <v>22</v>
      </c>
      <c r="BI90" s="50">
        <v>100</v>
      </c>
      <c r="BJ90" s="49">
        <v>22</v>
      </c>
      <c r="BK90" s="49"/>
      <c r="BL90" s="49"/>
      <c r="BM90" s="49"/>
      <c r="BN90" s="49"/>
      <c r="BO90" s="49" t="s">
        <v>499</v>
      </c>
      <c r="BP90" s="49" t="s">
        <v>499</v>
      </c>
      <c r="BQ90" s="115" t="s">
        <v>2555</v>
      </c>
      <c r="BR90" s="115" t="s">
        <v>2555</v>
      </c>
      <c r="BS90" s="115" t="s">
        <v>2604</v>
      </c>
      <c r="BT90" s="115" t="s">
        <v>2604</v>
      </c>
      <c r="BU90" s="2"/>
      <c r="BV90" s="3"/>
      <c r="BW90" s="3"/>
      <c r="BX90" s="3"/>
      <c r="BY90" s="3"/>
    </row>
    <row r="91" spans="1:77" ht="15">
      <c r="A91" s="65" t="s">
        <v>376</v>
      </c>
      <c r="B91" s="66"/>
      <c r="C91" s="66"/>
      <c r="D91" s="67">
        <v>118.62068965517241</v>
      </c>
      <c r="E91" s="69"/>
      <c r="F91" s="103" t="str">
        <f>HYPERLINK("https://pbs.twimg.com/profile_images/1438323827327389698/HCEpObpc_normal.jpg")</f>
        <v>https://pbs.twimg.com/profile_images/1438323827327389698/HCEpObpc_normal.jpg</v>
      </c>
      <c r="G91" s="66"/>
      <c r="H91" s="70" t="s">
        <v>376</v>
      </c>
      <c r="I91" s="71"/>
      <c r="J91" s="71" t="s">
        <v>75</v>
      </c>
      <c r="K91" s="70" t="s">
        <v>1546</v>
      </c>
      <c r="L91" s="74">
        <v>24.804761904761904</v>
      </c>
      <c r="M91" s="75">
        <v>4624.666015625</v>
      </c>
      <c r="N91" s="75">
        <v>3294.987548828125</v>
      </c>
      <c r="O91" s="76"/>
      <c r="P91" s="77"/>
      <c r="Q91" s="77"/>
      <c r="R91" s="89"/>
      <c r="S91" s="49">
        <v>4</v>
      </c>
      <c r="T91" s="49">
        <v>0</v>
      </c>
      <c r="U91" s="50">
        <v>3</v>
      </c>
      <c r="V91" s="50">
        <v>0.166667</v>
      </c>
      <c r="W91" s="50">
        <v>0</v>
      </c>
      <c r="X91" s="50">
        <v>1.362311</v>
      </c>
      <c r="Y91" s="50">
        <v>0.25</v>
      </c>
      <c r="Z91" s="50">
        <v>0</v>
      </c>
      <c r="AA91" s="72">
        <v>91</v>
      </c>
      <c r="AB91" s="72"/>
      <c r="AC91" s="73"/>
      <c r="AD91" s="79" t="s">
        <v>1015</v>
      </c>
      <c r="AE91" s="84" t="s">
        <v>1175</v>
      </c>
      <c r="AF91" s="79">
        <v>1144</v>
      </c>
      <c r="AG91" s="79">
        <v>63687</v>
      </c>
      <c r="AH91" s="79">
        <v>40681</v>
      </c>
      <c r="AI91" s="79">
        <v>30284</v>
      </c>
      <c r="AJ91" s="79"/>
      <c r="AK91" s="79" t="s">
        <v>1323</v>
      </c>
      <c r="AL91" s="79" t="s">
        <v>1427</v>
      </c>
      <c r="AM91" s="86" t="str">
        <f>HYPERLINK("https://t.co/iMe8bqgbfr")</f>
        <v>https://t.co/iMe8bqgbfr</v>
      </c>
      <c r="AN91" s="79"/>
      <c r="AO91" s="81">
        <v>39972.66575231482</v>
      </c>
      <c r="AP91" s="86" t="str">
        <f>HYPERLINK("https://pbs.twimg.com/profile_banners/45596706/1630939035")</f>
        <v>https://pbs.twimg.com/profile_banners/45596706/1630939035</v>
      </c>
      <c r="AQ91" s="79" t="b">
        <v>0</v>
      </c>
      <c r="AR91" s="79" t="b">
        <v>0</v>
      </c>
      <c r="AS91" s="79" t="b">
        <v>1</v>
      </c>
      <c r="AT91" s="79"/>
      <c r="AU91" s="79">
        <v>618</v>
      </c>
      <c r="AV91" s="86" t="str">
        <f>HYPERLINK("https://abs.twimg.com/images/themes/theme9/bg.gif")</f>
        <v>https://abs.twimg.com/images/themes/theme9/bg.gif</v>
      </c>
      <c r="AW91" s="79" t="b">
        <v>1</v>
      </c>
      <c r="AX91" s="79" t="s">
        <v>1458</v>
      </c>
      <c r="AY91" s="86" t="str">
        <f>HYPERLINK("https://twitter.com/giffmx")</f>
        <v>https://twitter.com/giffmx</v>
      </c>
      <c r="AZ91" s="79" t="s">
        <v>65</v>
      </c>
      <c r="BA91" s="79" t="str">
        <f>REPLACE(INDEX(GroupVertices[Group],MATCH(Vertices[[#This Row],[Vertex]],GroupVertices[Vertex],0)),1,1,"")</f>
        <v>7</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5" t="s">
        <v>355</v>
      </c>
      <c r="B92" s="66"/>
      <c r="C92" s="66"/>
      <c r="D92" s="67">
        <v>168.27586206896552</v>
      </c>
      <c r="E92" s="69"/>
      <c r="F92" s="103" t="str">
        <f>HYPERLINK("https://pbs.twimg.com/profile_images/1434562316260020227/iFWiRrk1_normal.jpg")</f>
        <v>https://pbs.twimg.com/profile_images/1434562316260020227/iFWiRrk1_normal.jpg</v>
      </c>
      <c r="G92" s="66"/>
      <c r="H92" s="70" t="s">
        <v>355</v>
      </c>
      <c r="I92" s="71"/>
      <c r="J92" s="71" t="s">
        <v>75</v>
      </c>
      <c r="K92" s="70" t="s">
        <v>1547</v>
      </c>
      <c r="L92" s="74">
        <v>88.28412698412698</v>
      </c>
      <c r="M92" s="75">
        <v>4615.8828125</v>
      </c>
      <c r="N92" s="75">
        <v>2770.7841796875</v>
      </c>
      <c r="O92" s="76"/>
      <c r="P92" s="77"/>
      <c r="Q92" s="77"/>
      <c r="R92" s="89"/>
      <c r="S92" s="49">
        <v>4</v>
      </c>
      <c r="T92" s="49">
        <v>3</v>
      </c>
      <c r="U92" s="50">
        <v>11</v>
      </c>
      <c r="V92" s="50">
        <v>0.2</v>
      </c>
      <c r="W92" s="50">
        <v>0</v>
      </c>
      <c r="X92" s="50">
        <v>2.022892</v>
      </c>
      <c r="Y92" s="50">
        <v>0.15</v>
      </c>
      <c r="Z92" s="50">
        <v>0</v>
      </c>
      <c r="AA92" s="72">
        <v>92</v>
      </c>
      <c r="AB92" s="72"/>
      <c r="AC92" s="73"/>
      <c r="AD92" s="79" t="s">
        <v>1016</v>
      </c>
      <c r="AE92" s="84" t="s">
        <v>1176</v>
      </c>
      <c r="AF92" s="79">
        <v>39</v>
      </c>
      <c r="AG92" s="79">
        <v>8</v>
      </c>
      <c r="AH92" s="79">
        <v>24</v>
      </c>
      <c r="AI92" s="79">
        <v>6</v>
      </c>
      <c r="AJ92" s="79"/>
      <c r="AK92" s="79" t="s">
        <v>1324</v>
      </c>
      <c r="AL92" s="79"/>
      <c r="AM92" s="79"/>
      <c r="AN92" s="79"/>
      <c r="AO92" s="81">
        <v>44444.69238425926</v>
      </c>
      <c r="AP92" s="86" t="str">
        <f>HYPERLINK("https://pbs.twimg.com/profile_banners/1434556024187457539/1630870654")</f>
        <v>https://pbs.twimg.com/profile_banners/1434556024187457539/1630870654</v>
      </c>
      <c r="AQ92" s="79" t="b">
        <v>1</v>
      </c>
      <c r="AR92" s="79" t="b">
        <v>0</v>
      </c>
      <c r="AS92" s="79" t="b">
        <v>0</v>
      </c>
      <c r="AT92" s="79"/>
      <c r="AU92" s="79">
        <v>0</v>
      </c>
      <c r="AV92" s="79"/>
      <c r="AW92" s="79" t="b">
        <v>0</v>
      </c>
      <c r="AX92" s="79" t="s">
        <v>1458</v>
      </c>
      <c r="AY92" s="86" t="str">
        <f>HYPERLINK("https://twitter.com/doculqqeec")</f>
        <v>https://twitter.com/doculqqeec</v>
      </c>
      <c r="AZ92" s="79" t="s">
        <v>66</v>
      </c>
      <c r="BA92" s="79" t="str">
        <f>REPLACE(INDEX(GroupVertices[Group],MATCH(Vertices[[#This Row],[Vertex]],GroupVertices[Vertex],0)),1,1,"")</f>
        <v>7</v>
      </c>
      <c r="BB92" s="49">
        <v>1</v>
      </c>
      <c r="BC92" s="50">
        <v>0.8064516129032258</v>
      </c>
      <c r="BD92" s="49">
        <v>0</v>
      </c>
      <c r="BE92" s="50">
        <v>0</v>
      </c>
      <c r="BF92" s="49">
        <v>0</v>
      </c>
      <c r="BG92" s="50">
        <v>0</v>
      </c>
      <c r="BH92" s="49">
        <v>123</v>
      </c>
      <c r="BI92" s="50">
        <v>99.19354838709677</v>
      </c>
      <c r="BJ92" s="49">
        <v>124</v>
      </c>
      <c r="BK92" s="49" t="s">
        <v>2192</v>
      </c>
      <c r="BL92" s="49" t="s">
        <v>2192</v>
      </c>
      <c r="BM92" s="49" t="s">
        <v>2216</v>
      </c>
      <c r="BN92" s="49" t="s">
        <v>2216</v>
      </c>
      <c r="BO92" s="49" t="s">
        <v>2258</v>
      </c>
      <c r="BP92" s="49" t="s">
        <v>2517</v>
      </c>
      <c r="BQ92" s="115" t="s">
        <v>2556</v>
      </c>
      <c r="BR92" s="115" t="s">
        <v>2577</v>
      </c>
      <c r="BS92" s="115" t="s">
        <v>2605</v>
      </c>
      <c r="BT92" s="115" t="s">
        <v>2618</v>
      </c>
      <c r="BU92" s="2"/>
      <c r="BV92" s="3"/>
      <c r="BW92" s="3"/>
      <c r="BX92" s="3"/>
      <c r="BY92" s="3"/>
    </row>
    <row r="93" spans="1:77" ht="15">
      <c r="A93" s="65" t="s">
        <v>283</v>
      </c>
      <c r="B93" s="66"/>
      <c r="C93" s="66"/>
      <c r="D93" s="67">
        <v>100</v>
      </c>
      <c r="E93" s="69"/>
      <c r="F93" s="103" t="str">
        <f>HYPERLINK("https://pbs.twimg.com/profile_images/378800000639871055/2311a3ea425d7e1e68544c356339a8a5_normal.jpeg")</f>
        <v>https://pbs.twimg.com/profile_images/378800000639871055/2311a3ea425d7e1e68544c356339a8a5_normal.jpeg</v>
      </c>
      <c r="G93" s="66"/>
      <c r="H93" s="70" t="s">
        <v>283</v>
      </c>
      <c r="I93" s="71"/>
      <c r="J93" s="71" t="s">
        <v>159</v>
      </c>
      <c r="K93" s="70" t="s">
        <v>1548</v>
      </c>
      <c r="L93" s="74">
        <v>1</v>
      </c>
      <c r="M93" s="75">
        <v>896.687255859375</v>
      </c>
      <c r="N93" s="75">
        <v>4799.39892578125</v>
      </c>
      <c r="O93" s="76"/>
      <c r="P93" s="77"/>
      <c r="Q93" s="77"/>
      <c r="R93" s="89"/>
      <c r="S93" s="49">
        <v>0</v>
      </c>
      <c r="T93" s="49">
        <v>1</v>
      </c>
      <c r="U93" s="50">
        <v>0</v>
      </c>
      <c r="V93" s="50">
        <v>0.014085</v>
      </c>
      <c r="W93" s="50">
        <v>0</v>
      </c>
      <c r="X93" s="50">
        <v>0.547336</v>
      </c>
      <c r="Y93" s="50">
        <v>0</v>
      </c>
      <c r="Z93" s="50">
        <v>0</v>
      </c>
      <c r="AA93" s="72">
        <v>93</v>
      </c>
      <c r="AB93" s="72"/>
      <c r="AC93" s="73"/>
      <c r="AD93" s="79" t="s">
        <v>1017</v>
      </c>
      <c r="AE93" s="84" t="s">
        <v>1177</v>
      </c>
      <c r="AF93" s="79">
        <v>592</v>
      </c>
      <c r="AG93" s="79">
        <v>75</v>
      </c>
      <c r="AH93" s="79">
        <v>2411</v>
      </c>
      <c r="AI93" s="79">
        <v>3292</v>
      </c>
      <c r="AJ93" s="79"/>
      <c r="AK93" s="79" t="s">
        <v>1325</v>
      </c>
      <c r="AL93" s="79" t="s">
        <v>899</v>
      </c>
      <c r="AM93" s="79"/>
      <c r="AN93" s="79"/>
      <c r="AO93" s="81">
        <v>40630.18167824074</v>
      </c>
      <c r="AP93" s="86" t="str">
        <f>HYPERLINK("https://pbs.twimg.com/profile_banners/273262319/1400643842")</f>
        <v>https://pbs.twimg.com/profile_banners/273262319/1400643842</v>
      </c>
      <c r="AQ93" s="79" t="b">
        <v>1</v>
      </c>
      <c r="AR93" s="79" t="b">
        <v>0</v>
      </c>
      <c r="AS93" s="79" t="b">
        <v>1</v>
      </c>
      <c r="AT93" s="79"/>
      <c r="AU93" s="79">
        <v>2</v>
      </c>
      <c r="AV93" s="86" t="str">
        <f>HYPERLINK("https://abs.twimg.com/images/themes/theme1/bg.png")</f>
        <v>https://abs.twimg.com/images/themes/theme1/bg.png</v>
      </c>
      <c r="AW93" s="79" t="b">
        <v>0</v>
      </c>
      <c r="AX93" s="79" t="s">
        <v>1458</v>
      </c>
      <c r="AY93" s="86" t="str">
        <f>HYPERLINK("https://twitter.com/est_bian")</f>
        <v>https://twitter.com/est_bian</v>
      </c>
      <c r="AZ93" s="79" t="s">
        <v>66</v>
      </c>
      <c r="BA93" s="79" t="str">
        <f>REPLACE(INDEX(GroupVertices[Group],MATCH(Vertices[[#This Row],[Vertex]],GroupVertices[Vertex],0)),1,1,"")</f>
        <v>1</v>
      </c>
      <c r="BB93" s="49">
        <v>0</v>
      </c>
      <c r="BC93" s="50">
        <v>0</v>
      </c>
      <c r="BD93" s="49">
        <v>0</v>
      </c>
      <c r="BE93" s="50">
        <v>0</v>
      </c>
      <c r="BF93" s="49">
        <v>0</v>
      </c>
      <c r="BG93" s="50">
        <v>0</v>
      </c>
      <c r="BH93" s="49">
        <v>38</v>
      </c>
      <c r="BI93" s="50">
        <v>100</v>
      </c>
      <c r="BJ93" s="49">
        <v>38</v>
      </c>
      <c r="BK93" s="49"/>
      <c r="BL93" s="49"/>
      <c r="BM93" s="49"/>
      <c r="BN93" s="49"/>
      <c r="BO93" s="49" t="s">
        <v>498</v>
      </c>
      <c r="BP93" s="49" t="s">
        <v>498</v>
      </c>
      <c r="BQ93" s="115" t="s">
        <v>2277</v>
      </c>
      <c r="BR93" s="115" t="s">
        <v>2277</v>
      </c>
      <c r="BS93" s="115" t="s">
        <v>2392</v>
      </c>
      <c r="BT93" s="115" t="s">
        <v>2392</v>
      </c>
      <c r="BU93" s="2"/>
      <c r="BV93" s="3"/>
      <c r="BW93" s="3"/>
      <c r="BX93" s="3"/>
      <c r="BY93" s="3"/>
    </row>
    <row r="94" spans="1:77" ht="15">
      <c r="A94" s="65" t="s">
        <v>284</v>
      </c>
      <c r="B94" s="66"/>
      <c r="C94" s="66"/>
      <c r="D94" s="67">
        <v>100</v>
      </c>
      <c r="E94" s="69"/>
      <c r="F94" s="103" t="str">
        <f>HYPERLINK("https://pbs.twimg.com/profile_images/378800000125002801/c8d90d2a8639ea2c0ee99afb95eca4fe_normal.jpeg")</f>
        <v>https://pbs.twimg.com/profile_images/378800000125002801/c8d90d2a8639ea2c0ee99afb95eca4fe_normal.jpeg</v>
      </c>
      <c r="G94" s="66"/>
      <c r="H94" s="70" t="s">
        <v>284</v>
      </c>
      <c r="I94" s="71"/>
      <c r="J94" s="71" t="s">
        <v>159</v>
      </c>
      <c r="K94" s="70" t="s">
        <v>1549</v>
      </c>
      <c r="L94" s="74">
        <v>1</v>
      </c>
      <c r="M94" s="75">
        <v>2000.751708984375</v>
      </c>
      <c r="N94" s="75">
        <v>8732.09375</v>
      </c>
      <c r="O94" s="76"/>
      <c r="P94" s="77"/>
      <c r="Q94" s="77"/>
      <c r="R94" s="89"/>
      <c r="S94" s="49">
        <v>0</v>
      </c>
      <c r="T94" s="49">
        <v>1</v>
      </c>
      <c r="U94" s="50">
        <v>0</v>
      </c>
      <c r="V94" s="50">
        <v>0.014085</v>
      </c>
      <c r="W94" s="50">
        <v>0</v>
      </c>
      <c r="X94" s="50">
        <v>0.547336</v>
      </c>
      <c r="Y94" s="50">
        <v>0</v>
      </c>
      <c r="Z94" s="50">
        <v>0</v>
      </c>
      <c r="AA94" s="72">
        <v>94</v>
      </c>
      <c r="AB94" s="72"/>
      <c r="AC94" s="73"/>
      <c r="AD94" s="79" t="s">
        <v>1018</v>
      </c>
      <c r="AE94" s="84" t="s">
        <v>1178</v>
      </c>
      <c r="AF94" s="79">
        <v>497</v>
      </c>
      <c r="AG94" s="79">
        <v>146</v>
      </c>
      <c r="AH94" s="79">
        <v>3372</v>
      </c>
      <c r="AI94" s="79">
        <v>1968</v>
      </c>
      <c r="AJ94" s="79"/>
      <c r="AK94" s="79" t="s">
        <v>1326</v>
      </c>
      <c r="AL94" s="79" t="s">
        <v>1428</v>
      </c>
      <c r="AM94" s="79"/>
      <c r="AN94" s="79"/>
      <c r="AO94" s="81">
        <v>40214.82699074074</v>
      </c>
      <c r="AP94" s="79"/>
      <c r="AQ94" s="79" t="b">
        <v>0</v>
      </c>
      <c r="AR94" s="79" t="b">
        <v>0</v>
      </c>
      <c r="AS94" s="79" t="b">
        <v>1</v>
      </c>
      <c r="AT94" s="79"/>
      <c r="AU94" s="79">
        <v>1</v>
      </c>
      <c r="AV94" s="86" t="str">
        <f>HYPERLINK("https://abs.twimg.com/images/themes/theme15/bg.png")</f>
        <v>https://abs.twimg.com/images/themes/theme15/bg.png</v>
      </c>
      <c r="AW94" s="79" t="b">
        <v>0</v>
      </c>
      <c r="AX94" s="79" t="s">
        <v>1458</v>
      </c>
      <c r="AY94" s="86" t="str">
        <f>HYPERLINK("https://twitter.com/rebekgonzalez")</f>
        <v>https://twitter.com/rebekgonzalez</v>
      </c>
      <c r="AZ94" s="79" t="s">
        <v>66</v>
      </c>
      <c r="BA94" s="79" t="str">
        <f>REPLACE(INDEX(GroupVertices[Group],MATCH(Vertices[[#This Row],[Vertex]],GroupVertices[Vertex],0)),1,1,"")</f>
        <v>1</v>
      </c>
      <c r="BB94" s="49">
        <v>0</v>
      </c>
      <c r="BC94" s="50">
        <v>0</v>
      </c>
      <c r="BD94" s="49">
        <v>0</v>
      </c>
      <c r="BE94" s="50">
        <v>0</v>
      </c>
      <c r="BF94" s="49">
        <v>0</v>
      </c>
      <c r="BG94" s="50">
        <v>0</v>
      </c>
      <c r="BH94" s="49">
        <v>38</v>
      </c>
      <c r="BI94" s="50">
        <v>100</v>
      </c>
      <c r="BJ94" s="49">
        <v>38</v>
      </c>
      <c r="BK94" s="49"/>
      <c r="BL94" s="49"/>
      <c r="BM94" s="49"/>
      <c r="BN94" s="49"/>
      <c r="BO94" s="49" t="s">
        <v>498</v>
      </c>
      <c r="BP94" s="49" t="s">
        <v>498</v>
      </c>
      <c r="BQ94" s="115" t="s">
        <v>2277</v>
      </c>
      <c r="BR94" s="115" t="s">
        <v>2277</v>
      </c>
      <c r="BS94" s="115" t="s">
        <v>2392</v>
      </c>
      <c r="BT94" s="115" t="s">
        <v>2392</v>
      </c>
      <c r="BU94" s="2"/>
      <c r="BV94" s="3"/>
      <c r="BW94" s="3"/>
      <c r="BX94" s="3"/>
      <c r="BY94" s="3"/>
    </row>
    <row r="95" spans="1:77" ht="15">
      <c r="A95" s="65" t="s">
        <v>285</v>
      </c>
      <c r="B95" s="66"/>
      <c r="C95" s="66"/>
      <c r="D95" s="67">
        <v>100</v>
      </c>
      <c r="E95" s="69"/>
      <c r="F95" s="103" t="str">
        <f>HYPERLINK("https://pbs.twimg.com/profile_images/1021432119418146816/ZPWx52ZL_normal.jpg")</f>
        <v>https://pbs.twimg.com/profile_images/1021432119418146816/ZPWx52ZL_normal.jpg</v>
      </c>
      <c r="G95" s="66"/>
      <c r="H95" s="70" t="s">
        <v>285</v>
      </c>
      <c r="I95" s="71"/>
      <c r="J95" s="71" t="s">
        <v>159</v>
      </c>
      <c r="K95" s="70" t="s">
        <v>1550</v>
      </c>
      <c r="L95" s="74">
        <v>1</v>
      </c>
      <c r="M95" s="75">
        <v>1804.2042236328125</v>
      </c>
      <c r="N95" s="75">
        <v>4208.43994140625</v>
      </c>
      <c r="O95" s="76"/>
      <c r="P95" s="77"/>
      <c r="Q95" s="77"/>
      <c r="R95" s="89"/>
      <c r="S95" s="49">
        <v>0</v>
      </c>
      <c r="T95" s="49">
        <v>1</v>
      </c>
      <c r="U95" s="50">
        <v>0</v>
      </c>
      <c r="V95" s="50">
        <v>0.014085</v>
      </c>
      <c r="W95" s="50">
        <v>0</v>
      </c>
      <c r="X95" s="50">
        <v>0.547336</v>
      </c>
      <c r="Y95" s="50">
        <v>0</v>
      </c>
      <c r="Z95" s="50">
        <v>0</v>
      </c>
      <c r="AA95" s="72">
        <v>95</v>
      </c>
      <c r="AB95" s="72"/>
      <c r="AC95" s="73"/>
      <c r="AD95" s="79" t="s">
        <v>1019</v>
      </c>
      <c r="AE95" s="84" t="s">
        <v>1179</v>
      </c>
      <c r="AF95" s="79">
        <v>2975</v>
      </c>
      <c r="AG95" s="79">
        <v>1311</v>
      </c>
      <c r="AH95" s="79">
        <v>51310</v>
      </c>
      <c r="AI95" s="79">
        <v>27470</v>
      </c>
      <c r="AJ95" s="79"/>
      <c r="AK95" s="79" t="s">
        <v>1327</v>
      </c>
      <c r="AL95" s="79" t="s">
        <v>1429</v>
      </c>
      <c r="AM95" s="79"/>
      <c r="AN95" s="79"/>
      <c r="AO95" s="81">
        <v>39957.645208333335</v>
      </c>
      <c r="AP95" s="86" t="str">
        <f>HYPERLINK("https://pbs.twimg.com/profile_banners/42227759/1354053884")</f>
        <v>https://pbs.twimg.com/profile_banners/42227759/1354053884</v>
      </c>
      <c r="AQ95" s="79" t="b">
        <v>0</v>
      </c>
      <c r="AR95" s="79" t="b">
        <v>0</v>
      </c>
      <c r="AS95" s="79" t="b">
        <v>1</v>
      </c>
      <c r="AT95" s="79"/>
      <c r="AU95" s="79">
        <v>14</v>
      </c>
      <c r="AV95" s="86" t="str">
        <f>HYPERLINK("https://abs.twimg.com/images/themes/theme14/bg.gif")</f>
        <v>https://abs.twimg.com/images/themes/theme14/bg.gif</v>
      </c>
      <c r="AW95" s="79" t="b">
        <v>0</v>
      </c>
      <c r="AX95" s="79" t="s">
        <v>1458</v>
      </c>
      <c r="AY95" s="86" t="str">
        <f>HYPERLINK("https://twitter.com/jorge_navarro")</f>
        <v>https://twitter.com/jorge_navarro</v>
      </c>
      <c r="AZ95" s="79" t="s">
        <v>66</v>
      </c>
      <c r="BA95" s="79" t="str">
        <f>REPLACE(INDEX(GroupVertices[Group],MATCH(Vertices[[#This Row],[Vertex]],GroupVertices[Vertex],0)),1,1,"")</f>
        <v>1</v>
      </c>
      <c r="BB95" s="49">
        <v>0</v>
      </c>
      <c r="BC95" s="50">
        <v>0</v>
      </c>
      <c r="BD95" s="49">
        <v>0</v>
      </c>
      <c r="BE95" s="50">
        <v>0</v>
      </c>
      <c r="BF95" s="49">
        <v>0</v>
      </c>
      <c r="BG95" s="50">
        <v>0</v>
      </c>
      <c r="BH95" s="49">
        <v>38</v>
      </c>
      <c r="BI95" s="50">
        <v>100</v>
      </c>
      <c r="BJ95" s="49">
        <v>38</v>
      </c>
      <c r="BK95" s="49"/>
      <c r="BL95" s="49"/>
      <c r="BM95" s="49"/>
      <c r="BN95" s="49"/>
      <c r="BO95" s="49" t="s">
        <v>498</v>
      </c>
      <c r="BP95" s="49" t="s">
        <v>498</v>
      </c>
      <c r="BQ95" s="115" t="s">
        <v>2277</v>
      </c>
      <c r="BR95" s="115" t="s">
        <v>2277</v>
      </c>
      <c r="BS95" s="115" t="s">
        <v>2392</v>
      </c>
      <c r="BT95" s="115" t="s">
        <v>2392</v>
      </c>
      <c r="BU95" s="2"/>
      <c r="BV95" s="3"/>
      <c r="BW95" s="3"/>
      <c r="BX95" s="3"/>
      <c r="BY95" s="3"/>
    </row>
    <row r="96" spans="1:77" ht="15">
      <c r="A96" s="65" t="s">
        <v>286</v>
      </c>
      <c r="B96" s="66"/>
      <c r="C96" s="66"/>
      <c r="D96" s="67">
        <v>100</v>
      </c>
      <c r="E96" s="69"/>
      <c r="F96" s="103" t="str">
        <f>HYPERLINK("https://pbs.twimg.com/profile_images/1418314172278968323/CvZKDpAR_normal.jpg")</f>
        <v>https://pbs.twimg.com/profile_images/1418314172278968323/CvZKDpAR_normal.jpg</v>
      </c>
      <c r="G96" s="66"/>
      <c r="H96" s="70" t="s">
        <v>286</v>
      </c>
      <c r="I96" s="71"/>
      <c r="J96" s="71" t="s">
        <v>159</v>
      </c>
      <c r="K96" s="70" t="s">
        <v>1551</v>
      </c>
      <c r="L96" s="74">
        <v>1</v>
      </c>
      <c r="M96" s="75">
        <v>3024.7509765625</v>
      </c>
      <c r="N96" s="75">
        <v>6420.56884765625</v>
      </c>
      <c r="O96" s="76"/>
      <c r="P96" s="77"/>
      <c r="Q96" s="77"/>
      <c r="R96" s="89"/>
      <c r="S96" s="49">
        <v>0</v>
      </c>
      <c r="T96" s="49">
        <v>1</v>
      </c>
      <c r="U96" s="50">
        <v>0</v>
      </c>
      <c r="V96" s="50">
        <v>0.014085</v>
      </c>
      <c r="W96" s="50">
        <v>0</v>
      </c>
      <c r="X96" s="50">
        <v>0.547336</v>
      </c>
      <c r="Y96" s="50">
        <v>0</v>
      </c>
      <c r="Z96" s="50">
        <v>0</v>
      </c>
      <c r="AA96" s="72">
        <v>96</v>
      </c>
      <c r="AB96" s="72"/>
      <c r="AC96" s="73"/>
      <c r="AD96" s="79" t="s">
        <v>1020</v>
      </c>
      <c r="AE96" s="84" t="s">
        <v>1180</v>
      </c>
      <c r="AF96" s="79">
        <v>1199</v>
      </c>
      <c r="AG96" s="79">
        <v>1180</v>
      </c>
      <c r="AH96" s="79">
        <v>77434</v>
      </c>
      <c r="AI96" s="79">
        <v>67313</v>
      </c>
      <c r="AJ96" s="79"/>
      <c r="AK96" s="79" t="s">
        <v>1328</v>
      </c>
      <c r="AL96" s="79" t="s">
        <v>1430</v>
      </c>
      <c r="AM96" s="79"/>
      <c r="AN96" s="79"/>
      <c r="AO96" s="81">
        <v>40602.243622685186</v>
      </c>
      <c r="AP96" s="86" t="str">
        <f>HYPERLINK("https://pbs.twimg.com/profile_banners/258663846/1623881320")</f>
        <v>https://pbs.twimg.com/profile_banners/258663846/1623881320</v>
      </c>
      <c r="AQ96" s="79" t="b">
        <v>1</v>
      </c>
      <c r="AR96" s="79" t="b">
        <v>0</v>
      </c>
      <c r="AS96" s="79" t="b">
        <v>1</v>
      </c>
      <c r="AT96" s="79"/>
      <c r="AU96" s="79">
        <v>23</v>
      </c>
      <c r="AV96" s="86" t="str">
        <f>HYPERLINK("https://abs.twimg.com/images/themes/theme1/bg.png")</f>
        <v>https://abs.twimg.com/images/themes/theme1/bg.png</v>
      </c>
      <c r="AW96" s="79" t="b">
        <v>0</v>
      </c>
      <c r="AX96" s="79" t="s">
        <v>1458</v>
      </c>
      <c r="AY96" s="86" t="str">
        <f>HYPERLINK("https://twitter.com/isela_mr")</f>
        <v>https://twitter.com/isela_mr</v>
      </c>
      <c r="AZ96" s="79" t="s">
        <v>66</v>
      </c>
      <c r="BA96" s="79" t="str">
        <f>REPLACE(INDEX(GroupVertices[Group],MATCH(Vertices[[#This Row],[Vertex]],GroupVertices[Vertex],0)),1,1,"")</f>
        <v>1</v>
      </c>
      <c r="BB96" s="49">
        <v>0</v>
      </c>
      <c r="BC96" s="50">
        <v>0</v>
      </c>
      <c r="BD96" s="49">
        <v>0</v>
      </c>
      <c r="BE96" s="50">
        <v>0</v>
      </c>
      <c r="BF96" s="49">
        <v>0</v>
      </c>
      <c r="BG96" s="50">
        <v>0</v>
      </c>
      <c r="BH96" s="49">
        <v>38</v>
      </c>
      <c r="BI96" s="50">
        <v>100</v>
      </c>
      <c r="BJ96" s="49">
        <v>38</v>
      </c>
      <c r="BK96" s="49"/>
      <c r="BL96" s="49"/>
      <c r="BM96" s="49"/>
      <c r="BN96" s="49"/>
      <c r="BO96" s="49" t="s">
        <v>498</v>
      </c>
      <c r="BP96" s="49" t="s">
        <v>498</v>
      </c>
      <c r="BQ96" s="115" t="s">
        <v>2277</v>
      </c>
      <c r="BR96" s="115" t="s">
        <v>2277</v>
      </c>
      <c r="BS96" s="115" t="s">
        <v>2392</v>
      </c>
      <c r="BT96" s="115" t="s">
        <v>2392</v>
      </c>
      <c r="BU96" s="2"/>
      <c r="BV96" s="3"/>
      <c r="BW96" s="3"/>
      <c r="BX96" s="3"/>
      <c r="BY96" s="3"/>
    </row>
    <row r="97" spans="1:77" ht="15">
      <c r="A97" s="65" t="s">
        <v>287</v>
      </c>
      <c r="B97" s="66"/>
      <c r="C97" s="66"/>
      <c r="D97" s="67">
        <v>100</v>
      </c>
      <c r="E97" s="69"/>
      <c r="F97" s="103" t="str">
        <f>HYPERLINK("https://pbs.twimg.com/profile_images/1348083742540247045/vCErQeS__normal.jpg")</f>
        <v>https://pbs.twimg.com/profile_images/1348083742540247045/vCErQeS__normal.jpg</v>
      </c>
      <c r="G97" s="66"/>
      <c r="H97" s="70" t="s">
        <v>287</v>
      </c>
      <c r="I97" s="71"/>
      <c r="J97" s="71" t="s">
        <v>159</v>
      </c>
      <c r="K97" s="70" t="s">
        <v>1552</v>
      </c>
      <c r="L97" s="74">
        <v>1</v>
      </c>
      <c r="M97" s="75">
        <v>3226.92431640625</v>
      </c>
      <c r="N97" s="75">
        <v>8684.2626953125</v>
      </c>
      <c r="O97" s="76"/>
      <c r="P97" s="77"/>
      <c r="Q97" s="77"/>
      <c r="R97" s="89"/>
      <c r="S97" s="49">
        <v>0</v>
      </c>
      <c r="T97" s="49">
        <v>1</v>
      </c>
      <c r="U97" s="50">
        <v>0</v>
      </c>
      <c r="V97" s="50">
        <v>0.014085</v>
      </c>
      <c r="W97" s="50">
        <v>0</v>
      </c>
      <c r="X97" s="50">
        <v>0.547336</v>
      </c>
      <c r="Y97" s="50">
        <v>0</v>
      </c>
      <c r="Z97" s="50">
        <v>0</v>
      </c>
      <c r="AA97" s="72">
        <v>97</v>
      </c>
      <c r="AB97" s="72"/>
      <c r="AC97" s="73"/>
      <c r="AD97" s="79" t="s">
        <v>1021</v>
      </c>
      <c r="AE97" s="84" t="s">
        <v>1181</v>
      </c>
      <c r="AF97" s="79">
        <v>4987</v>
      </c>
      <c r="AG97" s="79">
        <v>315</v>
      </c>
      <c r="AH97" s="79">
        <v>31800</v>
      </c>
      <c r="AI97" s="79">
        <v>36331</v>
      </c>
      <c r="AJ97" s="79"/>
      <c r="AK97" s="79" t="s">
        <v>1329</v>
      </c>
      <c r="AL97" s="79"/>
      <c r="AM97" s="79"/>
      <c r="AN97" s="79"/>
      <c r="AO97" s="81">
        <v>42229.499560185184</v>
      </c>
      <c r="AP97" s="86" t="str">
        <f>HYPERLINK("https://pbs.twimg.com/profile_banners/3420002477/1497420566")</f>
        <v>https://pbs.twimg.com/profile_banners/3420002477/1497420566</v>
      </c>
      <c r="AQ97" s="79" t="b">
        <v>1</v>
      </c>
      <c r="AR97" s="79" t="b">
        <v>0</v>
      </c>
      <c r="AS97" s="79" t="b">
        <v>1</v>
      </c>
      <c r="AT97" s="79"/>
      <c r="AU97" s="79">
        <v>1</v>
      </c>
      <c r="AV97" s="86" t="str">
        <f>HYPERLINK("https://abs.twimg.com/images/themes/theme1/bg.png")</f>
        <v>https://abs.twimg.com/images/themes/theme1/bg.png</v>
      </c>
      <c r="AW97" s="79" t="b">
        <v>0</v>
      </c>
      <c r="AX97" s="79" t="s">
        <v>1458</v>
      </c>
      <c r="AY97" s="86" t="str">
        <f>HYPERLINK("https://twitter.com/acquadragon")</f>
        <v>https://twitter.com/acquadragon</v>
      </c>
      <c r="AZ97" s="79" t="s">
        <v>66</v>
      </c>
      <c r="BA97" s="79" t="str">
        <f>REPLACE(INDEX(GroupVertices[Group],MATCH(Vertices[[#This Row],[Vertex]],GroupVertices[Vertex],0)),1,1,"")</f>
        <v>1</v>
      </c>
      <c r="BB97" s="49">
        <v>0</v>
      </c>
      <c r="BC97" s="50">
        <v>0</v>
      </c>
      <c r="BD97" s="49">
        <v>0</v>
      </c>
      <c r="BE97" s="50">
        <v>0</v>
      </c>
      <c r="BF97" s="49">
        <v>0</v>
      </c>
      <c r="BG97" s="50">
        <v>0</v>
      </c>
      <c r="BH97" s="49">
        <v>38</v>
      </c>
      <c r="BI97" s="50">
        <v>100</v>
      </c>
      <c r="BJ97" s="49">
        <v>38</v>
      </c>
      <c r="BK97" s="49"/>
      <c r="BL97" s="49"/>
      <c r="BM97" s="49"/>
      <c r="BN97" s="49"/>
      <c r="BO97" s="49" t="s">
        <v>498</v>
      </c>
      <c r="BP97" s="49" t="s">
        <v>498</v>
      </c>
      <c r="BQ97" s="115" t="s">
        <v>2277</v>
      </c>
      <c r="BR97" s="115" t="s">
        <v>2277</v>
      </c>
      <c r="BS97" s="115" t="s">
        <v>2392</v>
      </c>
      <c r="BT97" s="115" t="s">
        <v>2392</v>
      </c>
      <c r="BU97" s="2"/>
      <c r="BV97" s="3"/>
      <c r="BW97" s="3"/>
      <c r="BX97" s="3"/>
      <c r="BY97" s="3"/>
    </row>
    <row r="98" spans="1:77" ht="15">
      <c r="A98" s="65" t="s">
        <v>288</v>
      </c>
      <c r="B98" s="66"/>
      <c r="C98" s="66"/>
      <c r="D98" s="67">
        <v>100</v>
      </c>
      <c r="E98" s="69"/>
      <c r="F98" s="103" t="str">
        <f>HYPERLINK("https://pbs.twimg.com/profile_images/2653019298/7a170de50ee803209780f79193935adf_normal.png")</f>
        <v>https://pbs.twimg.com/profile_images/2653019298/7a170de50ee803209780f79193935adf_normal.png</v>
      </c>
      <c r="G98" s="66"/>
      <c r="H98" s="70" t="s">
        <v>288</v>
      </c>
      <c r="I98" s="71"/>
      <c r="J98" s="71" t="s">
        <v>159</v>
      </c>
      <c r="K98" s="70" t="s">
        <v>1553</v>
      </c>
      <c r="L98" s="74">
        <v>1</v>
      </c>
      <c r="M98" s="75">
        <v>2951.296142578125</v>
      </c>
      <c r="N98" s="75">
        <v>9172.07421875</v>
      </c>
      <c r="O98" s="76"/>
      <c r="P98" s="77"/>
      <c r="Q98" s="77"/>
      <c r="R98" s="89"/>
      <c r="S98" s="49">
        <v>0</v>
      </c>
      <c r="T98" s="49">
        <v>1</v>
      </c>
      <c r="U98" s="50">
        <v>0</v>
      </c>
      <c r="V98" s="50">
        <v>0.014085</v>
      </c>
      <c r="W98" s="50">
        <v>0</v>
      </c>
      <c r="X98" s="50">
        <v>0.547336</v>
      </c>
      <c r="Y98" s="50">
        <v>0</v>
      </c>
      <c r="Z98" s="50">
        <v>0</v>
      </c>
      <c r="AA98" s="72">
        <v>98</v>
      </c>
      <c r="AB98" s="72"/>
      <c r="AC98" s="73"/>
      <c r="AD98" s="79" t="s">
        <v>1022</v>
      </c>
      <c r="AE98" s="84" t="s">
        <v>1182</v>
      </c>
      <c r="AF98" s="79">
        <v>2923</v>
      </c>
      <c r="AG98" s="79">
        <v>734</v>
      </c>
      <c r="AH98" s="79">
        <v>2286</v>
      </c>
      <c r="AI98" s="79">
        <v>446</v>
      </c>
      <c r="AJ98" s="79"/>
      <c r="AK98" s="79" t="s">
        <v>1330</v>
      </c>
      <c r="AL98" s="79"/>
      <c r="AM98" s="79"/>
      <c r="AN98" s="79"/>
      <c r="AO98" s="81">
        <v>40593.04740740741</v>
      </c>
      <c r="AP98" s="86" t="str">
        <f>HYPERLINK("https://pbs.twimg.com/profile_banners/254296367/1610505839")</f>
        <v>https://pbs.twimg.com/profile_banners/254296367/1610505839</v>
      </c>
      <c r="AQ98" s="79" t="b">
        <v>0</v>
      </c>
      <c r="AR98" s="79" t="b">
        <v>0</v>
      </c>
      <c r="AS98" s="79" t="b">
        <v>0</v>
      </c>
      <c r="AT98" s="79"/>
      <c r="AU98" s="79">
        <v>2</v>
      </c>
      <c r="AV98" s="86" t="str">
        <f>HYPERLINK("https://abs.twimg.com/images/themes/theme19/bg.gif")</f>
        <v>https://abs.twimg.com/images/themes/theme19/bg.gif</v>
      </c>
      <c r="AW98" s="79" t="b">
        <v>0</v>
      </c>
      <c r="AX98" s="79" t="s">
        <v>1458</v>
      </c>
      <c r="AY98" s="86" t="str">
        <f>HYPERLINK("https://twitter.com/pasillasmmtv")</f>
        <v>https://twitter.com/pasillasmmtv</v>
      </c>
      <c r="AZ98" s="79" t="s">
        <v>66</v>
      </c>
      <c r="BA98" s="79" t="str">
        <f>REPLACE(INDEX(GroupVertices[Group],MATCH(Vertices[[#This Row],[Vertex]],GroupVertices[Vertex],0)),1,1,"")</f>
        <v>1</v>
      </c>
      <c r="BB98" s="49">
        <v>0</v>
      </c>
      <c r="BC98" s="50">
        <v>0</v>
      </c>
      <c r="BD98" s="49">
        <v>0</v>
      </c>
      <c r="BE98" s="50">
        <v>0</v>
      </c>
      <c r="BF98" s="49">
        <v>0</v>
      </c>
      <c r="BG98" s="50">
        <v>0</v>
      </c>
      <c r="BH98" s="49">
        <v>38</v>
      </c>
      <c r="BI98" s="50">
        <v>100</v>
      </c>
      <c r="BJ98" s="49">
        <v>38</v>
      </c>
      <c r="BK98" s="49"/>
      <c r="BL98" s="49"/>
      <c r="BM98" s="49"/>
      <c r="BN98" s="49"/>
      <c r="BO98" s="49" t="s">
        <v>498</v>
      </c>
      <c r="BP98" s="49" t="s">
        <v>498</v>
      </c>
      <c r="BQ98" s="115" t="s">
        <v>2277</v>
      </c>
      <c r="BR98" s="115" t="s">
        <v>2277</v>
      </c>
      <c r="BS98" s="115" t="s">
        <v>2392</v>
      </c>
      <c r="BT98" s="115" t="s">
        <v>2392</v>
      </c>
      <c r="BU98" s="2"/>
      <c r="BV98" s="3"/>
      <c r="BW98" s="3"/>
      <c r="BX98" s="3"/>
      <c r="BY98" s="3"/>
    </row>
    <row r="99" spans="1:77" ht="15">
      <c r="A99" s="65" t="s">
        <v>289</v>
      </c>
      <c r="B99" s="66"/>
      <c r="C99" s="66"/>
      <c r="D99" s="67">
        <v>100</v>
      </c>
      <c r="E99" s="69"/>
      <c r="F99" s="103" t="str">
        <f>HYPERLINK("https://pbs.twimg.com/profile_images/1242856284950421509/FCRUjk2a_normal.jpg")</f>
        <v>https://pbs.twimg.com/profile_images/1242856284950421509/FCRUjk2a_normal.jpg</v>
      </c>
      <c r="G99" s="66"/>
      <c r="H99" s="70" t="s">
        <v>289</v>
      </c>
      <c r="I99" s="71"/>
      <c r="J99" s="71" t="s">
        <v>159</v>
      </c>
      <c r="K99" s="70" t="s">
        <v>1554</v>
      </c>
      <c r="L99" s="74">
        <v>1</v>
      </c>
      <c r="M99" s="75">
        <v>3387.942138671875</v>
      </c>
      <c r="N99" s="75">
        <v>5537.6689453125</v>
      </c>
      <c r="O99" s="76"/>
      <c r="P99" s="77"/>
      <c r="Q99" s="77"/>
      <c r="R99" s="89"/>
      <c r="S99" s="49">
        <v>0</v>
      </c>
      <c r="T99" s="49">
        <v>1</v>
      </c>
      <c r="U99" s="50">
        <v>0</v>
      </c>
      <c r="V99" s="50">
        <v>0.014085</v>
      </c>
      <c r="W99" s="50">
        <v>0</v>
      </c>
      <c r="X99" s="50">
        <v>0.547336</v>
      </c>
      <c r="Y99" s="50">
        <v>0</v>
      </c>
      <c r="Z99" s="50">
        <v>0</v>
      </c>
      <c r="AA99" s="72">
        <v>99</v>
      </c>
      <c r="AB99" s="72"/>
      <c r="AC99" s="73"/>
      <c r="AD99" s="79" t="s">
        <v>1023</v>
      </c>
      <c r="AE99" s="84" t="s">
        <v>1183</v>
      </c>
      <c r="AF99" s="79">
        <v>197</v>
      </c>
      <c r="AG99" s="79">
        <v>161</v>
      </c>
      <c r="AH99" s="79">
        <v>64294</v>
      </c>
      <c r="AI99" s="79">
        <v>3672</v>
      </c>
      <c r="AJ99" s="79"/>
      <c r="AK99" s="79" t="s">
        <v>1331</v>
      </c>
      <c r="AL99" s="79" t="s">
        <v>1431</v>
      </c>
      <c r="AM99" s="79"/>
      <c r="AN99" s="79"/>
      <c r="AO99" s="81">
        <v>40716.257418981484</v>
      </c>
      <c r="AP99" s="86" t="str">
        <f>HYPERLINK("https://pbs.twimg.com/profile_banners/321832299/1565982544")</f>
        <v>https://pbs.twimg.com/profile_banners/321832299/1565982544</v>
      </c>
      <c r="AQ99" s="79" t="b">
        <v>0</v>
      </c>
      <c r="AR99" s="79" t="b">
        <v>0</v>
      </c>
      <c r="AS99" s="79" t="b">
        <v>1</v>
      </c>
      <c r="AT99" s="79"/>
      <c r="AU99" s="79">
        <v>2</v>
      </c>
      <c r="AV99" s="86" t="str">
        <f>HYPERLINK("https://abs.twimg.com/images/themes/theme15/bg.png")</f>
        <v>https://abs.twimg.com/images/themes/theme15/bg.png</v>
      </c>
      <c r="AW99" s="79" t="b">
        <v>0</v>
      </c>
      <c r="AX99" s="79" t="s">
        <v>1458</v>
      </c>
      <c r="AY99" s="86" t="str">
        <f>HYPERLINK("https://twitter.com/gallofuego")</f>
        <v>https://twitter.com/gallofuego</v>
      </c>
      <c r="AZ99" s="79" t="s">
        <v>66</v>
      </c>
      <c r="BA99" s="79" t="str">
        <f>REPLACE(INDEX(GroupVertices[Group],MATCH(Vertices[[#This Row],[Vertex]],GroupVertices[Vertex],0)),1,1,"")</f>
        <v>1</v>
      </c>
      <c r="BB99" s="49">
        <v>0</v>
      </c>
      <c r="BC99" s="50">
        <v>0</v>
      </c>
      <c r="BD99" s="49">
        <v>0</v>
      </c>
      <c r="BE99" s="50">
        <v>0</v>
      </c>
      <c r="BF99" s="49">
        <v>0</v>
      </c>
      <c r="BG99" s="50">
        <v>0</v>
      </c>
      <c r="BH99" s="49">
        <v>38</v>
      </c>
      <c r="BI99" s="50">
        <v>100</v>
      </c>
      <c r="BJ99" s="49">
        <v>38</v>
      </c>
      <c r="BK99" s="49"/>
      <c r="BL99" s="49"/>
      <c r="BM99" s="49"/>
      <c r="BN99" s="49"/>
      <c r="BO99" s="49" t="s">
        <v>498</v>
      </c>
      <c r="BP99" s="49" t="s">
        <v>498</v>
      </c>
      <c r="BQ99" s="115" t="s">
        <v>2277</v>
      </c>
      <c r="BR99" s="115" t="s">
        <v>2277</v>
      </c>
      <c r="BS99" s="115" t="s">
        <v>2392</v>
      </c>
      <c r="BT99" s="115" t="s">
        <v>2392</v>
      </c>
      <c r="BU99" s="2"/>
      <c r="BV99" s="3"/>
      <c r="BW99" s="3"/>
      <c r="BX99" s="3"/>
      <c r="BY99" s="3"/>
    </row>
    <row r="100" spans="1:77" ht="15">
      <c r="A100" s="65" t="s">
        <v>290</v>
      </c>
      <c r="B100" s="66"/>
      <c r="C100" s="66"/>
      <c r="D100" s="67">
        <v>100</v>
      </c>
      <c r="E100" s="69"/>
      <c r="F100" s="103" t="str">
        <f>HYPERLINK("https://pbs.twimg.com/profile_images/1247143394490478592/1LsYerrW_normal.jpg")</f>
        <v>https://pbs.twimg.com/profile_images/1247143394490478592/1LsYerrW_normal.jpg</v>
      </c>
      <c r="G100" s="66"/>
      <c r="H100" s="70" t="s">
        <v>290</v>
      </c>
      <c r="I100" s="71"/>
      <c r="J100" s="71" t="s">
        <v>159</v>
      </c>
      <c r="K100" s="70" t="s">
        <v>1555</v>
      </c>
      <c r="L100" s="74">
        <v>1</v>
      </c>
      <c r="M100" s="75">
        <v>2293.895751953125</v>
      </c>
      <c r="N100" s="75">
        <v>4277.66748046875</v>
      </c>
      <c r="O100" s="76"/>
      <c r="P100" s="77"/>
      <c r="Q100" s="77"/>
      <c r="R100" s="89"/>
      <c r="S100" s="49">
        <v>0</v>
      </c>
      <c r="T100" s="49">
        <v>1</v>
      </c>
      <c r="U100" s="50">
        <v>0</v>
      </c>
      <c r="V100" s="50">
        <v>0.014085</v>
      </c>
      <c r="W100" s="50">
        <v>0</v>
      </c>
      <c r="X100" s="50">
        <v>0.547336</v>
      </c>
      <c r="Y100" s="50">
        <v>0</v>
      </c>
      <c r="Z100" s="50">
        <v>0</v>
      </c>
      <c r="AA100" s="72">
        <v>100</v>
      </c>
      <c r="AB100" s="72"/>
      <c r="AC100" s="73"/>
      <c r="AD100" s="79" t="s">
        <v>1024</v>
      </c>
      <c r="AE100" s="84" t="s">
        <v>1184</v>
      </c>
      <c r="AF100" s="79">
        <v>286</v>
      </c>
      <c r="AG100" s="79">
        <v>75</v>
      </c>
      <c r="AH100" s="79">
        <v>8377</v>
      </c>
      <c r="AI100" s="79">
        <v>7545</v>
      </c>
      <c r="AJ100" s="79"/>
      <c r="AK100" s="79" t="s">
        <v>1332</v>
      </c>
      <c r="AL100" s="79"/>
      <c r="AM100" s="79"/>
      <c r="AN100" s="79"/>
      <c r="AO100" s="81">
        <v>40253.684652777774</v>
      </c>
      <c r="AP100" s="79"/>
      <c r="AQ100" s="79" t="b">
        <v>1</v>
      </c>
      <c r="AR100" s="79" t="b">
        <v>0</v>
      </c>
      <c r="AS100" s="79" t="b">
        <v>0</v>
      </c>
      <c r="AT100" s="79"/>
      <c r="AU100" s="79">
        <v>0</v>
      </c>
      <c r="AV100" s="86" t="str">
        <f>HYPERLINK("https://abs.twimg.com/images/themes/theme1/bg.png")</f>
        <v>https://abs.twimg.com/images/themes/theme1/bg.png</v>
      </c>
      <c r="AW100" s="79" t="b">
        <v>0</v>
      </c>
      <c r="AX100" s="79" t="s">
        <v>1458</v>
      </c>
      <c r="AY100" s="86" t="str">
        <f>HYPERLINK("https://twitter.com/loveyogurtlowfa")</f>
        <v>https://twitter.com/loveyogurtlowfa</v>
      </c>
      <c r="AZ100" s="79" t="s">
        <v>66</v>
      </c>
      <c r="BA100" s="79" t="str">
        <f>REPLACE(INDEX(GroupVertices[Group],MATCH(Vertices[[#This Row],[Vertex]],GroupVertices[Vertex],0)),1,1,"")</f>
        <v>1</v>
      </c>
      <c r="BB100" s="49">
        <v>0</v>
      </c>
      <c r="BC100" s="50">
        <v>0</v>
      </c>
      <c r="BD100" s="49">
        <v>0</v>
      </c>
      <c r="BE100" s="50">
        <v>0</v>
      </c>
      <c r="BF100" s="49">
        <v>0</v>
      </c>
      <c r="BG100" s="50">
        <v>0</v>
      </c>
      <c r="BH100" s="49">
        <v>38</v>
      </c>
      <c r="BI100" s="50">
        <v>100</v>
      </c>
      <c r="BJ100" s="49">
        <v>38</v>
      </c>
      <c r="BK100" s="49"/>
      <c r="BL100" s="49"/>
      <c r="BM100" s="49"/>
      <c r="BN100" s="49"/>
      <c r="BO100" s="49" t="s">
        <v>498</v>
      </c>
      <c r="BP100" s="49" t="s">
        <v>498</v>
      </c>
      <c r="BQ100" s="115" t="s">
        <v>2277</v>
      </c>
      <c r="BR100" s="115" t="s">
        <v>2277</v>
      </c>
      <c r="BS100" s="115" t="s">
        <v>2392</v>
      </c>
      <c r="BT100" s="115" t="s">
        <v>2392</v>
      </c>
      <c r="BU100" s="2"/>
      <c r="BV100" s="3"/>
      <c r="BW100" s="3"/>
      <c r="BX100" s="3"/>
      <c r="BY100" s="3"/>
    </row>
    <row r="101" spans="1:77" ht="15">
      <c r="A101" s="65" t="s">
        <v>291</v>
      </c>
      <c r="B101" s="66"/>
      <c r="C101" s="66"/>
      <c r="D101" s="67">
        <v>100</v>
      </c>
      <c r="E101" s="69"/>
      <c r="F101" s="103" t="str">
        <f>HYPERLINK("https://pbs.twimg.com/profile_images/1405626918335135744/bZGXZWbF_normal.jpg")</f>
        <v>https://pbs.twimg.com/profile_images/1405626918335135744/bZGXZWbF_normal.jpg</v>
      </c>
      <c r="G101" s="66"/>
      <c r="H101" s="70" t="s">
        <v>291</v>
      </c>
      <c r="I101" s="71"/>
      <c r="J101" s="71" t="s">
        <v>159</v>
      </c>
      <c r="K101" s="70" t="s">
        <v>1556</v>
      </c>
      <c r="L101" s="74">
        <v>1</v>
      </c>
      <c r="M101" s="75">
        <v>463.1143798828125</v>
      </c>
      <c r="N101" s="75">
        <v>8266.4150390625</v>
      </c>
      <c r="O101" s="76"/>
      <c r="P101" s="77"/>
      <c r="Q101" s="77"/>
      <c r="R101" s="89"/>
      <c r="S101" s="49">
        <v>0</v>
      </c>
      <c r="T101" s="49">
        <v>1</v>
      </c>
      <c r="U101" s="50">
        <v>0</v>
      </c>
      <c r="V101" s="50">
        <v>0.014085</v>
      </c>
      <c r="W101" s="50">
        <v>0</v>
      </c>
      <c r="X101" s="50">
        <v>0.547336</v>
      </c>
      <c r="Y101" s="50">
        <v>0</v>
      </c>
      <c r="Z101" s="50">
        <v>0</v>
      </c>
      <c r="AA101" s="72">
        <v>101</v>
      </c>
      <c r="AB101" s="72"/>
      <c r="AC101" s="73"/>
      <c r="AD101" s="79" t="s">
        <v>1025</v>
      </c>
      <c r="AE101" s="84" t="s">
        <v>1185</v>
      </c>
      <c r="AF101" s="79">
        <v>59</v>
      </c>
      <c r="AG101" s="79">
        <v>64</v>
      </c>
      <c r="AH101" s="79">
        <v>7196</v>
      </c>
      <c r="AI101" s="79">
        <v>11013</v>
      </c>
      <c r="AJ101" s="79"/>
      <c r="AK101" s="79"/>
      <c r="AL101" s="79"/>
      <c r="AM101" s="79"/>
      <c r="AN101" s="79"/>
      <c r="AO101" s="81">
        <v>44364.82581018518</v>
      </c>
      <c r="AP101" s="86" t="str">
        <f>HYPERLINK("https://pbs.twimg.com/profile_banners/1405613049516548109/1623974774")</f>
        <v>https://pbs.twimg.com/profile_banners/1405613049516548109/1623974774</v>
      </c>
      <c r="AQ101" s="79" t="b">
        <v>1</v>
      </c>
      <c r="AR101" s="79" t="b">
        <v>0</v>
      </c>
      <c r="AS101" s="79" t="b">
        <v>0</v>
      </c>
      <c r="AT101" s="79"/>
      <c r="AU101" s="79">
        <v>0</v>
      </c>
      <c r="AV101" s="79"/>
      <c r="AW101" s="79" t="b">
        <v>0</v>
      </c>
      <c r="AX101" s="79" t="s">
        <v>1458</v>
      </c>
      <c r="AY101" s="86" t="str">
        <f>HYPERLINK("https://twitter.com/minyon23625591")</f>
        <v>https://twitter.com/minyon23625591</v>
      </c>
      <c r="AZ101" s="79" t="s">
        <v>66</v>
      </c>
      <c r="BA101" s="79" t="str">
        <f>REPLACE(INDEX(GroupVertices[Group],MATCH(Vertices[[#This Row],[Vertex]],GroupVertices[Vertex],0)),1,1,"")</f>
        <v>1</v>
      </c>
      <c r="BB101" s="49">
        <v>0</v>
      </c>
      <c r="BC101" s="50">
        <v>0</v>
      </c>
      <c r="BD101" s="49">
        <v>0</v>
      </c>
      <c r="BE101" s="50">
        <v>0</v>
      </c>
      <c r="BF101" s="49">
        <v>0</v>
      </c>
      <c r="BG101" s="50">
        <v>0</v>
      </c>
      <c r="BH101" s="49">
        <v>38</v>
      </c>
      <c r="BI101" s="50">
        <v>100</v>
      </c>
      <c r="BJ101" s="49">
        <v>38</v>
      </c>
      <c r="BK101" s="49"/>
      <c r="BL101" s="49"/>
      <c r="BM101" s="49"/>
      <c r="BN101" s="49"/>
      <c r="BO101" s="49" t="s">
        <v>498</v>
      </c>
      <c r="BP101" s="49" t="s">
        <v>498</v>
      </c>
      <c r="BQ101" s="115" t="s">
        <v>2277</v>
      </c>
      <c r="BR101" s="115" t="s">
        <v>2277</v>
      </c>
      <c r="BS101" s="115" t="s">
        <v>2392</v>
      </c>
      <c r="BT101" s="115" t="s">
        <v>2392</v>
      </c>
      <c r="BU101" s="2"/>
      <c r="BV101" s="3"/>
      <c r="BW101" s="3"/>
      <c r="BX101" s="3"/>
      <c r="BY101" s="3"/>
    </row>
    <row r="102" spans="1:77" ht="15">
      <c r="A102" s="65" t="s">
        <v>292</v>
      </c>
      <c r="B102" s="66"/>
      <c r="C102" s="66"/>
      <c r="D102" s="67">
        <v>100</v>
      </c>
      <c r="E102" s="69"/>
      <c r="F102" s="103" t="str">
        <f>HYPERLINK("https://pbs.twimg.com/profile_images/1201160045167337472/HOxtv1oS_normal.jpg")</f>
        <v>https://pbs.twimg.com/profile_images/1201160045167337472/HOxtv1oS_normal.jpg</v>
      </c>
      <c r="G102" s="66"/>
      <c r="H102" s="70" t="s">
        <v>292</v>
      </c>
      <c r="I102" s="71"/>
      <c r="J102" s="71" t="s">
        <v>159</v>
      </c>
      <c r="K102" s="70" t="s">
        <v>1557</v>
      </c>
      <c r="L102" s="74">
        <v>1</v>
      </c>
      <c r="M102" s="75">
        <v>521.2120971679688</v>
      </c>
      <c r="N102" s="75">
        <v>5459.3154296875</v>
      </c>
      <c r="O102" s="76"/>
      <c r="P102" s="77"/>
      <c r="Q102" s="77"/>
      <c r="R102" s="89"/>
      <c r="S102" s="49">
        <v>0</v>
      </c>
      <c r="T102" s="49">
        <v>1</v>
      </c>
      <c r="U102" s="50">
        <v>0</v>
      </c>
      <c r="V102" s="50">
        <v>0.014085</v>
      </c>
      <c r="W102" s="50">
        <v>0</v>
      </c>
      <c r="X102" s="50">
        <v>0.547336</v>
      </c>
      <c r="Y102" s="50">
        <v>0</v>
      </c>
      <c r="Z102" s="50">
        <v>0</v>
      </c>
      <c r="AA102" s="72">
        <v>102</v>
      </c>
      <c r="AB102" s="72"/>
      <c r="AC102" s="73"/>
      <c r="AD102" s="79" t="s">
        <v>1026</v>
      </c>
      <c r="AE102" s="84" t="s">
        <v>1186</v>
      </c>
      <c r="AF102" s="79">
        <v>2167</v>
      </c>
      <c r="AG102" s="79">
        <v>379</v>
      </c>
      <c r="AH102" s="79">
        <v>9175</v>
      </c>
      <c r="AI102" s="79">
        <v>22805</v>
      </c>
      <c r="AJ102" s="79"/>
      <c r="AK102" s="79" t="s">
        <v>1333</v>
      </c>
      <c r="AL102" s="79" t="s">
        <v>1432</v>
      </c>
      <c r="AM102" s="79"/>
      <c r="AN102" s="79"/>
      <c r="AO102" s="81">
        <v>41294.90699074074</v>
      </c>
      <c r="AP102" s="86" t="str">
        <f>HYPERLINK("https://pbs.twimg.com/profile_banners/1107388351/1572204296")</f>
        <v>https://pbs.twimg.com/profile_banners/1107388351/1572204296</v>
      </c>
      <c r="AQ102" s="79" t="b">
        <v>1</v>
      </c>
      <c r="AR102" s="79" t="b">
        <v>0</v>
      </c>
      <c r="AS102" s="79" t="b">
        <v>1</v>
      </c>
      <c r="AT102" s="79"/>
      <c r="AU102" s="79">
        <v>1</v>
      </c>
      <c r="AV102" s="86" t="str">
        <f>HYPERLINK("https://abs.twimg.com/images/themes/theme1/bg.png")</f>
        <v>https://abs.twimg.com/images/themes/theme1/bg.png</v>
      </c>
      <c r="AW102" s="79" t="b">
        <v>0</v>
      </c>
      <c r="AX102" s="79" t="s">
        <v>1458</v>
      </c>
      <c r="AY102" s="86" t="str">
        <f>HYPERLINK("https://twitter.com/jlgc0505")</f>
        <v>https://twitter.com/jlgc0505</v>
      </c>
      <c r="AZ102" s="79" t="s">
        <v>66</v>
      </c>
      <c r="BA102" s="79" t="str">
        <f>REPLACE(INDEX(GroupVertices[Group],MATCH(Vertices[[#This Row],[Vertex]],GroupVertices[Vertex],0)),1,1,"")</f>
        <v>1</v>
      </c>
      <c r="BB102" s="49">
        <v>0</v>
      </c>
      <c r="BC102" s="50">
        <v>0</v>
      </c>
      <c r="BD102" s="49">
        <v>0</v>
      </c>
      <c r="BE102" s="50">
        <v>0</v>
      </c>
      <c r="BF102" s="49">
        <v>0</v>
      </c>
      <c r="BG102" s="50">
        <v>0</v>
      </c>
      <c r="BH102" s="49">
        <v>38</v>
      </c>
      <c r="BI102" s="50">
        <v>100</v>
      </c>
      <c r="BJ102" s="49">
        <v>38</v>
      </c>
      <c r="BK102" s="49"/>
      <c r="BL102" s="49"/>
      <c r="BM102" s="49"/>
      <c r="BN102" s="49"/>
      <c r="BO102" s="49" t="s">
        <v>498</v>
      </c>
      <c r="BP102" s="49" t="s">
        <v>498</v>
      </c>
      <c r="BQ102" s="115" t="s">
        <v>2277</v>
      </c>
      <c r="BR102" s="115" t="s">
        <v>2277</v>
      </c>
      <c r="BS102" s="115" t="s">
        <v>2392</v>
      </c>
      <c r="BT102" s="115" t="s">
        <v>2392</v>
      </c>
      <c r="BU102" s="2"/>
      <c r="BV102" s="3"/>
      <c r="BW102" s="3"/>
      <c r="BX102" s="3"/>
      <c r="BY102" s="3"/>
    </row>
    <row r="103" spans="1:77" ht="15">
      <c r="A103" s="65" t="s">
        <v>293</v>
      </c>
      <c r="B103" s="66"/>
      <c r="C103" s="66"/>
      <c r="D103" s="67">
        <v>100</v>
      </c>
      <c r="E103" s="69"/>
      <c r="F103" s="103" t="str">
        <f>HYPERLINK("https://pbs.twimg.com/profile_images/760388106709143552/wECFnGdj_normal.jpg")</f>
        <v>https://pbs.twimg.com/profile_images/760388106709143552/wECFnGdj_normal.jpg</v>
      </c>
      <c r="G103" s="66"/>
      <c r="H103" s="70" t="s">
        <v>293</v>
      </c>
      <c r="I103" s="71"/>
      <c r="J103" s="71" t="s">
        <v>159</v>
      </c>
      <c r="K103" s="70" t="s">
        <v>1558</v>
      </c>
      <c r="L103" s="74">
        <v>1</v>
      </c>
      <c r="M103" s="75">
        <v>963.2794189453125</v>
      </c>
      <c r="N103" s="75">
        <v>6740.05126953125</v>
      </c>
      <c r="O103" s="76"/>
      <c r="P103" s="77"/>
      <c r="Q103" s="77"/>
      <c r="R103" s="89"/>
      <c r="S103" s="49">
        <v>0</v>
      </c>
      <c r="T103" s="49">
        <v>1</v>
      </c>
      <c r="U103" s="50">
        <v>0</v>
      </c>
      <c r="V103" s="50">
        <v>0.014085</v>
      </c>
      <c r="W103" s="50">
        <v>0</v>
      </c>
      <c r="X103" s="50">
        <v>0.547336</v>
      </c>
      <c r="Y103" s="50">
        <v>0</v>
      </c>
      <c r="Z103" s="50">
        <v>0</v>
      </c>
      <c r="AA103" s="72">
        <v>103</v>
      </c>
      <c r="AB103" s="72"/>
      <c r="AC103" s="73"/>
      <c r="AD103" s="79" t="s">
        <v>1027</v>
      </c>
      <c r="AE103" s="84" t="s">
        <v>1187</v>
      </c>
      <c r="AF103" s="79">
        <v>354</v>
      </c>
      <c r="AG103" s="79">
        <v>161</v>
      </c>
      <c r="AH103" s="79">
        <v>20849</v>
      </c>
      <c r="AI103" s="79">
        <v>441</v>
      </c>
      <c r="AJ103" s="79"/>
      <c r="AK103" s="79" t="s">
        <v>1334</v>
      </c>
      <c r="AL103" s="79" t="s">
        <v>1433</v>
      </c>
      <c r="AM103" s="79"/>
      <c r="AN103" s="79"/>
      <c r="AO103" s="81">
        <v>40552.25508101852</v>
      </c>
      <c r="AP103" s="86" t="str">
        <f>HYPERLINK("https://pbs.twimg.com/profile_banners/235846350/1470125082")</f>
        <v>https://pbs.twimg.com/profile_banners/235846350/1470125082</v>
      </c>
      <c r="AQ103" s="79" t="b">
        <v>0</v>
      </c>
      <c r="AR103" s="79" t="b">
        <v>0</v>
      </c>
      <c r="AS103" s="79" t="b">
        <v>1</v>
      </c>
      <c r="AT103" s="79"/>
      <c r="AU103" s="79">
        <v>15</v>
      </c>
      <c r="AV103" s="86" t="str">
        <f>HYPERLINK("https://abs.twimg.com/images/themes/theme18/bg.gif")</f>
        <v>https://abs.twimg.com/images/themes/theme18/bg.gif</v>
      </c>
      <c r="AW103" s="79" t="b">
        <v>0</v>
      </c>
      <c r="AX103" s="79" t="s">
        <v>1458</v>
      </c>
      <c r="AY103" s="86" t="str">
        <f>HYPERLINK("https://twitter.com/apoloniovaldez")</f>
        <v>https://twitter.com/apoloniovaldez</v>
      </c>
      <c r="AZ103" s="79" t="s">
        <v>66</v>
      </c>
      <c r="BA103" s="79" t="str">
        <f>REPLACE(INDEX(GroupVertices[Group],MATCH(Vertices[[#This Row],[Vertex]],GroupVertices[Vertex],0)),1,1,"")</f>
        <v>1</v>
      </c>
      <c r="BB103" s="49">
        <v>0</v>
      </c>
      <c r="BC103" s="50">
        <v>0</v>
      </c>
      <c r="BD103" s="49">
        <v>0</v>
      </c>
      <c r="BE103" s="50">
        <v>0</v>
      </c>
      <c r="BF103" s="49">
        <v>0</v>
      </c>
      <c r="BG103" s="50">
        <v>0</v>
      </c>
      <c r="BH103" s="49">
        <v>38</v>
      </c>
      <c r="BI103" s="50">
        <v>100</v>
      </c>
      <c r="BJ103" s="49">
        <v>38</v>
      </c>
      <c r="BK103" s="49"/>
      <c r="BL103" s="49"/>
      <c r="BM103" s="49"/>
      <c r="BN103" s="49"/>
      <c r="BO103" s="49" t="s">
        <v>498</v>
      </c>
      <c r="BP103" s="49" t="s">
        <v>498</v>
      </c>
      <c r="BQ103" s="115" t="s">
        <v>2277</v>
      </c>
      <c r="BR103" s="115" t="s">
        <v>2277</v>
      </c>
      <c r="BS103" s="115" t="s">
        <v>2392</v>
      </c>
      <c r="BT103" s="115" t="s">
        <v>2392</v>
      </c>
      <c r="BU103" s="2"/>
      <c r="BV103" s="3"/>
      <c r="BW103" s="3"/>
      <c r="BX103" s="3"/>
      <c r="BY103" s="3"/>
    </row>
    <row r="104" spans="1:77" ht="15">
      <c r="A104" s="65" t="s">
        <v>294</v>
      </c>
      <c r="B104" s="66"/>
      <c r="C104" s="66"/>
      <c r="D104" s="67">
        <v>100</v>
      </c>
      <c r="E104" s="69"/>
      <c r="F104" s="103" t="str">
        <f>HYPERLINK("https://pbs.twimg.com/profile_images/1237067857554485249/6OZAgiuT_normal.jpg")</f>
        <v>https://pbs.twimg.com/profile_images/1237067857554485249/6OZAgiuT_normal.jpg</v>
      </c>
      <c r="G104" s="66"/>
      <c r="H104" s="70" t="s">
        <v>294</v>
      </c>
      <c r="I104" s="71"/>
      <c r="J104" s="71" t="s">
        <v>159</v>
      </c>
      <c r="K104" s="70" t="s">
        <v>1559</v>
      </c>
      <c r="L104" s="74">
        <v>1</v>
      </c>
      <c r="M104" s="75">
        <v>1017.5783081054688</v>
      </c>
      <c r="N104" s="75">
        <v>5575.43359375</v>
      </c>
      <c r="O104" s="76"/>
      <c r="P104" s="77"/>
      <c r="Q104" s="77"/>
      <c r="R104" s="89"/>
      <c r="S104" s="49">
        <v>0</v>
      </c>
      <c r="T104" s="49">
        <v>1</v>
      </c>
      <c r="U104" s="50">
        <v>0</v>
      </c>
      <c r="V104" s="50">
        <v>0.014085</v>
      </c>
      <c r="W104" s="50">
        <v>0</v>
      </c>
      <c r="X104" s="50">
        <v>0.547336</v>
      </c>
      <c r="Y104" s="50">
        <v>0</v>
      </c>
      <c r="Z104" s="50">
        <v>0</v>
      </c>
      <c r="AA104" s="72">
        <v>104</v>
      </c>
      <c r="AB104" s="72"/>
      <c r="AC104" s="73"/>
      <c r="AD104" s="79" t="s">
        <v>294</v>
      </c>
      <c r="AE104" s="84" t="s">
        <v>1188</v>
      </c>
      <c r="AF104" s="79">
        <v>2590</v>
      </c>
      <c r="AG104" s="79">
        <v>142</v>
      </c>
      <c r="AH104" s="79">
        <v>101504</v>
      </c>
      <c r="AI104" s="79">
        <v>59934</v>
      </c>
      <c r="AJ104" s="79"/>
      <c r="AK104" s="79" t="s">
        <v>1335</v>
      </c>
      <c r="AL104" s="79"/>
      <c r="AM104" s="79"/>
      <c r="AN104" s="79"/>
      <c r="AO104" s="81">
        <v>40787.17184027778</v>
      </c>
      <c r="AP104" s="86" t="str">
        <f>HYPERLINK("https://pbs.twimg.com/profile_banners/365860183/1545059289")</f>
        <v>https://pbs.twimg.com/profile_banners/365860183/1545059289</v>
      </c>
      <c r="AQ104" s="79" t="b">
        <v>0</v>
      </c>
      <c r="AR104" s="79" t="b">
        <v>0</v>
      </c>
      <c r="AS104" s="79" t="b">
        <v>0</v>
      </c>
      <c r="AT104" s="79"/>
      <c r="AU104" s="79">
        <v>5</v>
      </c>
      <c r="AV104" s="86" t="str">
        <f>HYPERLINK("https://abs.twimg.com/images/themes/theme10/bg.gif")</f>
        <v>https://abs.twimg.com/images/themes/theme10/bg.gif</v>
      </c>
      <c r="AW104" s="79" t="b">
        <v>0</v>
      </c>
      <c r="AX104" s="79" t="s">
        <v>1458</v>
      </c>
      <c r="AY104" s="86" t="str">
        <f>HYPERLINK("https://twitter.com/jorge2t23")</f>
        <v>https://twitter.com/jorge2t23</v>
      </c>
      <c r="AZ104" s="79" t="s">
        <v>66</v>
      </c>
      <c r="BA104" s="79" t="str">
        <f>REPLACE(INDEX(GroupVertices[Group],MATCH(Vertices[[#This Row],[Vertex]],GroupVertices[Vertex],0)),1,1,"")</f>
        <v>1</v>
      </c>
      <c r="BB104" s="49">
        <v>0</v>
      </c>
      <c r="BC104" s="50">
        <v>0</v>
      </c>
      <c r="BD104" s="49">
        <v>0</v>
      </c>
      <c r="BE104" s="50">
        <v>0</v>
      </c>
      <c r="BF104" s="49">
        <v>0</v>
      </c>
      <c r="BG104" s="50">
        <v>0</v>
      </c>
      <c r="BH104" s="49">
        <v>38</v>
      </c>
      <c r="BI104" s="50">
        <v>100</v>
      </c>
      <c r="BJ104" s="49">
        <v>38</v>
      </c>
      <c r="BK104" s="49"/>
      <c r="BL104" s="49"/>
      <c r="BM104" s="49"/>
      <c r="BN104" s="49"/>
      <c r="BO104" s="49" t="s">
        <v>498</v>
      </c>
      <c r="BP104" s="49" t="s">
        <v>498</v>
      </c>
      <c r="BQ104" s="115" t="s">
        <v>2277</v>
      </c>
      <c r="BR104" s="115" t="s">
        <v>2277</v>
      </c>
      <c r="BS104" s="115" t="s">
        <v>2392</v>
      </c>
      <c r="BT104" s="115" t="s">
        <v>2392</v>
      </c>
      <c r="BU104" s="2"/>
      <c r="BV104" s="3"/>
      <c r="BW104" s="3"/>
      <c r="BX104" s="3"/>
      <c r="BY104" s="3"/>
    </row>
    <row r="105" spans="1:77" ht="15">
      <c r="A105" s="65" t="s">
        <v>295</v>
      </c>
      <c r="B105" s="66"/>
      <c r="C105" s="66"/>
      <c r="D105" s="67">
        <v>100</v>
      </c>
      <c r="E105" s="69"/>
      <c r="F105" s="103" t="str">
        <f>HYPERLINK("https://pbs.twimg.com/profile_images/1156279131111342084/8yaLtTZI_normal.jpg")</f>
        <v>https://pbs.twimg.com/profile_images/1156279131111342084/8yaLtTZI_normal.jpg</v>
      </c>
      <c r="G105" s="66"/>
      <c r="H105" s="70" t="s">
        <v>295</v>
      </c>
      <c r="I105" s="71"/>
      <c r="J105" s="71" t="s">
        <v>159</v>
      </c>
      <c r="K105" s="70" t="s">
        <v>1560</v>
      </c>
      <c r="L105" s="74">
        <v>1</v>
      </c>
      <c r="M105" s="75">
        <v>3910.223388671875</v>
      </c>
      <c r="N105" s="75">
        <v>2745.154541015625</v>
      </c>
      <c r="O105" s="76"/>
      <c r="P105" s="77"/>
      <c r="Q105" s="77"/>
      <c r="R105" s="89"/>
      <c r="S105" s="49">
        <v>0</v>
      </c>
      <c r="T105" s="49">
        <v>2</v>
      </c>
      <c r="U105" s="50">
        <v>0</v>
      </c>
      <c r="V105" s="50">
        <v>0.125</v>
      </c>
      <c r="W105" s="50">
        <v>0</v>
      </c>
      <c r="X105" s="50">
        <v>0.726067</v>
      </c>
      <c r="Y105" s="50">
        <v>0.5</v>
      </c>
      <c r="Z105" s="50">
        <v>0</v>
      </c>
      <c r="AA105" s="72">
        <v>105</v>
      </c>
      <c r="AB105" s="72"/>
      <c r="AC105" s="73"/>
      <c r="AD105" s="79" t="s">
        <v>1028</v>
      </c>
      <c r="AE105" s="84" t="s">
        <v>1189</v>
      </c>
      <c r="AF105" s="79">
        <v>987</v>
      </c>
      <c r="AG105" s="79">
        <v>4766</v>
      </c>
      <c r="AH105" s="79">
        <v>8551</v>
      </c>
      <c r="AI105" s="79">
        <v>2617</v>
      </c>
      <c r="AJ105" s="79"/>
      <c r="AK105" s="79" t="s">
        <v>1336</v>
      </c>
      <c r="AL105" s="79" t="s">
        <v>1434</v>
      </c>
      <c r="AM105" s="86" t="str">
        <f>HYPERLINK("https://t.co/rUGZJTFpx9")</f>
        <v>https://t.co/rUGZJTFpx9</v>
      </c>
      <c r="AN105" s="79"/>
      <c r="AO105" s="81">
        <v>40642.781319444446</v>
      </c>
      <c r="AP105" s="86" t="str">
        <f>HYPERLINK("https://pbs.twimg.com/profile_banners/279657994/1567444410")</f>
        <v>https://pbs.twimg.com/profile_banners/279657994/1567444410</v>
      </c>
      <c r="AQ105" s="79" t="b">
        <v>0</v>
      </c>
      <c r="AR105" s="79" t="b">
        <v>0</v>
      </c>
      <c r="AS105" s="79" t="b">
        <v>0</v>
      </c>
      <c r="AT105" s="79"/>
      <c r="AU105" s="79">
        <v>82</v>
      </c>
      <c r="AV105" s="86" t="str">
        <f>HYPERLINK("https://abs.twimg.com/images/themes/theme1/bg.png")</f>
        <v>https://abs.twimg.com/images/themes/theme1/bg.png</v>
      </c>
      <c r="AW105" s="79" t="b">
        <v>0</v>
      </c>
      <c r="AX105" s="79" t="s">
        <v>1458</v>
      </c>
      <c r="AY105" s="86" t="str">
        <f>HYPERLINK("https://twitter.com/el7vicio")</f>
        <v>https://twitter.com/el7vicio</v>
      </c>
      <c r="AZ105" s="79" t="s">
        <v>66</v>
      </c>
      <c r="BA105" s="79" t="str">
        <f>REPLACE(INDEX(GroupVertices[Group],MATCH(Vertices[[#This Row],[Vertex]],GroupVertices[Vertex],0)),1,1,"")</f>
        <v>7</v>
      </c>
      <c r="BB105" s="49">
        <v>0</v>
      </c>
      <c r="BC105" s="50">
        <v>0</v>
      </c>
      <c r="BD105" s="49">
        <v>0</v>
      </c>
      <c r="BE105" s="50">
        <v>0</v>
      </c>
      <c r="BF105" s="49">
        <v>0</v>
      </c>
      <c r="BG105" s="50">
        <v>0</v>
      </c>
      <c r="BH105" s="49">
        <v>22</v>
      </c>
      <c r="BI105" s="50">
        <v>100</v>
      </c>
      <c r="BJ105" s="49">
        <v>22</v>
      </c>
      <c r="BK105" s="49"/>
      <c r="BL105" s="49"/>
      <c r="BM105" s="49"/>
      <c r="BN105" s="49"/>
      <c r="BO105" s="49" t="s">
        <v>499</v>
      </c>
      <c r="BP105" s="49" t="s">
        <v>499</v>
      </c>
      <c r="BQ105" s="115" t="s">
        <v>2555</v>
      </c>
      <c r="BR105" s="115" t="s">
        <v>2555</v>
      </c>
      <c r="BS105" s="115" t="s">
        <v>2604</v>
      </c>
      <c r="BT105" s="115" t="s">
        <v>2604</v>
      </c>
      <c r="BU105" s="2"/>
      <c r="BV105" s="3"/>
      <c r="BW105" s="3"/>
      <c r="BX105" s="3"/>
      <c r="BY105" s="3"/>
    </row>
    <row r="106" spans="1:77" ht="15">
      <c r="A106" s="65" t="s">
        <v>296</v>
      </c>
      <c r="B106" s="66"/>
      <c r="C106" s="66"/>
      <c r="D106" s="67">
        <v>100</v>
      </c>
      <c r="E106" s="69"/>
      <c r="F106" s="103" t="str">
        <f>HYPERLINK("https://pbs.twimg.com/profile_images/830271639027798016/zsgYnpWH_normal.jpg")</f>
        <v>https://pbs.twimg.com/profile_images/830271639027798016/zsgYnpWH_normal.jpg</v>
      </c>
      <c r="G106" s="66"/>
      <c r="H106" s="70" t="s">
        <v>296</v>
      </c>
      <c r="I106" s="71"/>
      <c r="J106" s="71" t="s">
        <v>159</v>
      </c>
      <c r="K106" s="70" t="s">
        <v>1561</v>
      </c>
      <c r="L106" s="74">
        <v>1</v>
      </c>
      <c r="M106" s="75">
        <v>8735.16015625</v>
      </c>
      <c r="N106" s="75">
        <v>9376.69921875</v>
      </c>
      <c r="O106" s="76"/>
      <c r="P106" s="77"/>
      <c r="Q106" s="77"/>
      <c r="R106" s="89"/>
      <c r="S106" s="49">
        <v>1</v>
      </c>
      <c r="T106" s="49">
        <v>1</v>
      </c>
      <c r="U106" s="50">
        <v>0</v>
      </c>
      <c r="V106" s="50">
        <v>0</v>
      </c>
      <c r="W106" s="50">
        <v>0</v>
      </c>
      <c r="X106" s="50">
        <v>0.999997</v>
      </c>
      <c r="Y106" s="50">
        <v>0</v>
      </c>
      <c r="Z106" s="50">
        <v>0</v>
      </c>
      <c r="AA106" s="72">
        <v>106</v>
      </c>
      <c r="AB106" s="72"/>
      <c r="AC106" s="73"/>
      <c r="AD106" s="79" t="s">
        <v>1029</v>
      </c>
      <c r="AE106" s="84" t="s">
        <v>1190</v>
      </c>
      <c r="AF106" s="79">
        <v>538</v>
      </c>
      <c r="AG106" s="79">
        <v>123</v>
      </c>
      <c r="AH106" s="79">
        <v>265</v>
      </c>
      <c r="AI106" s="79">
        <v>508</v>
      </c>
      <c r="AJ106" s="79"/>
      <c r="AK106" s="79" t="s">
        <v>1337</v>
      </c>
      <c r="AL106" s="79" t="s">
        <v>1435</v>
      </c>
      <c r="AM106" s="79"/>
      <c r="AN106" s="79"/>
      <c r="AO106" s="81">
        <v>40291.86515046296</v>
      </c>
      <c r="AP106" s="86" t="str">
        <f>HYPERLINK("https://pbs.twimg.com/profile_banners/136394182/1460743747")</f>
        <v>https://pbs.twimg.com/profile_banners/136394182/1460743747</v>
      </c>
      <c r="AQ106" s="79" t="b">
        <v>1</v>
      </c>
      <c r="AR106" s="79" t="b">
        <v>0</v>
      </c>
      <c r="AS106" s="79" t="b">
        <v>1</v>
      </c>
      <c r="AT106" s="79"/>
      <c r="AU106" s="79">
        <v>0</v>
      </c>
      <c r="AV106" s="86" t="str">
        <f>HYPERLINK("https://abs.twimg.com/images/themes/theme1/bg.png")</f>
        <v>https://abs.twimg.com/images/themes/theme1/bg.png</v>
      </c>
      <c r="AW106" s="79" t="b">
        <v>0</v>
      </c>
      <c r="AX106" s="79" t="s">
        <v>1458</v>
      </c>
      <c r="AY106" s="86" t="str">
        <f>HYPERLINK("https://twitter.com/jorgeberna")</f>
        <v>https://twitter.com/jorgeberna</v>
      </c>
      <c r="AZ106" s="79" t="s">
        <v>66</v>
      </c>
      <c r="BA106" s="79" t="str">
        <f>REPLACE(INDEX(GroupVertices[Group],MATCH(Vertices[[#This Row],[Vertex]],GroupVertices[Vertex],0)),1,1,"")</f>
        <v>4</v>
      </c>
      <c r="BB106" s="49">
        <v>0</v>
      </c>
      <c r="BC106" s="50">
        <v>0</v>
      </c>
      <c r="BD106" s="49">
        <v>0</v>
      </c>
      <c r="BE106" s="50">
        <v>0</v>
      </c>
      <c r="BF106" s="49">
        <v>0</v>
      </c>
      <c r="BG106" s="50">
        <v>0</v>
      </c>
      <c r="BH106" s="49">
        <v>28</v>
      </c>
      <c r="BI106" s="50">
        <v>100</v>
      </c>
      <c r="BJ106" s="49">
        <v>28</v>
      </c>
      <c r="BK106" s="49"/>
      <c r="BL106" s="49"/>
      <c r="BM106" s="49"/>
      <c r="BN106" s="49"/>
      <c r="BO106" s="49" t="s">
        <v>500</v>
      </c>
      <c r="BP106" s="49" t="s">
        <v>500</v>
      </c>
      <c r="BQ106" s="115" t="s">
        <v>2557</v>
      </c>
      <c r="BR106" s="115" t="s">
        <v>2557</v>
      </c>
      <c r="BS106" s="115" t="s">
        <v>2606</v>
      </c>
      <c r="BT106" s="115" t="s">
        <v>2606</v>
      </c>
      <c r="BU106" s="2"/>
      <c r="BV106" s="3"/>
      <c r="BW106" s="3"/>
      <c r="BX106" s="3"/>
      <c r="BY106" s="3"/>
    </row>
    <row r="107" spans="1:77" ht="15">
      <c r="A107" s="65" t="s">
        <v>297</v>
      </c>
      <c r="B107" s="66"/>
      <c r="C107" s="66"/>
      <c r="D107" s="67">
        <v>100</v>
      </c>
      <c r="E107" s="69"/>
      <c r="F107" s="103" t="str">
        <f>HYPERLINK("https://pbs.twimg.com/profile_images/1436000441779773448/WZqXZmlW_normal.jpg")</f>
        <v>https://pbs.twimg.com/profile_images/1436000441779773448/WZqXZmlW_normal.jpg</v>
      </c>
      <c r="G107" s="66"/>
      <c r="H107" s="70" t="s">
        <v>297</v>
      </c>
      <c r="I107" s="71"/>
      <c r="J107" s="71" t="s">
        <v>159</v>
      </c>
      <c r="K107" s="70" t="s">
        <v>1562</v>
      </c>
      <c r="L107" s="74">
        <v>1</v>
      </c>
      <c r="M107" s="75">
        <v>2477.22216796875</v>
      </c>
      <c r="N107" s="75">
        <v>5173.21630859375</v>
      </c>
      <c r="O107" s="76"/>
      <c r="P107" s="77"/>
      <c r="Q107" s="77"/>
      <c r="R107" s="89"/>
      <c r="S107" s="49">
        <v>0</v>
      </c>
      <c r="T107" s="49">
        <v>1</v>
      </c>
      <c r="U107" s="50">
        <v>0</v>
      </c>
      <c r="V107" s="50">
        <v>0.014085</v>
      </c>
      <c r="W107" s="50">
        <v>0</v>
      </c>
      <c r="X107" s="50">
        <v>0.547336</v>
      </c>
      <c r="Y107" s="50">
        <v>0</v>
      </c>
      <c r="Z107" s="50">
        <v>0</v>
      </c>
      <c r="AA107" s="72">
        <v>107</v>
      </c>
      <c r="AB107" s="72"/>
      <c r="AC107" s="73"/>
      <c r="AD107" s="79" t="s">
        <v>1030</v>
      </c>
      <c r="AE107" s="84" t="s">
        <v>1191</v>
      </c>
      <c r="AF107" s="79">
        <v>2419</v>
      </c>
      <c r="AG107" s="79">
        <v>226</v>
      </c>
      <c r="AH107" s="79">
        <v>14256</v>
      </c>
      <c r="AI107" s="79">
        <v>16349</v>
      </c>
      <c r="AJ107" s="79"/>
      <c r="AK107" s="79" t="s">
        <v>1338</v>
      </c>
      <c r="AL107" s="79" t="s">
        <v>901</v>
      </c>
      <c r="AM107" s="79"/>
      <c r="AN107" s="79"/>
      <c r="AO107" s="81">
        <v>40191.278958333336</v>
      </c>
      <c r="AP107" s="86" t="str">
        <f>HYPERLINK("https://pbs.twimg.com/profile_banners/104404436/1357440263")</f>
        <v>https://pbs.twimg.com/profile_banners/104404436/1357440263</v>
      </c>
      <c r="AQ107" s="79" t="b">
        <v>0</v>
      </c>
      <c r="AR107" s="79" t="b">
        <v>0</v>
      </c>
      <c r="AS107" s="79" t="b">
        <v>1</v>
      </c>
      <c r="AT107" s="79"/>
      <c r="AU107" s="79">
        <v>0</v>
      </c>
      <c r="AV107" s="86" t="str">
        <f>HYPERLINK("https://abs.twimg.com/images/themes/theme1/bg.png")</f>
        <v>https://abs.twimg.com/images/themes/theme1/bg.png</v>
      </c>
      <c r="AW107" s="79" t="b">
        <v>0</v>
      </c>
      <c r="AX107" s="79" t="s">
        <v>1458</v>
      </c>
      <c r="AY107" s="86" t="str">
        <f>HYPERLINK("https://twitter.com/janethsot")</f>
        <v>https://twitter.com/janethsot</v>
      </c>
      <c r="AZ107" s="79" t="s">
        <v>66</v>
      </c>
      <c r="BA107" s="79" t="str">
        <f>REPLACE(INDEX(GroupVertices[Group],MATCH(Vertices[[#This Row],[Vertex]],GroupVertices[Vertex],0)),1,1,"")</f>
        <v>1</v>
      </c>
      <c r="BB107" s="49">
        <v>0</v>
      </c>
      <c r="BC107" s="50">
        <v>0</v>
      </c>
      <c r="BD107" s="49">
        <v>0</v>
      </c>
      <c r="BE107" s="50">
        <v>0</v>
      </c>
      <c r="BF107" s="49">
        <v>0</v>
      </c>
      <c r="BG107" s="50">
        <v>0</v>
      </c>
      <c r="BH107" s="49">
        <v>38</v>
      </c>
      <c r="BI107" s="50">
        <v>100</v>
      </c>
      <c r="BJ107" s="49">
        <v>38</v>
      </c>
      <c r="BK107" s="49"/>
      <c r="BL107" s="49"/>
      <c r="BM107" s="49"/>
      <c r="BN107" s="49"/>
      <c r="BO107" s="49" t="s">
        <v>498</v>
      </c>
      <c r="BP107" s="49" t="s">
        <v>498</v>
      </c>
      <c r="BQ107" s="115" t="s">
        <v>2277</v>
      </c>
      <c r="BR107" s="115" t="s">
        <v>2277</v>
      </c>
      <c r="BS107" s="115" t="s">
        <v>2392</v>
      </c>
      <c r="BT107" s="115" t="s">
        <v>2392</v>
      </c>
      <c r="BU107" s="2"/>
      <c r="BV107" s="3"/>
      <c r="BW107" s="3"/>
      <c r="BX107" s="3"/>
      <c r="BY107" s="3"/>
    </row>
    <row r="108" spans="1:77" ht="15">
      <c r="A108" s="65" t="s">
        <v>298</v>
      </c>
      <c r="B108" s="66"/>
      <c r="C108" s="66"/>
      <c r="D108" s="67">
        <v>100</v>
      </c>
      <c r="E108" s="69"/>
      <c r="F108" s="103" t="str">
        <f>HYPERLINK("https://pbs.twimg.com/profile_images/1380749538118537217/8G_73iaP_normal.jpg")</f>
        <v>https://pbs.twimg.com/profile_images/1380749538118537217/8G_73iaP_normal.jpg</v>
      </c>
      <c r="G108" s="66"/>
      <c r="H108" s="70" t="s">
        <v>298</v>
      </c>
      <c r="I108" s="71"/>
      <c r="J108" s="71" t="s">
        <v>159</v>
      </c>
      <c r="K108" s="70" t="s">
        <v>1563</v>
      </c>
      <c r="L108" s="74">
        <v>1</v>
      </c>
      <c r="M108" s="75">
        <v>2529.29052734375</v>
      </c>
      <c r="N108" s="75">
        <v>8142.779296875</v>
      </c>
      <c r="O108" s="76"/>
      <c r="P108" s="77"/>
      <c r="Q108" s="77"/>
      <c r="R108" s="89"/>
      <c r="S108" s="49">
        <v>0</v>
      </c>
      <c r="T108" s="49">
        <v>1</v>
      </c>
      <c r="U108" s="50">
        <v>0</v>
      </c>
      <c r="V108" s="50">
        <v>0.014085</v>
      </c>
      <c r="W108" s="50">
        <v>0</v>
      </c>
      <c r="X108" s="50">
        <v>0.547336</v>
      </c>
      <c r="Y108" s="50">
        <v>0</v>
      </c>
      <c r="Z108" s="50">
        <v>0</v>
      </c>
      <c r="AA108" s="72">
        <v>108</v>
      </c>
      <c r="AB108" s="72"/>
      <c r="AC108" s="73"/>
      <c r="AD108" s="79" t="s">
        <v>1031</v>
      </c>
      <c r="AE108" s="84" t="s">
        <v>1192</v>
      </c>
      <c r="AF108" s="79">
        <v>224</v>
      </c>
      <c r="AG108" s="79">
        <v>6</v>
      </c>
      <c r="AH108" s="79">
        <v>513</v>
      </c>
      <c r="AI108" s="79">
        <v>1118</v>
      </c>
      <c r="AJ108" s="79"/>
      <c r="AK108" s="79" t="s">
        <v>1339</v>
      </c>
      <c r="AL108" s="79"/>
      <c r="AM108" s="79"/>
      <c r="AN108" s="79"/>
      <c r="AO108" s="81">
        <v>44296.21399305556</v>
      </c>
      <c r="AP108" s="79"/>
      <c r="AQ108" s="79" t="b">
        <v>1</v>
      </c>
      <c r="AR108" s="79" t="b">
        <v>0</v>
      </c>
      <c r="AS108" s="79" t="b">
        <v>0</v>
      </c>
      <c r="AT108" s="79"/>
      <c r="AU108" s="79">
        <v>0</v>
      </c>
      <c r="AV108" s="79"/>
      <c r="AW108" s="79" t="b">
        <v>0</v>
      </c>
      <c r="AX108" s="79" t="s">
        <v>1458</v>
      </c>
      <c r="AY108" s="86" t="str">
        <f>HYPERLINK("https://twitter.com/javierazua7")</f>
        <v>https://twitter.com/javierazua7</v>
      </c>
      <c r="AZ108" s="79" t="s">
        <v>66</v>
      </c>
      <c r="BA108" s="79" t="str">
        <f>REPLACE(INDEX(GroupVertices[Group],MATCH(Vertices[[#This Row],[Vertex]],GroupVertices[Vertex],0)),1,1,"")</f>
        <v>1</v>
      </c>
      <c r="BB108" s="49">
        <v>0</v>
      </c>
      <c r="BC108" s="50">
        <v>0</v>
      </c>
      <c r="BD108" s="49">
        <v>0</v>
      </c>
      <c r="BE108" s="50">
        <v>0</v>
      </c>
      <c r="BF108" s="49">
        <v>0</v>
      </c>
      <c r="BG108" s="50">
        <v>0</v>
      </c>
      <c r="BH108" s="49">
        <v>38</v>
      </c>
      <c r="BI108" s="50">
        <v>100</v>
      </c>
      <c r="BJ108" s="49">
        <v>38</v>
      </c>
      <c r="BK108" s="49"/>
      <c r="BL108" s="49"/>
      <c r="BM108" s="49"/>
      <c r="BN108" s="49"/>
      <c r="BO108" s="49" t="s">
        <v>498</v>
      </c>
      <c r="BP108" s="49" t="s">
        <v>498</v>
      </c>
      <c r="BQ108" s="115" t="s">
        <v>2277</v>
      </c>
      <c r="BR108" s="115" t="s">
        <v>2277</v>
      </c>
      <c r="BS108" s="115" t="s">
        <v>2392</v>
      </c>
      <c r="BT108" s="115" t="s">
        <v>2392</v>
      </c>
      <c r="BU108" s="2"/>
      <c r="BV108" s="3"/>
      <c r="BW108" s="3"/>
      <c r="BX108" s="3"/>
      <c r="BY108" s="3"/>
    </row>
    <row r="109" spans="1:77" ht="15">
      <c r="A109" s="65" t="s">
        <v>299</v>
      </c>
      <c r="B109" s="66"/>
      <c r="C109" s="66"/>
      <c r="D109" s="67">
        <v>100</v>
      </c>
      <c r="E109" s="69"/>
      <c r="F109" s="103" t="str">
        <f>HYPERLINK("https://pbs.twimg.com/profile_images/2370229040/catrina504_normal.jpg")</f>
        <v>https://pbs.twimg.com/profile_images/2370229040/catrina504_normal.jpg</v>
      </c>
      <c r="G109" s="66"/>
      <c r="H109" s="70" t="s">
        <v>299</v>
      </c>
      <c r="I109" s="71"/>
      <c r="J109" s="71" t="s">
        <v>159</v>
      </c>
      <c r="K109" s="70" t="s">
        <v>1564</v>
      </c>
      <c r="L109" s="74">
        <v>1</v>
      </c>
      <c r="M109" s="75">
        <v>5140.00927734375</v>
      </c>
      <c r="N109" s="75">
        <v>9619.291015625</v>
      </c>
      <c r="O109" s="76"/>
      <c r="P109" s="77"/>
      <c r="Q109" s="77"/>
      <c r="R109" s="89"/>
      <c r="S109" s="49">
        <v>0</v>
      </c>
      <c r="T109" s="49">
        <v>1</v>
      </c>
      <c r="U109" s="50">
        <v>0</v>
      </c>
      <c r="V109" s="50">
        <v>0.047619</v>
      </c>
      <c r="W109" s="50">
        <v>0</v>
      </c>
      <c r="X109" s="50">
        <v>0.462912</v>
      </c>
      <c r="Y109" s="50">
        <v>0</v>
      </c>
      <c r="Z109" s="50">
        <v>0</v>
      </c>
      <c r="AA109" s="72">
        <v>109</v>
      </c>
      <c r="AB109" s="72"/>
      <c r="AC109" s="73"/>
      <c r="AD109" s="79" t="s">
        <v>1032</v>
      </c>
      <c r="AE109" s="84" t="s">
        <v>1193</v>
      </c>
      <c r="AF109" s="79">
        <v>352</v>
      </c>
      <c r="AG109" s="79">
        <v>109</v>
      </c>
      <c r="AH109" s="79">
        <v>1322</v>
      </c>
      <c r="AI109" s="79">
        <v>656</v>
      </c>
      <c r="AJ109" s="79"/>
      <c r="AK109" s="79"/>
      <c r="AL109" s="79" t="s">
        <v>1393</v>
      </c>
      <c r="AM109" s="79"/>
      <c r="AN109" s="79"/>
      <c r="AO109" s="81">
        <v>41095.68003472222</v>
      </c>
      <c r="AP109" s="79"/>
      <c r="AQ109" s="79" t="b">
        <v>0</v>
      </c>
      <c r="AR109" s="79" t="b">
        <v>0</v>
      </c>
      <c r="AS109" s="79" t="b">
        <v>1</v>
      </c>
      <c r="AT109" s="79"/>
      <c r="AU109" s="79">
        <v>0</v>
      </c>
      <c r="AV109" s="86" t="str">
        <f>HYPERLINK("https://abs.twimg.com/images/themes/theme6/bg.gif")</f>
        <v>https://abs.twimg.com/images/themes/theme6/bg.gif</v>
      </c>
      <c r="AW109" s="79" t="b">
        <v>0</v>
      </c>
      <c r="AX109" s="79" t="s">
        <v>1458</v>
      </c>
      <c r="AY109" s="86" t="str">
        <f>HYPERLINK("https://twitter.com/selvita_sil")</f>
        <v>https://twitter.com/selvita_sil</v>
      </c>
      <c r="AZ109" s="79" t="s">
        <v>66</v>
      </c>
      <c r="BA109" s="79" t="str">
        <f>REPLACE(INDEX(GroupVertices[Group],MATCH(Vertices[[#This Row],[Vertex]],GroupVertices[Vertex],0)),1,1,"")</f>
        <v>3</v>
      </c>
      <c r="BB109" s="49">
        <v>0</v>
      </c>
      <c r="BC109" s="50">
        <v>0</v>
      </c>
      <c r="BD109" s="49">
        <v>0</v>
      </c>
      <c r="BE109" s="50">
        <v>0</v>
      </c>
      <c r="BF109" s="49">
        <v>0</v>
      </c>
      <c r="BG109" s="50">
        <v>0</v>
      </c>
      <c r="BH109" s="49">
        <v>35</v>
      </c>
      <c r="BI109" s="50">
        <v>100</v>
      </c>
      <c r="BJ109" s="49">
        <v>35</v>
      </c>
      <c r="BK109" s="49" t="s">
        <v>2150</v>
      </c>
      <c r="BL109" s="49" t="s">
        <v>2150</v>
      </c>
      <c r="BM109" s="49" t="s">
        <v>451</v>
      </c>
      <c r="BN109" s="49" t="s">
        <v>451</v>
      </c>
      <c r="BO109" s="49" t="s">
        <v>493</v>
      </c>
      <c r="BP109" s="49" t="s">
        <v>493</v>
      </c>
      <c r="BQ109" s="115" t="s">
        <v>2549</v>
      </c>
      <c r="BR109" s="115" t="s">
        <v>2549</v>
      </c>
      <c r="BS109" s="115" t="s">
        <v>2599</v>
      </c>
      <c r="BT109" s="115" t="s">
        <v>2599</v>
      </c>
      <c r="BU109" s="2"/>
      <c r="BV109" s="3"/>
      <c r="BW109" s="3"/>
      <c r="BX109" s="3"/>
      <c r="BY109" s="3"/>
    </row>
    <row r="110" spans="1:77" ht="15">
      <c r="A110" s="65" t="s">
        <v>300</v>
      </c>
      <c r="B110" s="66"/>
      <c r="C110" s="66"/>
      <c r="D110" s="67">
        <v>100</v>
      </c>
      <c r="E110" s="69"/>
      <c r="F110" s="103" t="str">
        <f>HYPERLINK("https://pbs.twimg.com/profile_images/1421334411367403525/WLwK9Tts_normal.jpg")</f>
        <v>https://pbs.twimg.com/profile_images/1421334411367403525/WLwK9Tts_normal.jpg</v>
      </c>
      <c r="G110" s="66"/>
      <c r="H110" s="70" t="s">
        <v>300</v>
      </c>
      <c r="I110" s="71"/>
      <c r="J110" s="71" t="s">
        <v>159</v>
      </c>
      <c r="K110" s="70" t="s">
        <v>1565</v>
      </c>
      <c r="L110" s="74">
        <v>1</v>
      </c>
      <c r="M110" s="75">
        <v>335.1620178222656</v>
      </c>
      <c r="N110" s="75">
        <v>6824.67236328125</v>
      </c>
      <c r="O110" s="76"/>
      <c r="P110" s="77"/>
      <c r="Q110" s="77"/>
      <c r="R110" s="89"/>
      <c r="S110" s="49">
        <v>0</v>
      </c>
      <c r="T110" s="49">
        <v>1</v>
      </c>
      <c r="U110" s="50">
        <v>0</v>
      </c>
      <c r="V110" s="50">
        <v>0.014085</v>
      </c>
      <c r="W110" s="50">
        <v>0</v>
      </c>
      <c r="X110" s="50">
        <v>0.547336</v>
      </c>
      <c r="Y110" s="50">
        <v>0</v>
      </c>
      <c r="Z110" s="50">
        <v>0</v>
      </c>
      <c r="AA110" s="72">
        <v>110</v>
      </c>
      <c r="AB110" s="72"/>
      <c r="AC110" s="73"/>
      <c r="AD110" s="79" t="s">
        <v>1033</v>
      </c>
      <c r="AE110" s="84" t="s">
        <v>1194</v>
      </c>
      <c r="AF110" s="79">
        <v>260</v>
      </c>
      <c r="AG110" s="79">
        <v>19</v>
      </c>
      <c r="AH110" s="79">
        <v>964</v>
      </c>
      <c r="AI110" s="79">
        <v>2985</v>
      </c>
      <c r="AJ110" s="79"/>
      <c r="AK110" s="79" t="s">
        <v>1340</v>
      </c>
      <c r="AL110" s="79" t="s">
        <v>1436</v>
      </c>
      <c r="AM110" s="79"/>
      <c r="AN110" s="79"/>
      <c r="AO110" s="81">
        <v>43872.74024305555</v>
      </c>
      <c r="AP110" s="86" t="str">
        <f>HYPERLINK("https://pbs.twimg.com/profile_banners/1227287629697298432/1603406123")</f>
        <v>https://pbs.twimg.com/profile_banners/1227287629697298432/1603406123</v>
      </c>
      <c r="AQ110" s="79" t="b">
        <v>1</v>
      </c>
      <c r="AR110" s="79" t="b">
        <v>0</v>
      </c>
      <c r="AS110" s="79" t="b">
        <v>1</v>
      </c>
      <c r="AT110" s="79"/>
      <c r="AU110" s="79">
        <v>0</v>
      </c>
      <c r="AV110" s="79"/>
      <c r="AW110" s="79" t="b">
        <v>0</v>
      </c>
      <c r="AX110" s="79" t="s">
        <v>1458</v>
      </c>
      <c r="AY110" s="86" t="str">
        <f>HYPERLINK("https://twitter.com/gabhiy_oh")</f>
        <v>https://twitter.com/gabhiy_oh</v>
      </c>
      <c r="AZ110" s="79" t="s">
        <v>66</v>
      </c>
      <c r="BA110" s="79" t="str">
        <f>REPLACE(INDEX(GroupVertices[Group],MATCH(Vertices[[#This Row],[Vertex]],GroupVertices[Vertex],0)),1,1,"")</f>
        <v>1</v>
      </c>
      <c r="BB110" s="49">
        <v>0</v>
      </c>
      <c r="BC110" s="50">
        <v>0</v>
      </c>
      <c r="BD110" s="49">
        <v>0</v>
      </c>
      <c r="BE110" s="50">
        <v>0</v>
      </c>
      <c r="BF110" s="49">
        <v>0</v>
      </c>
      <c r="BG110" s="50">
        <v>0</v>
      </c>
      <c r="BH110" s="49">
        <v>38</v>
      </c>
      <c r="BI110" s="50">
        <v>100</v>
      </c>
      <c r="BJ110" s="49">
        <v>38</v>
      </c>
      <c r="BK110" s="49"/>
      <c r="BL110" s="49"/>
      <c r="BM110" s="49"/>
      <c r="BN110" s="49"/>
      <c r="BO110" s="49" t="s">
        <v>498</v>
      </c>
      <c r="BP110" s="49" t="s">
        <v>498</v>
      </c>
      <c r="BQ110" s="115" t="s">
        <v>2277</v>
      </c>
      <c r="BR110" s="115" t="s">
        <v>2277</v>
      </c>
      <c r="BS110" s="115" t="s">
        <v>2392</v>
      </c>
      <c r="BT110" s="115" t="s">
        <v>2392</v>
      </c>
      <c r="BU110" s="2"/>
      <c r="BV110" s="3"/>
      <c r="BW110" s="3"/>
      <c r="BX110" s="3"/>
      <c r="BY110" s="3"/>
    </row>
    <row r="111" spans="1:77" ht="15">
      <c r="A111" s="65" t="s">
        <v>301</v>
      </c>
      <c r="B111" s="66"/>
      <c r="C111" s="66"/>
      <c r="D111" s="67">
        <v>100</v>
      </c>
      <c r="E111" s="69"/>
      <c r="F111" s="103" t="str">
        <f>HYPERLINK("https://pbs.twimg.com/profile_images/925836747837018113/xyHpPNrg_normal.jpg")</f>
        <v>https://pbs.twimg.com/profile_images/925836747837018113/xyHpPNrg_normal.jpg</v>
      </c>
      <c r="G111" s="66"/>
      <c r="H111" s="70" t="s">
        <v>301</v>
      </c>
      <c r="I111" s="71"/>
      <c r="J111" s="71" t="s">
        <v>159</v>
      </c>
      <c r="K111" s="70" t="s">
        <v>1566</v>
      </c>
      <c r="L111" s="74">
        <v>1</v>
      </c>
      <c r="M111" s="75">
        <v>2786.260498046875</v>
      </c>
      <c r="N111" s="75">
        <v>4518.47509765625</v>
      </c>
      <c r="O111" s="76"/>
      <c r="P111" s="77"/>
      <c r="Q111" s="77"/>
      <c r="R111" s="89"/>
      <c r="S111" s="49">
        <v>0</v>
      </c>
      <c r="T111" s="49">
        <v>1</v>
      </c>
      <c r="U111" s="50">
        <v>0</v>
      </c>
      <c r="V111" s="50">
        <v>0.014085</v>
      </c>
      <c r="W111" s="50">
        <v>0</v>
      </c>
      <c r="X111" s="50">
        <v>0.547336</v>
      </c>
      <c r="Y111" s="50">
        <v>0</v>
      </c>
      <c r="Z111" s="50">
        <v>0</v>
      </c>
      <c r="AA111" s="72">
        <v>111</v>
      </c>
      <c r="AB111" s="72"/>
      <c r="AC111" s="73"/>
      <c r="AD111" s="79" t="s">
        <v>1034</v>
      </c>
      <c r="AE111" s="84" t="s">
        <v>1195</v>
      </c>
      <c r="AF111" s="79">
        <v>2476</v>
      </c>
      <c r="AG111" s="79">
        <v>583</v>
      </c>
      <c r="AH111" s="79">
        <v>18288</v>
      </c>
      <c r="AI111" s="79">
        <v>36126</v>
      </c>
      <c r="AJ111" s="79"/>
      <c r="AK111" s="79"/>
      <c r="AL111" s="79" t="s">
        <v>901</v>
      </c>
      <c r="AM111" s="79"/>
      <c r="AN111" s="79"/>
      <c r="AO111" s="81">
        <v>42940.95162037037</v>
      </c>
      <c r="AP111" s="79"/>
      <c r="AQ111" s="79" t="b">
        <v>1</v>
      </c>
      <c r="AR111" s="79" t="b">
        <v>0</v>
      </c>
      <c r="AS111" s="79" t="b">
        <v>1</v>
      </c>
      <c r="AT111" s="79"/>
      <c r="AU111" s="79">
        <v>1</v>
      </c>
      <c r="AV111" s="79"/>
      <c r="AW111" s="79" t="b">
        <v>0</v>
      </c>
      <c r="AX111" s="79" t="s">
        <v>1458</v>
      </c>
      <c r="AY111" s="86" t="str">
        <f>HYPERLINK("https://twitter.com/agustin60803348")</f>
        <v>https://twitter.com/agustin60803348</v>
      </c>
      <c r="AZ111" s="79" t="s">
        <v>66</v>
      </c>
      <c r="BA111" s="79" t="str">
        <f>REPLACE(INDEX(GroupVertices[Group],MATCH(Vertices[[#This Row],[Vertex]],GroupVertices[Vertex],0)),1,1,"")</f>
        <v>1</v>
      </c>
      <c r="BB111" s="49">
        <v>0</v>
      </c>
      <c r="BC111" s="50">
        <v>0</v>
      </c>
      <c r="BD111" s="49">
        <v>0</v>
      </c>
      <c r="BE111" s="50">
        <v>0</v>
      </c>
      <c r="BF111" s="49">
        <v>0</v>
      </c>
      <c r="BG111" s="50">
        <v>0</v>
      </c>
      <c r="BH111" s="49">
        <v>38</v>
      </c>
      <c r="BI111" s="50">
        <v>100</v>
      </c>
      <c r="BJ111" s="49">
        <v>38</v>
      </c>
      <c r="BK111" s="49"/>
      <c r="BL111" s="49"/>
      <c r="BM111" s="49"/>
      <c r="BN111" s="49"/>
      <c r="BO111" s="49" t="s">
        <v>498</v>
      </c>
      <c r="BP111" s="49" t="s">
        <v>498</v>
      </c>
      <c r="BQ111" s="115" t="s">
        <v>2277</v>
      </c>
      <c r="BR111" s="115" t="s">
        <v>2277</v>
      </c>
      <c r="BS111" s="115" t="s">
        <v>2392</v>
      </c>
      <c r="BT111" s="115" t="s">
        <v>2392</v>
      </c>
      <c r="BU111" s="2"/>
      <c r="BV111" s="3"/>
      <c r="BW111" s="3"/>
      <c r="BX111" s="3"/>
      <c r="BY111" s="3"/>
    </row>
    <row r="112" spans="1:77" ht="15">
      <c r="A112" s="65" t="s">
        <v>302</v>
      </c>
      <c r="B112" s="66"/>
      <c r="C112" s="66"/>
      <c r="D112" s="67">
        <v>100</v>
      </c>
      <c r="E112" s="69"/>
      <c r="F112" s="103" t="str">
        <f>HYPERLINK("https://pbs.twimg.com/profile_images/1422769107242455044/7u0G9oFH_normal.jpg")</f>
        <v>https://pbs.twimg.com/profile_images/1422769107242455044/7u0G9oFH_normal.jpg</v>
      </c>
      <c r="G112" s="66"/>
      <c r="H112" s="70" t="s">
        <v>302</v>
      </c>
      <c r="I112" s="71"/>
      <c r="J112" s="71" t="s">
        <v>159</v>
      </c>
      <c r="K112" s="70" t="s">
        <v>1567</v>
      </c>
      <c r="L112" s="74">
        <v>1</v>
      </c>
      <c r="M112" s="75">
        <v>2566.62255859375</v>
      </c>
      <c r="N112" s="75">
        <v>9387.708984375</v>
      </c>
      <c r="O112" s="76"/>
      <c r="P112" s="77"/>
      <c r="Q112" s="77"/>
      <c r="R112" s="89"/>
      <c r="S112" s="49">
        <v>0</v>
      </c>
      <c r="T112" s="49">
        <v>1</v>
      </c>
      <c r="U112" s="50">
        <v>0</v>
      </c>
      <c r="V112" s="50">
        <v>0.014085</v>
      </c>
      <c r="W112" s="50">
        <v>0</v>
      </c>
      <c r="X112" s="50">
        <v>0.547336</v>
      </c>
      <c r="Y112" s="50">
        <v>0</v>
      </c>
      <c r="Z112" s="50">
        <v>0</v>
      </c>
      <c r="AA112" s="72">
        <v>112</v>
      </c>
      <c r="AB112" s="72"/>
      <c r="AC112" s="73"/>
      <c r="AD112" s="79" t="s">
        <v>1035</v>
      </c>
      <c r="AE112" s="84" t="s">
        <v>1196</v>
      </c>
      <c r="AF112" s="79">
        <v>585</v>
      </c>
      <c r="AG112" s="79">
        <v>458</v>
      </c>
      <c r="AH112" s="79">
        <v>6498</v>
      </c>
      <c r="AI112" s="79">
        <v>14407</v>
      </c>
      <c r="AJ112" s="79"/>
      <c r="AK112" s="79" t="s">
        <v>1341</v>
      </c>
      <c r="AL112" s="79" t="s">
        <v>1437</v>
      </c>
      <c r="AM112" s="79"/>
      <c r="AN112" s="79"/>
      <c r="AO112" s="81">
        <v>44341.00184027778</v>
      </c>
      <c r="AP112" s="86" t="str">
        <f>HYPERLINK("https://pbs.twimg.com/profile_banners/1396979597472849920/1626972956")</f>
        <v>https://pbs.twimg.com/profile_banners/1396979597472849920/1626972956</v>
      </c>
      <c r="AQ112" s="79" t="b">
        <v>1</v>
      </c>
      <c r="AR112" s="79" t="b">
        <v>0</v>
      </c>
      <c r="AS112" s="79" t="b">
        <v>1</v>
      </c>
      <c r="AT112" s="79"/>
      <c r="AU112" s="79">
        <v>1</v>
      </c>
      <c r="AV112" s="79"/>
      <c r="AW112" s="79" t="b">
        <v>0</v>
      </c>
      <c r="AX112" s="79" t="s">
        <v>1458</v>
      </c>
      <c r="AY112" s="86" t="str">
        <f>HYPERLINK("https://twitter.com/tigre_ttn2")</f>
        <v>https://twitter.com/tigre_ttn2</v>
      </c>
      <c r="AZ112" s="79" t="s">
        <v>66</v>
      </c>
      <c r="BA112" s="79" t="str">
        <f>REPLACE(INDEX(GroupVertices[Group],MATCH(Vertices[[#This Row],[Vertex]],GroupVertices[Vertex],0)),1,1,"")</f>
        <v>1</v>
      </c>
      <c r="BB112" s="49">
        <v>0</v>
      </c>
      <c r="BC112" s="50">
        <v>0</v>
      </c>
      <c r="BD112" s="49">
        <v>0</v>
      </c>
      <c r="BE112" s="50">
        <v>0</v>
      </c>
      <c r="BF112" s="49">
        <v>0</v>
      </c>
      <c r="BG112" s="50">
        <v>0</v>
      </c>
      <c r="BH112" s="49">
        <v>38</v>
      </c>
      <c r="BI112" s="50">
        <v>100</v>
      </c>
      <c r="BJ112" s="49">
        <v>38</v>
      </c>
      <c r="BK112" s="49"/>
      <c r="BL112" s="49"/>
      <c r="BM112" s="49"/>
      <c r="BN112" s="49"/>
      <c r="BO112" s="49" t="s">
        <v>498</v>
      </c>
      <c r="BP112" s="49" t="s">
        <v>498</v>
      </c>
      <c r="BQ112" s="115" t="s">
        <v>2277</v>
      </c>
      <c r="BR112" s="115" t="s">
        <v>2277</v>
      </c>
      <c r="BS112" s="115" t="s">
        <v>2392</v>
      </c>
      <c r="BT112" s="115" t="s">
        <v>2392</v>
      </c>
      <c r="BU112" s="2"/>
      <c r="BV112" s="3"/>
      <c r="BW112" s="3"/>
      <c r="BX112" s="3"/>
      <c r="BY112" s="3"/>
    </row>
    <row r="113" spans="1:77" ht="15">
      <c r="A113" s="65" t="s">
        <v>303</v>
      </c>
      <c r="B113" s="66"/>
      <c r="C113" s="66"/>
      <c r="D113" s="67">
        <v>100</v>
      </c>
      <c r="E113" s="69"/>
      <c r="F113" s="103" t="str">
        <f>HYPERLINK("https://pbs.twimg.com/profile_images/1364996057294340097/owzT05OX_normal.jpg")</f>
        <v>https://pbs.twimg.com/profile_images/1364996057294340097/owzT05OX_normal.jpg</v>
      </c>
      <c r="G113" s="66"/>
      <c r="H113" s="70" t="s">
        <v>303</v>
      </c>
      <c r="I113" s="71"/>
      <c r="J113" s="71" t="s">
        <v>159</v>
      </c>
      <c r="K113" s="70" t="s">
        <v>1568</v>
      </c>
      <c r="L113" s="74">
        <v>1</v>
      </c>
      <c r="M113" s="75">
        <v>3473.296142578125</v>
      </c>
      <c r="N113" s="75">
        <v>8160.91162109375</v>
      </c>
      <c r="O113" s="76"/>
      <c r="P113" s="77"/>
      <c r="Q113" s="77"/>
      <c r="R113" s="89"/>
      <c r="S113" s="49">
        <v>0</v>
      </c>
      <c r="T113" s="49">
        <v>1</v>
      </c>
      <c r="U113" s="50">
        <v>0</v>
      </c>
      <c r="V113" s="50">
        <v>0.014085</v>
      </c>
      <c r="W113" s="50">
        <v>0</v>
      </c>
      <c r="X113" s="50">
        <v>0.547336</v>
      </c>
      <c r="Y113" s="50">
        <v>0</v>
      </c>
      <c r="Z113" s="50">
        <v>0</v>
      </c>
      <c r="AA113" s="72">
        <v>113</v>
      </c>
      <c r="AB113" s="72"/>
      <c r="AC113" s="73"/>
      <c r="AD113" s="79" t="s">
        <v>1036</v>
      </c>
      <c r="AE113" s="84" t="s">
        <v>1197</v>
      </c>
      <c r="AF113" s="79">
        <v>1025</v>
      </c>
      <c r="AG113" s="79">
        <v>2649</v>
      </c>
      <c r="AH113" s="79">
        <v>310114</v>
      </c>
      <c r="AI113" s="79">
        <v>83</v>
      </c>
      <c r="AJ113" s="79"/>
      <c r="AK113" s="79"/>
      <c r="AL113" s="79" t="s">
        <v>1438</v>
      </c>
      <c r="AM113" s="86" t="str">
        <f>HYPERLINK("https://t.co/Vy32cgJiUb")</f>
        <v>https://t.co/Vy32cgJiUb</v>
      </c>
      <c r="AN113" s="79"/>
      <c r="AO113" s="81">
        <v>43324.955</v>
      </c>
      <c r="AP113" s="86" t="str">
        <f>HYPERLINK("https://pbs.twimg.com/profile_banners/1028776947629912066/1604093944")</f>
        <v>https://pbs.twimg.com/profile_banners/1028776947629912066/1604093944</v>
      </c>
      <c r="AQ113" s="79" t="b">
        <v>1</v>
      </c>
      <c r="AR113" s="79" t="b">
        <v>0</v>
      </c>
      <c r="AS113" s="79" t="b">
        <v>0</v>
      </c>
      <c r="AT113" s="79"/>
      <c r="AU113" s="79">
        <v>25</v>
      </c>
      <c r="AV113" s="79"/>
      <c r="AW113" s="79" t="b">
        <v>0</v>
      </c>
      <c r="AX113" s="79" t="s">
        <v>1458</v>
      </c>
      <c r="AY113" s="86" t="str">
        <f>HYPERLINK("https://twitter.com/digitalixmx")</f>
        <v>https://twitter.com/digitalixmx</v>
      </c>
      <c r="AZ113" s="79" t="s">
        <v>66</v>
      </c>
      <c r="BA113" s="79" t="str">
        <f>REPLACE(INDEX(GroupVertices[Group],MATCH(Vertices[[#This Row],[Vertex]],GroupVertices[Vertex],0)),1,1,"")</f>
        <v>1</v>
      </c>
      <c r="BB113" s="49">
        <v>0</v>
      </c>
      <c r="BC113" s="50">
        <v>0</v>
      </c>
      <c r="BD113" s="49">
        <v>0</v>
      </c>
      <c r="BE113" s="50">
        <v>0</v>
      </c>
      <c r="BF113" s="49">
        <v>0</v>
      </c>
      <c r="BG113" s="50">
        <v>0</v>
      </c>
      <c r="BH113" s="49">
        <v>38</v>
      </c>
      <c r="BI113" s="50">
        <v>100</v>
      </c>
      <c r="BJ113" s="49">
        <v>38</v>
      </c>
      <c r="BK113" s="49"/>
      <c r="BL113" s="49"/>
      <c r="BM113" s="49"/>
      <c r="BN113" s="49"/>
      <c r="BO113" s="49" t="s">
        <v>498</v>
      </c>
      <c r="BP113" s="49" t="s">
        <v>498</v>
      </c>
      <c r="BQ113" s="115" t="s">
        <v>2277</v>
      </c>
      <c r="BR113" s="115" t="s">
        <v>2277</v>
      </c>
      <c r="BS113" s="115" t="s">
        <v>2392</v>
      </c>
      <c r="BT113" s="115" t="s">
        <v>2392</v>
      </c>
      <c r="BU113" s="2"/>
      <c r="BV113" s="3"/>
      <c r="BW113" s="3"/>
      <c r="BX113" s="3"/>
      <c r="BY113" s="3"/>
    </row>
    <row r="114" spans="1:77" ht="15">
      <c r="A114" s="65" t="s">
        <v>304</v>
      </c>
      <c r="B114" s="66"/>
      <c r="C114" s="66"/>
      <c r="D114" s="67">
        <v>100</v>
      </c>
      <c r="E114" s="69"/>
      <c r="F114" s="103" t="str">
        <f>HYPERLINK("https://pbs.twimg.com/profile_images/1327635145877188608/QRVcV-f2_normal.jpg")</f>
        <v>https://pbs.twimg.com/profile_images/1327635145877188608/QRVcV-f2_normal.jpg</v>
      </c>
      <c r="G114" s="66"/>
      <c r="H114" s="70" t="s">
        <v>304</v>
      </c>
      <c r="I114" s="71"/>
      <c r="J114" s="71" t="s">
        <v>159</v>
      </c>
      <c r="K114" s="70" t="s">
        <v>1569</v>
      </c>
      <c r="L114" s="74">
        <v>1</v>
      </c>
      <c r="M114" s="75">
        <v>1573.9061279296875</v>
      </c>
      <c r="N114" s="75">
        <v>6043.900390625</v>
      </c>
      <c r="O114" s="76"/>
      <c r="P114" s="77"/>
      <c r="Q114" s="77"/>
      <c r="R114" s="89"/>
      <c r="S114" s="49">
        <v>0</v>
      </c>
      <c r="T114" s="49">
        <v>1</v>
      </c>
      <c r="U114" s="50">
        <v>0</v>
      </c>
      <c r="V114" s="50">
        <v>0.014085</v>
      </c>
      <c r="W114" s="50">
        <v>0</v>
      </c>
      <c r="X114" s="50">
        <v>0.547336</v>
      </c>
      <c r="Y114" s="50">
        <v>0</v>
      </c>
      <c r="Z114" s="50">
        <v>0</v>
      </c>
      <c r="AA114" s="72">
        <v>114</v>
      </c>
      <c r="AB114" s="72"/>
      <c r="AC114" s="73"/>
      <c r="AD114" s="79" t="s">
        <v>1037</v>
      </c>
      <c r="AE114" s="84" t="s">
        <v>1198</v>
      </c>
      <c r="AF114" s="79">
        <v>26</v>
      </c>
      <c r="AG114" s="79">
        <v>11</v>
      </c>
      <c r="AH114" s="79">
        <v>1710</v>
      </c>
      <c r="AI114" s="79">
        <v>6838</v>
      </c>
      <c r="AJ114" s="79"/>
      <c r="AK114" s="79" t="s">
        <v>1342</v>
      </c>
      <c r="AL114" s="79"/>
      <c r="AM114" s="79"/>
      <c r="AN114" s="79"/>
      <c r="AO114" s="81">
        <v>44149.64592592593</v>
      </c>
      <c r="AP114" s="79"/>
      <c r="AQ114" s="79" t="b">
        <v>1</v>
      </c>
      <c r="AR114" s="79" t="b">
        <v>0</v>
      </c>
      <c r="AS114" s="79" t="b">
        <v>1</v>
      </c>
      <c r="AT114" s="79"/>
      <c r="AU114" s="79">
        <v>0</v>
      </c>
      <c r="AV114" s="79"/>
      <c r="AW114" s="79" t="b">
        <v>0</v>
      </c>
      <c r="AX114" s="79" t="s">
        <v>1458</v>
      </c>
      <c r="AY114" s="86" t="str">
        <f>HYPERLINK("https://twitter.com/maragua15777373")</f>
        <v>https://twitter.com/maragua15777373</v>
      </c>
      <c r="AZ114" s="79" t="s">
        <v>66</v>
      </c>
      <c r="BA114" s="79" t="str">
        <f>REPLACE(INDEX(GroupVertices[Group],MATCH(Vertices[[#This Row],[Vertex]],GroupVertices[Vertex],0)),1,1,"")</f>
        <v>1</v>
      </c>
      <c r="BB114" s="49">
        <v>0</v>
      </c>
      <c r="BC114" s="50">
        <v>0</v>
      </c>
      <c r="BD114" s="49">
        <v>0</v>
      </c>
      <c r="BE114" s="50">
        <v>0</v>
      </c>
      <c r="BF114" s="49">
        <v>0</v>
      </c>
      <c r="BG114" s="50">
        <v>0</v>
      </c>
      <c r="BH114" s="49">
        <v>38</v>
      </c>
      <c r="BI114" s="50">
        <v>100</v>
      </c>
      <c r="BJ114" s="49">
        <v>38</v>
      </c>
      <c r="BK114" s="49"/>
      <c r="BL114" s="49"/>
      <c r="BM114" s="49"/>
      <c r="BN114" s="49"/>
      <c r="BO114" s="49" t="s">
        <v>498</v>
      </c>
      <c r="BP114" s="49" t="s">
        <v>498</v>
      </c>
      <c r="BQ114" s="115" t="s">
        <v>2277</v>
      </c>
      <c r="BR114" s="115" t="s">
        <v>2277</v>
      </c>
      <c r="BS114" s="115" t="s">
        <v>2392</v>
      </c>
      <c r="BT114" s="115" t="s">
        <v>2392</v>
      </c>
      <c r="BU114" s="2"/>
      <c r="BV114" s="3"/>
      <c r="BW114" s="3"/>
      <c r="BX114" s="3"/>
      <c r="BY114" s="3"/>
    </row>
    <row r="115" spans="1:77" ht="15">
      <c r="A115" s="65" t="s">
        <v>305</v>
      </c>
      <c r="B115" s="66"/>
      <c r="C115" s="66"/>
      <c r="D115" s="67">
        <v>100</v>
      </c>
      <c r="E115" s="69"/>
      <c r="F115" s="103" t="str">
        <f>HYPERLINK("https://pbs.twimg.com/profile_images/864127517409628166/xBvuUM4t_normal.jpg")</f>
        <v>https://pbs.twimg.com/profile_images/864127517409628166/xBvuUM4t_normal.jpg</v>
      </c>
      <c r="G115" s="66"/>
      <c r="H115" s="70" t="s">
        <v>305</v>
      </c>
      <c r="I115" s="71"/>
      <c r="J115" s="71" t="s">
        <v>159</v>
      </c>
      <c r="K115" s="70" t="s">
        <v>1570</v>
      </c>
      <c r="L115" s="74">
        <v>1</v>
      </c>
      <c r="M115" s="75">
        <v>2930.9658203125</v>
      </c>
      <c r="N115" s="75">
        <v>7471.5244140625</v>
      </c>
      <c r="O115" s="76"/>
      <c r="P115" s="77"/>
      <c r="Q115" s="77"/>
      <c r="R115" s="89"/>
      <c r="S115" s="49">
        <v>0</v>
      </c>
      <c r="T115" s="49">
        <v>1</v>
      </c>
      <c r="U115" s="50">
        <v>0</v>
      </c>
      <c r="V115" s="50">
        <v>0.014085</v>
      </c>
      <c r="W115" s="50">
        <v>0</v>
      </c>
      <c r="X115" s="50">
        <v>0.547336</v>
      </c>
      <c r="Y115" s="50">
        <v>0</v>
      </c>
      <c r="Z115" s="50">
        <v>0</v>
      </c>
      <c r="AA115" s="72">
        <v>115</v>
      </c>
      <c r="AB115" s="72"/>
      <c r="AC115" s="73"/>
      <c r="AD115" s="79" t="s">
        <v>1038</v>
      </c>
      <c r="AE115" s="84" t="s">
        <v>1199</v>
      </c>
      <c r="AF115" s="79">
        <v>680</v>
      </c>
      <c r="AG115" s="79">
        <v>434</v>
      </c>
      <c r="AH115" s="79">
        <v>36790</v>
      </c>
      <c r="AI115" s="79">
        <v>97916</v>
      </c>
      <c r="AJ115" s="79"/>
      <c r="AK115" s="79"/>
      <c r="AL115" s="79"/>
      <c r="AM115" s="79"/>
      <c r="AN115" s="79"/>
      <c r="AO115" s="81">
        <v>40258.1718287037</v>
      </c>
      <c r="AP115" s="86" t="str">
        <f>HYPERLINK("https://pbs.twimg.com/profile_banners/124945618/1583597962")</f>
        <v>https://pbs.twimg.com/profile_banners/124945618/1583597962</v>
      </c>
      <c r="AQ115" s="79" t="b">
        <v>1</v>
      </c>
      <c r="AR115" s="79" t="b">
        <v>0</v>
      </c>
      <c r="AS115" s="79" t="b">
        <v>0</v>
      </c>
      <c r="AT115" s="79"/>
      <c r="AU115" s="79">
        <v>2</v>
      </c>
      <c r="AV115" s="86" t="str">
        <f>HYPERLINK("https://abs.twimg.com/images/themes/theme1/bg.png")</f>
        <v>https://abs.twimg.com/images/themes/theme1/bg.png</v>
      </c>
      <c r="AW115" s="79" t="b">
        <v>0</v>
      </c>
      <c r="AX115" s="79" t="s">
        <v>1458</v>
      </c>
      <c r="AY115" s="86" t="str">
        <f>HYPERLINK("https://twitter.com/feregio74")</f>
        <v>https://twitter.com/feregio74</v>
      </c>
      <c r="AZ115" s="79" t="s">
        <v>66</v>
      </c>
      <c r="BA115" s="79" t="str">
        <f>REPLACE(INDEX(GroupVertices[Group],MATCH(Vertices[[#This Row],[Vertex]],GroupVertices[Vertex],0)),1,1,"")</f>
        <v>1</v>
      </c>
      <c r="BB115" s="49">
        <v>0</v>
      </c>
      <c r="BC115" s="50">
        <v>0</v>
      </c>
      <c r="BD115" s="49">
        <v>0</v>
      </c>
      <c r="BE115" s="50">
        <v>0</v>
      </c>
      <c r="BF115" s="49">
        <v>0</v>
      </c>
      <c r="BG115" s="50">
        <v>0</v>
      </c>
      <c r="BH115" s="49">
        <v>38</v>
      </c>
      <c r="BI115" s="50">
        <v>100</v>
      </c>
      <c r="BJ115" s="49">
        <v>38</v>
      </c>
      <c r="BK115" s="49"/>
      <c r="BL115" s="49"/>
      <c r="BM115" s="49"/>
      <c r="BN115" s="49"/>
      <c r="BO115" s="49" t="s">
        <v>498</v>
      </c>
      <c r="BP115" s="49" t="s">
        <v>498</v>
      </c>
      <c r="BQ115" s="115" t="s">
        <v>2277</v>
      </c>
      <c r="BR115" s="115" t="s">
        <v>2277</v>
      </c>
      <c r="BS115" s="115" t="s">
        <v>2392</v>
      </c>
      <c r="BT115" s="115" t="s">
        <v>2392</v>
      </c>
      <c r="BU115" s="2"/>
      <c r="BV115" s="3"/>
      <c r="BW115" s="3"/>
      <c r="BX115" s="3"/>
      <c r="BY115" s="3"/>
    </row>
    <row r="116" spans="1:77" ht="15">
      <c r="A116" s="65" t="s">
        <v>306</v>
      </c>
      <c r="B116" s="66"/>
      <c r="C116" s="66"/>
      <c r="D116" s="67">
        <v>100</v>
      </c>
      <c r="E116" s="69"/>
      <c r="F116" s="103" t="str">
        <f>HYPERLINK("https://pbs.twimg.com/profile_images/1432467150237802496/YyvUr-ZL_normal.jpg")</f>
        <v>https://pbs.twimg.com/profile_images/1432467150237802496/YyvUr-ZL_normal.jpg</v>
      </c>
      <c r="G116" s="66"/>
      <c r="H116" s="70" t="s">
        <v>306</v>
      </c>
      <c r="I116" s="71"/>
      <c r="J116" s="71" t="s">
        <v>159</v>
      </c>
      <c r="K116" s="70" t="s">
        <v>1571</v>
      </c>
      <c r="L116" s="74">
        <v>1</v>
      </c>
      <c r="M116" s="75">
        <v>1714.8941650390625</v>
      </c>
      <c r="N116" s="75">
        <v>9619.291015625</v>
      </c>
      <c r="O116" s="76"/>
      <c r="P116" s="77"/>
      <c r="Q116" s="77"/>
      <c r="R116" s="89"/>
      <c r="S116" s="49">
        <v>0</v>
      </c>
      <c r="T116" s="49">
        <v>1</v>
      </c>
      <c r="U116" s="50">
        <v>0</v>
      </c>
      <c r="V116" s="50">
        <v>0.014085</v>
      </c>
      <c r="W116" s="50">
        <v>0</v>
      </c>
      <c r="X116" s="50">
        <v>0.547336</v>
      </c>
      <c r="Y116" s="50">
        <v>0</v>
      </c>
      <c r="Z116" s="50">
        <v>0</v>
      </c>
      <c r="AA116" s="72">
        <v>116</v>
      </c>
      <c r="AB116" s="72"/>
      <c r="AC116" s="73"/>
      <c r="AD116" s="79" t="s">
        <v>1039</v>
      </c>
      <c r="AE116" s="84" t="s">
        <v>1200</v>
      </c>
      <c r="AF116" s="79">
        <v>898</v>
      </c>
      <c r="AG116" s="79">
        <v>981</v>
      </c>
      <c r="AH116" s="79">
        <v>46992</v>
      </c>
      <c r="AI116" s="79">
        <v>42733</v>
      </c>
      <c r="AJ116" s="79"/>
      <c r="AK116" s="79" t="s">
        <v>1343</v>
      </c>
      <c r="AL116" s="79" t="s">
        <v>1439</v>
      </c>
      <c r="AM116" s="79"/>
      <c r="AN116" s="79"/>
      <c r="AO116" s="81">
        <v>40217.32302083333</v>
      </c>
      <c r="AP116" s="86" t="str">
        <f>HYPERLINK("https://pbs.twimg.com/profile_banners/112373123/1628648713")</f>
        <v>https://pbs.twimg.com/profile_banners/112373123/1628648713</v>
      </c>
      <c r="AQ116" s="79" t="b">
        <v>1</v>
      </c>
      <c r="AR116" s="79" t="b">
        <v>0</v>
      </c>
      <c r="AS116" s="79" t="b">
        <v>0</v>
      </c>
      <c r="AT116" s="79"/>
      <c r="AU116" s="79">
        <v>9</v>
      </c>
      <c r="AV116" s="86" t="str">
        <f>HYPERLINK("https://abs.twimg.com/images/themes/theme1/bg.png")</f>
        <v>https://abs.twimg.com/images/themes/theme1/bg.png</v>
      </c>
      <c r="AW116" s="79" t="b">
        <v>0</v>
      </c>
      <c r="AX116" s="79" t="s">
        <v>1458</v>
      </c>
      <c r="AY116" s="86" t="str">
        <f>HYPERLINK("https://twitter.com/alexcarreonmty")</f>
        <v>https://twitter.com/alexcarreonmty</v>
      </c>
      <c r="AZ116" s="79" t="s">
        <v>66</v>
      </c>
      <c r="BA116" s="79" t="str">
        <f>REPLACE(INDEX(GroupVertices[Group],MATCH(Vertices[[#This Row],[Vertex]],GroupVertices[Vertex],0)),1,1,"")</f>
        <v>1</v>
      </c>
      <c r="BB116" s="49">
        <v>0</v>
      </c>
      <c r="BC116" s="50">
        <v>0</v>
      </c>
      <c r="BD116" s="49">
        <v>0</v>
      </c>
      <c r="BE116" s="50">
        <v>0</v>
      </c>
      <c r="BF116" s="49">
        <v>0</v>
      </c>
      <c r="BG116" s="50">
        <v>0</v>
      </c>
      <c r="BH116" s="49">
        <v>38</v>
      </c>
      <c r="BI116" s="50">
        <v>100</v>
      </c>
      <c r="BJ116" s="49">
        <v>38</v>
      </c>
      <c r="BK116" s="49"/>
      <c r="BL116" s="49"/>
      <c r="BM116" s="49"/>
      <c r="BN116" s="49"/>
      <c r="BO116" s="49" t="s">
        <v>498</v>
      </c>
      <c r="BP116" s="49" t="s">
        <v>498</v>
      </c>
      <c r="BQ116" s="115" t="s">
        <v>2277</v>
      </c>
      <c r="BR116" s="115" t="s">
        <v>2277</v>
      </c>
      <c r="BS116" s="115" t="s">
        <v>2392</v>
      </c>
      <c r="BT116" s="115" t="s">
        <v>2392</v>
      </c>
      <c r="BU116" s="2"/>
      <c r="BV116" s="3"/>
      <c r="BW116" s="3"/>
      <c r="BX116" s="3"/>
      <c r="BY116" s="3"/>
    </row>
    <row r="117" spans="1:77" ht="15">
      <c r="A117" s="65" t="s">
        <v>307</v>
      </c>
      <c r="B117" s="66"/>
      <c r="C117" s="66"/>
      <c r="D117" s="67">
        <v>100</v>
      </c>
      <c r="E117" s="69"/>
      <c r="F117" s="103" t="str">
        <f>HYPERLINK("https://pbs.twimg.com/profile_images/1284062633193361408/tq3LZYSY_normal.jpg")</f>
        <v>https://pbs.twimg.com/profile_images/1284062633193361408/tq3LZYSY_normal.jpg</v>
      </c>
      <c r="G117" s="66"/>
      <c r="H117" s="70" t="s">
        <v>307</v>
      </c>
      <c r="I117" s="71"/>
      <c r="J117" s="71" t="s">
        <v>159</v>
      </c>
      <c r="K117" s="70" t="s">
        <v>1572</v>
      </c>
      <c r="L117" s="74">
        <v>1</v>
      </c>
      <c r="M117" s="75">
        <v>941.8654174804688</v>
      </c>
      <c r="N117" s="75">
        <v>3582.174560546875</v>
      </c>
      <c r="O117" s="76"/>
      <c r="P117" s="77"/>
      <c r="Q117" s="77"/>
      <c r="R117" s="89"/>
      <c r="S117" s="49">
        <v>0</v>
      </c>
      <c r="T117" s="49">
        <v>2</v>
      </c>
      <c r="U117" s="50">
        <v>0</v>
      </c>
      <c r="V117" s="50">
        <v>0.012048</v>
      </c>
      <c r="W117" s="50">
        <v>0.016833</v>
      </c>
      <c r="X117" s="50">
        <v>0.583029</v>
      </c>
      <c r="Y117" s="50">
        <v>0.5</v>
      </c>
      <c r="Z117" s="50">
        <v>0</v>
      </c>
      <c r="AA117" s="72">
        <v>117</v>
      </c>
      <c r="AB117" s="72"/>
      <c r="AC117" s="73"/>
      <c r="AD117" s="79" t="s">
        <v>1040</v>
      </c>
      <c r="AE117" s="84" t="s">
        <v>1201</v>
      </c>
      <c r="AF117" s="79">
        <v>4760</v>
      </c>
      <c r="AG117" s="79">
        <v>5107</v>
      </c>
      <c r="AH117" s="79">
        <v>18866</v>
      </c>
      <c r="AI117" s="79">
        <v>3299</v>
      </c>
      <c r="AJ117" s="79"/>
      <c r="AK117" s="79" t="s">
        <v>1344</v>
      </c>
      <c r="AL117" s="79" t="s">
        <v>1440</v>
      </c>
      <c r="AM117" s="86" t="str">
        <f>HYPERLINK("https://t.co/zFAjr1CHtE")</f>
        <v>https://t.co/zFAjr1CHtE</v>
      </c>
      <c r="AN117" s="79"/>
      <c r="AO117" s="81">
        <v>40052.88924768518</v>
      </c>
      <c r="AP117" s="86" t="str">
        <f>HYPERLINK("https://pbs.twimg.com/profile_banners/69407724/1594979364")</f>
        <v>https://pbs.twimg.com/profile_banners/69407724/1594979364</v>
      </c>
      <c r="AQ117" s="79" t="b">
        <v>1</v>
      </c>
      <c r="AR117" s="79" t="b">
        <v>0</v>
      </c>
      <c r="AS117" s="79" t="b">
        <v>0</v>
      </c>
      <c r="AT117" s="79"/>
      <c r="AU117" s="79">
        <v>107</v>
      </c>
      <c r="AV117" s="86" t="str">
        <f>HYPERLINK("https://abs.twimg.com/images/themes/theme1/bg.png")</f>
        <v>https://abs.twimg.com/images/themes/theme1/bg.png</v>
      </c>
      <c r="AW117" s="79" t="b">
        <v>0</v>
      </c>
      <c r="AX117" s="79" t="s">
        <v>1458</v>
      </c>
      <c r="AY117" s="86" t="str">
        <f>HYPERLINK("https://twitter.com/gosimai")</f>
        <v>https://twitter.com/gosimai</v>
      </c>
      <c r="AZ117" s="79" t="s">
        <v>66</v>
      </c>
      <c r="BA117" s="79" t="str">
        <f>REPLACE(INDEX(GroupVertices[Group],MATCH(Vertices[[#This Row],[Vertex]],GroupVertices[Vertex],0)),1,1,"")</f>
        <v>2</v>
      </c>
      <c r="BB117" s="49">
        <v>0</v>
      </c>
      <c r="BC117" s="50">
        <v>0</v>
      </c>
      <c r="BD117" s="49">
        <v>0</v>
      </c>
      <c r="BE117" s="50">
        <v>0</v>
      </c>
      <c r="BF117" s="49">
        <v>0</v>
      </c>
      <c r="BG117" s="50">
        <v>0</v>
      </c>
      <c r="BH117" s="49">
        <v>22</v>
      </c>
      <c r="BI117" s="50">
        <v>100</v>
      </c>
      <c r="BJ117" s="49">
        <v>22</v>
      </c>
      <c r="BK117" s="49" t="s">
        <v>2156</v>
      </c>
      <c r="BL117" s="49" t="s">
        <v>2156</v>
      </c>
      <c r="BM117" s="49" t="s">
        <v>451</v>
      </c>
      <c r="BN117" s="49" t="s">
        <v>451</v>
      </c>
      <c r="BO117" s="49" t="s">
        <v>501</v>
      </c>
      <c r="BP117" s="49" t="s">
        <v>501</v>
      </c>
      <c r="BQ117" s="115" t="s">
        <v>2558</v>
      </c>
      <c r="BR117" s="115" t="s">
        <v>2558</v>
      </c>
      <c r="BS117" s="115" t="s">
        <v>2607</v>
      </c>
      <c r="BT117" s="115" t="s">
        <v>2607</v>
      </c>
      <c r="BU117" s="2"/>
      <c r="BV117" s="3"/>
      <c r="BW117" s="3"/>
      <c r="BX117" s="3"/>
      <c r="BY117" s="3"/>
    </row>
    <row r="118" spans="1:77" ht="15">
      <c r="A118" s="65" t="s">
        <v>325</v>
      </c>
      <c r="B118" s="66"/>
      <c r="C118" s="66"/>
      <c r="D118" s="67">
        <v>100</v>
      </c>
      <c r="E118" s="69"/>
      <c r="F118" s="103" t="str">
        <f>HYPERLINK("https://pbs.twimg.com/profile_images/1440508109965783041/weHvwUbF_normal.jpg")</f>
        <v>https://pbs.twimg.com/profile_images/1440508109965783041/weHvwUbF_normal.jpg</v>
      </c>
      <c r="G118" s="66"/>
      <c r="H118" s="70" t="s">
        <v>325</v>
      </c>
      <c r="I118" s="71"/>
      <c r="J118" s="71" t="s">
        <v>159</v>
      </c>
      <c r="K118" s="70" t="s">
        <v>1573</v>
      </c>
      <c r="L118" s="74">
        <v>1</v>
      </c>
      <c r="M118" s="75">
        <v>1397.28076171875</v>
      </c>
      <c r="N118" s="75">
        <v>3892.015869140625</v>
      </c>
      <c r="O118" s="76"/>
      <c r="P118" s="77"/>
      <c r="Q118" s="77"/>
      <c r="R118" s="89"/>
      <c r="S118" s="49">
        <v>1</v>
      </c>
      <c r="T118" s="49">
        <v>1</v>
      </c>
      <c r="U118" s="50">
        <v>0</v>
      </c>
      <c r="V118" s="50">
        <v>0.012048</v>
      </c>
      <c r="W118" s="50">
        <v>0.016833</v>
      </c>
      <c r="X118" s="50">
        <v>0.583029</v>
      </c>
      <c r="Y118" s="50">
        <v>0.5</v>
      </c>
      <c r="Z118" s="50">
        <v>0</v>
      </c>
      <c r="AA118" s="72">
        <v>118</v>
      </c>
      <c r="AB118" s="72"/>
      <c r="AC118" s="73"/>
      <c r="AD118" s="79" t="s">
        <v>1041</v>
      </c>
      <c r="AE118" s="84" t="s">
        <v>1202</v>
      </c>
      <c r="AF118" s="79">
        <v>727</v>
      </c>
      <c r="AG118" s="79">
        <v>96981</v>
      </c>
      <c r="AH118" s="79">
        <v>560398</v>
      </c>
      <c r="AI118" s="79">
        <v>3095</v>
      </c>
      <c r="AJ118" s="79"/>
      <c r="AK118" s="79" t="s">
        <v>1345</v>
      </c>
      <c r="AL118" s="79" t="s">
        <v>1393</v>
      </c>
      <c r="AM118" s="86" t="str">
        <f>HYPERLINK("https://t.co/HJIHLtNOvZ")</f>
        <v>https://t.co/HJIHLtNOvZ</v>
      </c>
      <c r="AN118" s="79"/>
      <c r="AO118" s="81">
        <v>39847.97420138889</v>
      </c>
      <c r="AP118" s="86" t="str">
        <f>HYPERLINK("https://pbs.twimg.com/profile_banners/20013113/1632374265")</f>
        <v>https://pbs.twimg.com/profile_banners/20013113/1632374265</v>
      </c>
      <c r="AQ118" s="79" t="b">
        <v>0</v>
      </c>
      <c r="AR118" s="79" t="b">
        <v>0</v>
      </c>
      <c r="AS118" s="79" t="b">
        <v>0</v>
      </c>
      <c r="AT118" s="79"/>
      <c r="AU118" s="79">
        <v>1506</v>
      </c>
      <c r="AV118" s="86" t="str">
        <f>HYPERLINK("https://abs.twimg.com/images/themes/theme16/bg.gif")</f>
        <v>https://abs.twimg.com/images/themes/theme16/bg.gif</v>
      </c>
      <c r="AW118" s="79" t="b">
        <v>0</v>
      </c>
      <c r="AX118" s="79" t="s">
        <v>1458</v>
      </c>
      <c r="AY118" s="86" t="str">
        <f>HYPERLINK("https://twitter.com/ejecentral")</f>
        <v>https://twitter.com/ejecentral</v>
      </c>
      <c r="AZ118" s="79" t="s">
        <v>66</v>
      </c>
      <c r="BA118" s="79" t="str">
        <f>REPLACE(INDEX(GroupVertices[Group],MATCH(Vertices[[#This Row],[Vertex]],GroupVertices[Vertex],0)),1,1,"")</f>
        <v>2</v>
      </c>
      <c r="BB118" s="49">
        <v>0</v>
      </c>
      <c r="BC118" s="50">
        <v>0</v>
      </c>
      <c r="BD118" s="49">
        <v>0</v>
      </c>
      <c r="BE118" s="50">
        <v>0</v>
      </c>
      <c r="BF118" s="49">
        <v>0</v>
      </c>
      <c r="BG118" s="50">
        <v>0</v>
      </c>
      <c r="BH118" s="49">
        <v>44</v>
      </c>
      <c r="BI118" s="50">
        <v>100</v>
      </c>
      <c r="BJ118" s="49">
        <v>44</v>
      </c>
      <c r="BK118" s="49" t="s">
        <v>2489</v>
      </c>
      <c r="BL118" s="49" t="s">
        <v>2489</v>
      </c>
      <c r="BM118" s="49" t="s">
        <v>2495</v>
      </c>
      <c r="BN118" s="49" t="s">
        <v>2495</v>
      </c>
      <c r="BO118" s="49" t="s">
        <v>501</v>
      </c>
      <c r="BP118" s="49" t="s">
        <v>501</v>
      </c>
      <c r="BQ118" s="115" t="s">
        <v>2558</v>
      </c>
      <c r="BR118" s="115" t="s">
        <v>2558</v>
      </c>
      <c r="BS118" s="115" t="s">
        <v>2607</v>
      </c>
      <c r="BT118" s="115" t="s">
        <v>2607</v>
      </c>
      <c r="BU118" s="2"/>
      <c r="BV118" s="3"/>
      <c r="BW118" s="3"/>
      <c r="BX118" s="3"/>
      <c r="BY118" s="3"/>
    </row>
    <row r="119" spans="1:77" ht="15">
      <c r="A119" s="65" t="s">
        <v>308</v>
      </c>
      <c r="B119" s="66"/>
      <c r="C119" s="66"/>
      <c r="D119" s="67">
        <v>100</v>
      </c>
      <c r="E119" s="69"/>
      <c r="F119" s="103" t="str">
        <f>HYPERLINK("https://pbs.twimg.com/profile_images/1417891698701742082/qSfhIFiq_normal.jpg")</f>
        <v>https://pbs.twimg.com/profile_images/1417891698701742082/qSfhIFiq_normal.jpg</v>
      </c>
      <c r="G119" s="66"/>
      <c r="H119" s="70" t="s">
        <v>308</v>
      </c>
      <c r="I119" s="71"/>
      <c r="J119" s="71" t="s">
        <v>159</v>
      </c>
      <c r="K119" s="70" t="s">
        <v>1574</v>
      </c>
      <c r="L119" s="74">
        <v>1</v>
      </c>
      <c r="M119" s="75">
        <v>1778.2520751953125</v>
      </c>
      <c r="N119" s="75">
        <v>5029.83349609375</v>
      </c>
      <c r="O119" s="76"/>
      <c r="P119" s="77"/>
      <c r="Q119" s="77"/>
      <c r="R119" s="89"/>
      <c r="S119" s="49">
        <v>0</v>
      </c>
      <c r="T119" s="49">
        <v>1</v>
      </c>
      <c r="U119" s="50">
        <v>0</v>
      </c>
      <c r="V119" s="50">
        <v>0.014085</v>
      </c>
      <c r="W119" s="50">
        <v>0</v>
      </c>
      <c r="X119" s="50">
        <v>0.547336</v>
      </c>
      <c r="Y119" s="50">
        <v>0</v>
      </c>
      <c r="Z119" s="50">
        <v>0</v>
      </c>
      <c r="AA119" s="72">
        <v>119</v>
      </c>
      <c r="AB119" s="72"/>
      <c r="AC119" s="73"/>
      <c r="AD119" s="79" t="s">
        <v>1042</v>
      </c>
      <c r="AE119" s="84" t="s">
        <v>1203</v>
      </c>
      <c r="AF119" s="79">
        <v>876</v>
      </c>
      <c r="AG119" s="79">
        <v>1099</v>
      </c>
      <c r="AH119" s="79">
        <v>16565</v>
      </c>
      <c r="AI119" s="79">
        <v>23793</v>
      </c>
      <c r="AJ119" s="79"/>
      <c r="AK119" s="79" t="s">
        <v>1346</v>
      </c>
      <c r="AL119" s="79" t="s">
        <v>1441</v>
      </c>
      <c r="AM119" s="79"/>
      <c r="AN119" s="79"/>
      <c r="AO119" s="81">
        <v>40746.83412037037</v>
      </c>
      <c r="AP119" s="86" t="str">
        <f>HYPERLINK("https://pbs.twimg.com/profile_banners/340495733/1611954382")</f>
        <v>https://pbs.twimg.com/profile_banners/340495733/1611954382</v>
      </c>
      <c r="AQ119" s="79" t="b">
        <v>0</v>
      </c>
      <c r="AR119" s="79" t="b">
        <v>0</v>
      </c>
      <c r="AS119" s="79" t="b">
        <v>0</v>
      </c>
      <c r="AT119" s="79"/>
      <c r="AU119" s="79">
        <v>6</v>
      </c>
      <c r="AV119" s="86" t="str">
        <f>HYPERLINK("https://abs.twimg.com/images/themes/theme10/bg.gif")</f>
        <v>https://abs.twimg.com/images/themes/theme10/bg.gif</v>
      </c>
      <c r="AW119" s="79" t="b">
        <v>0</v>
      </c>
      <c r="AX119" s="79" t="s">
        <v>1458</v>
      </c>
      <c r="AY119" s="86" t="str">
        <f>HYPERLINK("https://twitter.com/samantha_ortg")</f>
        <v>https://twitter.com/samantha_ortg</v>
      </c>
      <c r="AZ119" s="79" t="s">
        <v>66</v>
      </c>
      <c r="BA119" s="79" t="str">
        <f>REPLACE(INDEX(GroupVertices[Group],MATCH(Vertices[[#This Row],[Vertex]],GroupVertices[Vertex],0)),1,1,"")</f>
        <v>1</v>
      </c>
      <c r="BB119" s="49">
        <v>0</v>
      </c>
      <c r="BC119" s="50">
        <v>0</v>
      </c>
      <c r="BD119" s="49">
        <v>0</v>
      </c>
      <c r="BE119" s="50">
        <v>0</v>
      </c>
      <c r="BF119" s="49">
        <v>0</v>
      </c>
      <c r="BG119" s="50">
        <v>0</v>
      </c>
      <c r="BH119" s="49">
        <v>38</v>
      </c>
      <c r="BI119" s="50">
        <v>100</v>
      </c>
      <c r="BJ119" s="49">
        <v>38</v>
      </c>
      <c r="BK119" s="49"/>
      <c r="BL119" s="49"/>
      <c r="BM119" s="49"/>
      <c r="BN119" s="49"/>
      <c r="BO119" s="49" t="s">
        <v>498</v>
      </c>
      <c r="BP119" s="49" t="s">
        <v>498</v>
      </c>
      <c r="BQ119" s="115" t="s">
        <v>2277</v>
      </c>
      <c r="BR119" s="115" t="s">
        <v>2277</v>
      </c>
      <c r="BS119" s="115" t="s">
        <v>2392</v>
      </c>
      <c r="BT119" s="115" t="s">
        <v>2392</v>
      </c>
      <c r="BU119" s="2"/>
      <c r="BV119" s="3"/>
      <c r="BW119" s="3"/>
      <c r="BX119" s="3"/>
      <c r="BY119" s="3"/>
    </row>
    <row r="120" spans="1:77" ht="15">
      <c r="A120" s="65" t="s">
        <v>309</v>
      </c>
      <c r="B120" s="66"/>
      <c r="C120" s="66"/>
      <c r="D120" s="67">
        <v>100</v>
      </c>
      <c r="E120" s="69"/>
      <c r="F120" s="103" t="str">
        <f>HYPERLINK("https://pbs.twimg.com/profile_images/1376603191601676288/E4TEJe24_normal.jpg")</f>
        <v>https://pbs.twimg.com/profile_images/1376603191601676288/E4TEJe24_normal.jpg</v>
      </c>
      <c r="G120" s="66"/>
      <c r="H120" s="70" t="s">
        <v>309</v>
      </c>
      <c r="I120" s="71"/>
      <c r="J120" s="71" t="s">
        <v>159</v>
      </c>
      <c r="K120" s="70" t="s">
        <v>1575</v>
      </c>
      <c r="L120" s="74">
        <v>1</v>
      </c>
      <c r="M120" s="75">
        <v>1248.9366455078125</v>
      </c>
      <c r="N120" s="75">
        <v>8736.306640625</v>
      </c>
      <c r="O120" s="76"/>
      <c r="P120" s="77"/>
      <c r="Q120" s="77"/>
      <c r="R120" s="89"/>
      <c r="S120" s="49">
        <v>0</v>
      </c>
      <c r="T120" s="49">
        <v>1</v>
      </c>
      <c r="U120" s="50">
        <v>0</v>
      </c>
      <c r="V120" s="50">
        <v>0.014085</v>
      </c>
      <c r="W120" s="50">
        <v>0</v>
      </c>
      <c r="X120" s="50">
        <v>0.547336</v>
      </c>
      <c r="Y120" s="50">
        <v>0</v>
      </c>
      <c r="Z120" s="50">
        <v>0</v>
      </c>
      <c r="AA120" s="72">
        <v>120</v>
      </c>
      <c r="AB120" s="72"/>
      <c r="AC120" s="73"/>
      <c r="AD120" s="79" t="s">
        <v>1043</v>
      </c>
      <c r="AE120" s="84" t="s">
        <v>1204</v>
      </c>
      <c r="AF120" s="79">
        <v>1812</v>
      </c>
      <c r="AG120" s="79">
        <v>2307</v>
      </c>
      <c r="AH120" s="79">
        <v>68332</v>
      </c>
      <c r="AI120" s="79">
        <v>164323</v>
      </c>
      <c r="AJ120" s="79"/>
      <c r="AK120" s="79" t="s">
        <v>1347</v>
      </c>
      <c r="AL120" s="79"/>
      <c r="AM120" s="79"/>
      <c r="AN120" s="79"/>
      <c r="AO120" s="81">
        <v>40405.88983796296</v>
      </c>
      <c r="AP120" s="86" t="str">
        <f>HYPERLINK("https://pbs.twimg.com/profile_banners/178846961/1617042205")</f>
        <v>https://pbs.twimg.com/profile_banners/178846961/1617042205</v>
      </c>
      <c r="AQ120" s="79" t="b">
        <v>0</v>
      </c>
      <c r="AR120" s="79" t="b">
        <v>0</v>
      </c>
      <c r="AS120" s="79" t="b">
        <v>1</v>
      </c>
      <c r="AT120" s="79"/>
      <c r="AU120" s="79">
        <v>0</v>
      </c>
      <c r="AV120" s="86" t="str">
        <f>HYPERLINK("https://abs.twimg.com/images/themes/theme1/bg.png")</f>
        <v>https://abs.twimg.com/images/themes/theme1/bg.png</v>
      </c>
      <c r="AW120" s="79" t="b">
        <v>0</v>
      </c>
      <c r="AX120" s="79" t="s">
        <v>1458</v>
      </c>
      <c r="AY120" s="86" t="str">
        <f>HYPERLINK("https://twitter.com/alitasibarita")</f>
        <v>https://twitter.com/alitasibarita</v>
      </c>
      <c r="AZ120" s="79" t="s">
        <v>66</v>
      </c>
      <c r="BA120" s="79" t="str">
        <f>REPLACE(INDEX(GroupVertices[Group],MATCH(Vertices[[#This Row],[Vertex]],GroupVertices[Vertex],0)),1,1,"")</f>
        <v>1</v>
      </c>
      <c r="BB120" s="49">
        <v>0</v>
      </c>
      <c r="BC120" s="50">
        <v>0</v>
      </c>
      <c r="BD120" s="49">
        <v>0</v>
      </c>
      <c r="BE120" s="50">
        <v>0</v>
      </c>
      <c r="BF120" s="49">
        <v>0</v>
      </c>
      <c r="BG120" s="50">
        <v>0</v>
      </c>
      <c r="BH120" s="49">
        <v>38</v>
      </c>
      <c r="BI120" s="50">
        <v>100</v>
      </c>
      <c r="BJ120" s="49">
        <v>38</v>
      </c>
      <c r="BK120" s="49"/>
      <c r="BL120" s="49"/>
      <c r="BM120" s="49"/>
      <c r="BN120" s="49"/>
      <c r="BO120" s="49" t="s">
        <v>498</v>
      </c>
      <c r="BP120" s="49" t="s">
        <v>498</v>
      </c>
      <c r="BQ120" s="115" t="s">
        <v>2277</v>
      </c>
      <c r="BR120" s="115" t="s">
        <v>2277</v>
      </c>
      <c r="BS120" s="115" t="s">
        <v>2392</v>
      </c>
      <c r="BT120" s="115" t="s">
        <v>2392</v>
      </c>
      <c r="BU120" s="2"/>
      <c r="BV120" s="3"/>
      <c r="BW120" s="3"/>
      <c r="BX120" s="3"/>
      <c r="BY120" s="3"/>
    </row>
    <row r="121" spans="1:77" ht="15">
      <c r="A121" s="65" t="s">
        <v>310</v>
      </c>
      <c r="B121" s="66"/>
      <c r="C121" s="66"/>
      <c r="D121" s="67">
        <v>100</v>
      </c>
      <c r="E121" s="69"/>
      <c r="F121" s="103" t="str">
        <f>HYPERLINK("https://pbs.twimg.com/profile_images/1244754060642836481/-e9apA5j_normal.jpg")</f>
        <v>https://pbs.twimg.com/profile_images/1244754060642836481/-e9apA5j_normal.jpg</v>
      </c>
      <c r="G121" s="66"/>
      <c r="H121" s="70" t="s">
        <v>310</v>
      </c>
      <c r="I121" s="71"/>
      <c r="J121" s="71" t="s">
        <v>159</v>
      </c>
      <c r="K121" s="70" t="s">
        <v>1576</v>
      </c>
      <c r="L121" s="74">
        <v>1</v>
      </c>
      <c r="M121" s="75">
        <v>1607.05029296875</v>
      </c>
      <c r="N121" s="75">
        <v>7800.703125</v>
      </c>
      <c r="O121" s="76"/>
      <c r="P121" s="77"/>
      <c r="Q121" s="77"/>
      <c r="R121" s="89"/>
      <c r="S121" s="49">
        <v>0</v>
      </c>
      <c r="T121" s="49">
        <v>1</v>
      </c>
      <c r="U121" s="50">
        <v>0</v>
      </c>
      <c r="V121" s="50">
        <v>0.014085</v>
      </c>
      <c r="W121" s="50">
        <v>0</v>
      </c>
      <c r="X121" s="50">
        <v>0.547336</v>
      </c>
      <c r="Y121" s="50">
        <v>0</v>
      </c>
      <c r="Z121" s="50">
        <v>0</v>
      </c>
      <c r="AA121" s="72">
        <v>121</v>
      </c>
      <c r="AB121" s="72"/>
      <c r="AC121" s="73"/>
      <c r="AD121" s="79" t="s">
        <v>1044</v>
      </c>
      <c r="AE121" s="84" t="s">
        <v>1205</v>
      </c>
      <c r="AF121" s="79">
        <v>639</v>
      </c>
      <c r="AG121" s="79">
        <v>148</v>
      </c>
      <c r="AH121" s="79">
        <v>27711</v>
      </c>
      <c r="AI121" s="79">
        <v>18266</v>
      </c>
      <c r="AJ121" s="79"/>
      <c r="AK121" s="79" t="s">
        <v>1348</v>
      </c>
      <c r="AL121" s="79" t="s">
        <v>1442</v>
      </c>
      <c r="AM121" s="79"/>
      <c r="AN121" s="79"/>
      <c r="AO121" s="81">
        <v>40444.49674768518</v>
      </c>
      <c r="AP121" s="86" t="str">
        <f>HYPERLINK("https://pbs.twimg.com/profile_banners/194085771/1559159969")</f>
        <v>https://pbs.twimg.com/profile_banners/194085771/1559159969</v>
      </c>
      <c r="AQ121" s="79" t="b">
        <v>0</v>
      </c>
      <c r="AR121" s="79" t="b">
        <v>0</v>
      </c>
      <c r="AS121" s="79" t="b">
        <v>1</v>
      </c>
      <c r="AT121" s="79"/>
      <c r="AU121" s="79">
        <v>2</v>
      </c>
      <c r="AV121" s="86" t="str">
        <f>HYPERLINK("https://abs.twimg.com/images/themes/theme13/bg.gif")</f>
        <v>https://abs.twimg.com/images/themes/theme13/bg.gif</v>
      </c>
      <c r="AW121" s="79" t="b">
        <v>0</v>
      </c>
      <c r="AX121" s="79" t="s">
        <v>1458</v>
      </c>
      <c r="AY121" s="86" t="str">
        <f>HYPERLINK("https://twitter.com/mikk_hdz")</f>
        <v>https://twitter.com/mikk_hdz</v>
      </c>
      <c r="AZ121" s="79" t="s">
        <v>66</v>
      </c>
      <c r="BA121" s="79" t="str">
        <f>REPLACE(INDEX(GroupVertices[Group],MATCH(Vertices[[#This Row],[Vertex]],GroupVertices[Vertex],0)),1,1,"")</f>
        <v>1</v>
      </c>
      <c r="BB121" s="49">
        <v>0</v>
      </c>
      <c r="BC121" s="50">
        <v>0</v>
      </c>
      <c r="BD121" s="49">
        <v>0</v>
      </c>
      <c r="BE121" s="50">
        <v>0</v>
      </c>
      <c r="BF121" s="49">
        <v>0</v>
      </c>
      <c r="BG121" s="50">
        <v>0</v>
      </c>
      <c r="BH121" s="49">
        <v>38</v>
      </c>
      <c r="BI121" s="50">
        <v>100</v>
      </c>
      <c r="BJ121" s="49">
        <v>38</v>
      </c>
      <c r="BK121" s="49"/>
      <c r="BL121" s="49"/>
      <c r="BM121" s="49"/>
      <c r="BN121" s="49"/>
      <c r="BO121" s="49" t="s">
        <v>498</v>
      </c>
      <c r="BP121" s="49" t="s">
        <v>498</v>
      </c>
      <c r="BQ121" s="115" t="s">
        <v>2277</v>
      </c>
      <c r="BR121" s="115" t="s">
        <v>2277</v>
      </c>
      <c r="BS121" s="115" t="s">
        <v>2392</v>
      </c>
      <c r="BT121" s="115" t="s">
        <v>2392</v>
      </c>
      <c r="BU121" s="2"/>
      <c r="BV121" s="3"/>
      <c r="BW121" s="3"/>
      <c r="BX121" s="3"/>
      <c r="BY121" s="3"/>
    </row>
    <row r="122" spans="1:77" ht="15">
      <c r="A122" s="65" t="s">
        <v>311</v>
      </c>
      <c r="B122" s="66"/>
      <c r="C122" s="66"/>
      <c r="D122" s="67">
        <v>100</v>
      </c>
      <c r="E122" s="69"/>
      <c r="F122" s="103" t="str">
        <f>HYPERLINK("https://pbs.twimg.com/profile_images/1438734518244970497/GO1pLmfG_normal.jpg")</f>
        <v>https://pbs.twimg.com/profile_images/1438734518244970497/GO1pLmfG_normal.jpg</v>
      </c>
      <c r="G122" s="66"/>
      <c r="H122" s="70" t="s">
        <v>311</v>
      </c>
      <c r="I122" s="71"/>
      <c r="J122" s="71" t="s">
        <v>159</v>
      </c>
      <c r="K122" s="70" t="s">
        <v>1577</v>
      </c>
      <c r="L122" s="74">
        <v>1</v>
      </c>
      <c r="M122" s="75">
        <v>3125.47021484375</v>
      </c>
      <c r="N122" s="75">
        <v>5025.00732421875</v>
      </c>
      <c r="O122" s="76"/>
      <c r="P122" s="77"/>
      <c r="Q122" s="77"/>
      <c r="R122" s="89"/>
      <c r="S122" s="49">
        <v>0</v>
      </c>
      <c r="T122" s="49">
        <v>1</v>
      </c>
      <c r="U122" s="50">
        <v>0</v>
      </c>
      <c r="V122" s="50">
        <v>0.014085</v>
      </c>
      <c r="W122" s="50">
        <v>0</v>
      </c>
      <c r="X122" s="50">
        <v>0.547336</v>
      </c>
      <c r="Y122" s="50">
        <v>0</v>
      </c>
      <c r="Z122" s="50">
        <v>0</v>
      </c>
      <c r="AA122" s="72">
        <v>122</v>
      </c>
      <c r="AB122" s="72"/>
      <c r="AC122" s="73"/>
      <c r="AD122" s="79" t="s">
        <v>1045</v>
      </c>
      <c r="AE122" s="84" t="s">
        <v>1206</v>
      </c>
      <c r="AF122" s="79">
        <v>1377</v>
      </c>
      <c r="AG122" s="79">
        <v>838</v>
      </c>
      <c r="AH122" s="79">
        <v>32375</v>
      </c>
      <c r="AI122" s="79">
        <v>27899</v>
      </c>
      <c r="AJ122" s="79"/>
      <c r="AK122" s="79" t="s">
        <v>1349</v>
      </c>
      <c r="AL122" s="79" t="s">
        <v>1443</v>
      </c>
      <c r="AM122" s="79"/>
      <c r="AN122" s="79"/>
      <c r="AO122" s="81">
        <v>40646.077048611114</v>
      </c>
      <c r="AP122" s="86" t="str">
        <f>HYPERLINK("https://pbs.twimg.com/profile_banners/281311173/1503378217")</f>
        <v>https://pbs.twimg.com/profile_banners/281311173/1503378217</v>
      </c>
      <c r="AQ122" s="79" t="b">
        <v>0</v>
      </c>
      <c r="AR122" s="79" t="b">
        <v>0</v>
      </c>
      <c r="AS122" s="79" t="b">
        <v>1</v>
      </c>
      <c r="AT122" s="79"/>
      <c r="AU122" s="79">
        <v>15</v>
      </c>
      <c r="AV122" s="86" t="str">
        <f>HYPERLINK("https://abs.twimg.com/images/themes/theme1/bg.png")</f>
        <v>https://abs.twimg.com/images/themes/theme1/bg.png</v>
      </c>
      <c r="AW122" s="79" t="b">
        <v>0</v>
      </c>
      <c r="AX122" s="79" t="s">
        <v>1458</v>
      </c>
      <c r="AY122" s="86" t="str">
        <f>HYPERLINK("https://twitter.com/jesuscuatra")</f>
        <v>https://twitter.com/jesuscuatra</v>
      </c>
      <c r="AZ122" s="79" t="s">
        <v>66</v>
      </c>
      <c r="BA122" s="79" t="str">
        <f>REPLACE(INDEX(GroupVertices[Group],MATCH(Vertices[[#This Row],[Vertex]],GroupVertices[Vertex],0)),1,1,"")</f>
        <v>1</v>
      </c>
      <c r="BB122" s="49">
        <v>0</v>
      </c>
      <c r="BC122" s="50">
        <v>0</v>
      </c>
      <c r="BD122" s="49">
        <v>0</v>
      </c>
      <c r="BE122" s="50">
        <v>0</v>
      </c>
      <c r="BF122" s="49">
        <v>0</v>
      </c>
      <c r="BG122" s="50">
        <v>0</v>
      </c>
      <c r="BH122" s="49">
        <v>38</v>
      </c>
      <c r="BI122" s="50">
        <v>100</v>
      </c>
      <c r="BJ122" s="49">
        <v>38</v>
      </c>
      <c r="BK122" s="49"/>
      <c r="BL122" s="49"/>
      <c r="BM122" s="49"/>
      <c r="BN122" s="49"/>
      <c r="BO122" s="49" t="s">
        <v>498</v>
      </c>
      <c r="BP122" s="49" t="s">
        <v>498</v>
      </c>
      <c r="BQ122" s="115" t="s">
        <v>2277</v>
      </c>
      <c r="BR122" s="115" t="s">
        <v>2277</v>
      </c>
      <c r="BS122" s="115" t="s">
        <v>2392</v>
      </c>
      <c r="BT122" s="115" t="s">
        <v>2392</v>
      </c>
      <c r="BU122" s="2"/>
      <c r="BV122" s="3"/>
      <c r="BW122" s="3"/>
      <c r="BX122" s="3"/>
      <c r="BY122" s="3"/>
    </row>
    <row r="123" spans="1:77" ht="15">
      <c r="A123" s="65" t="s">
        <v>312</v>
      </c>
      <c r="B123" s="66"/>
      <c r="C123" s="66"/>
      <c r="D123" s="67">
        <v>100</v>
      </c>
      <c r="E123" s="69"/>
      <c r="F123" s="103" t="str">
        <f>HYPERLINK("https://pbs.twimg.com/profile_images/1242132040096636933/woVtgwW4_normal.jpg")</f>
        <v>https://pbs.twimg.com/profile_images/1242132040096636933/woVtgwW4_normal.jpg</v>
      </c>
      <c r="G123" s="66"/>
      <c r="H123" s="70" t="s">
        <v>312</v>
      </c>
      <c r="I123" s="71"/>
      <c r="J123" s="71" t="s">
        <v>159</v>
      </c>
      <c r="K123" s="70" t="s">
        <v>1578</v>
      </c>
      <c r="L123" s="74">
        <v>1</v>
      </c>
      <c r="M123" s="75">
        <v>2426.325439453125</v>
      </c>
      <c r="N123" s="75">
        <v>6151.62890625</v>
      </c>
      <c r="O123" s="76"/>
      <c r="P123" s="77"/>
      <c r="Q123" s="77"/>
      <c r="R123" s="89"/>
      <c r="S123" s="49">
        <v>0</v>
      </c>
      <c r="T123" s="49">
        <v>1</v>
      </c>
      <c r="U123" s="50">
        <v>0</v>
      </c>
      <c r="V123" s="50">
        <v>0.014085</v>
      </c>
      <c r="W123" s="50">
        <v>0</v>
      </c>
      <c r="X123" s="50">
        <v>0.547336</v>
      </c>
      <c r="Y123" s="50">
        <v>0</v>
      </c>
      <c r="Z123" s="50">
        <v>0</v>
      </c>
      <c r="AA123" s="72">
        <v>123</v>
      </c>
      <c r="AB123" s="72"/>
      <c r="AC123" s="73"/>
      <c r="AD123" s="79" t="s">
        <v>1046</v>
      </c>
      <c r="AE123" s="84" t="s">
        <v>1207</v>
      </c>
      <c r="AF123" s="79">
        <v>1000</v>
      </c>
      <c r="AG123" s="79">
        <v>52</v>
      </c>
      <c r="AH123" s="79">
        <v>4060</v>
      </c>
      <c r="AI123" s="79">
        <v>744</v>
      </c>
      <c r="AJ123" s="79"/>
      <c r="AK123" s="79" t="s">
        <v>1350</v>
      </c>
      <c r="AL123" s="79" t="s">
        <v>901</v>
      </c>
      <c r="AM123" s="79"/>
      <c r="AN123" s="79"/>
      <c r="AO123" s="81">
        <v>43033.61984953703</v>
      </c>
      <c r="AP123" s="86" t="str">
        <f>HYPERLINK("https://pbs.twimg.com/profile_banners/923200622618226688/1622417751")</f>
        <v>https://pbs.twimg.com/profile_banners/923200622618226688/1622417751</v>
      </c>
      <c r="AQ123" s="79" t="b">
        <v>0</v>
      </c>
      <c r="AR123" s="79" t="b">
        <v>0</v>
      </c>
      <c r="AS123" s="79" t="b">
        <v>1</v>
      </c>
      <c r="AT123" s="79"/>
      <c r="AU123" s="79">
        <v>0</v>
      </c>
      <c r="AV123" s="86" t="str">
        <f>HYPERLINK("https://abs.twimg.com/images/themes/theme1/bg.png")</f>
        <v>https://abs.twimg.com/images/themes/theme1/bg.png</v>
      </c>
      <c r="AW123" s="79" t="b">
        <v>0</v>
      </c>
      <c r="AX123" s="79" t="s">
        <v>1458</v>
      </c>
      <c r="AY123" s="86" t="str">
        <f>HYPERLINK("https://twitter.com/uca97mx")</f>
        <v>https://twitter.com/uca97mx</v>
      </c>
      <c r="AZ123" s="79" t="s">
        <v>66</v>
      </c>
      <c r="BA123" s="79" t="str">
        <f>REPLACE(INDEX(GroupVertices[Group],MATCH(Vertices[[#This Row],[Vertex]],GroupVertices[Vertex],0)),1,1,"")</f>
        <v>1</v>
      </c>
      <c r="BB123" s="49">
        <v>0</v>
      </c>
      <c r="BC123" s="50">
        <v>0</v>
      </c>
      <c r="BD123" s="49">
        <v>0</v>
      </c>
      <c r="BE123" s="50">
        <v>0</v>
      </c>
      <c r="BF123" s="49">
        <v>0</v>
      </c>
      <c r="BG123" s="50">
        <v>0</v>
      </c>
      <c r="BH123" s="49">
        <v>38</v>
      </c>
      <c r="BI123" s="50">
        <v>100</v>
      </c>
      <c r="BJ123" s="49">
        <v>38</v>
      </c>
      <c r="BK123" s="49"/>
      <c r="BL123" s="49"/>
      <c r="BM123" s="49"/>
      <c r="BN123" s="49"/>
      <c r="BO123" s="49" t="s">
        <v>498</v>
      </c>
      <c r="BP123" s="49" t="s">
        <v>498</v>
      </c>
      <c r="BQ123" s="115" t="s">
        <v>2277</v>
      </c>
      <c r="BR123" s="115" t="s">
        <v>2277</v>
      </c>
      <c r="BS123" s="115" t="s">
        <v>2392</v>
      </c>
      <c r="BT123" s="115" t="s">
        <v>2392</v>
      </c>
      <c r="BU123" s="2"/>
      <c r="BV123" s="3"/>
      <c r="BW123" s="3"/>
      <c r="BX123" s="3"/>
      <c r="BY123" s="3"/>
    </row>
    <row r="124" spans="1:77" ht="15">
      <c r="A124" s="65" t="s">
        <v>313</v>
      </c>
      <c r="B124" s="66"/>
      <c r="C124" s="66"/>
      <c r="D124" s="67">
        <v>100</v>
      </c>
      <c r="E124" s="69"/>
      <c r="F124" s="103" t="str">
        <f>HYPERLINK("https://pbs.twimg.com/profile_images/992220591993344000/6xxLmGxD_normal.jpg")</f>
        <v>https://pbs.twimg.com/profile_images/992220591993344000/6xxLmGxD_normal.jpg</v>
      </c>
      <c r="G124" s="66"/>
      <c r="H124" s="70" t="s">
        <v>313</v>
      </c>
      <c r="I124" s="71"/>
      <c r="J124" s="71" t="s">
        <v>159</v>
      </c>
      <c r="K124" s="70" t="s">
        <v>1579</v>
      </c>
      <c r="L124" s="74">
        <v>1</v>
      </c>
      <c r="M124" s="75">
        <v>363.61767578125</v>
      </c>
      <c r="N124" s="75">
        <v>1149.59912109375</v>
      </c>
      <c r="O124" s="76"/>
      <c r="P124" s="77"/>
      <c r="Q124" s="77"/>
      <c r="R124" s="89"/>
      <c r="S124" s="49">
        <v>0</v>
      </c>
      <c r="T124" s="49">
        <v>2</v>
      </c>
      <c r="U124" s="50">
        <v>0</v>
      </c>
      <c r="V124" s="50">
        <v>0.012048</v>
      </c>
      <c r="W124" s="50">
        <v>0.018551</v>
      </c>
      <c r="X124" s="50">
        <v>0.544572</v>
      </c>
      <c r="Y124" s="50">
        <v>0.5</v>
      </c>
      <c r="Z124" s="50">
        <v>0</v>
      </c>
      <c r="AA124" s="72">
        <v>124</v>
      </c>
      <c r="AB124" s="72"/>
      <c r="AC124" s="73"/>
      <c r="AD124" s="79" t="s">
        <v>1047</v>
      </c>
      <c r="AE124" s="84" t="s">
        <v>1208</v>
      </c>
      <c r="AF124" s="79">
        <v>675</v>
      </c>
      <c r="AG124" s="79">
        <v>153</v>
      </c>
      <c r="AH124" s="79">
        <v>19084</v>
      </c>
      <c r="AI124" s="79">
        <v>79</v>
      </c>
      <c r="AJ124" s="79"/>
      <c r="AK124" s="79" t="s">
        <v>1351</v>
      </c>
      <c r="AL124" s="79" t="s">
        <v>1444</v>
      </c>
      <c r="AM124" s="79"/>
      <c r="AN124" s="79"/>
      <c r="AO124" s="81">
        <v>42141.037094907406</v>
      </c>
      <c r="AP124" s="86" t="str">
        <f>HYPERLINK("https://pbs.twimg.com/profile_banners/3198230924/1509131292")</f>
        <v>https://pbs.twimg.com/profile_banners/3198230924/1509131292</v>
      </c>
      <c r="AQ124" s="79" t="b">
        <v>0</v>
      </c>
      <c r="AR124" s="79" t="b">
        <v>0</v>
      </c>
      <c r="AS124" s="79" t="b">
        <v>1</v>
      </c>
      <c r="AT124" s="79"/>
      <c r="AU124" s="79">
        <v>5</v>
      </c>
      <c r="AV124" s="86" t="str">
        <f>HYPERLINK("https://abs.twimg.com/images/themes/theme1/bg.png")</f>
        <v>https://abs.twimg.com/images/themes/theme1/bg.png</v>
      </c>
      <c r="AW124" s="79" t="b">
        <v>0</v>
      </c>
      <c r="AX124" s="79" t="s">
        <v>1458</v>
      </c>
      <c r="AY124" s="86" t="str">
        <f>HYPERLINK("https://twitter.com/comunicador2022")</f>
        <v>https://twitter.com/comunicador2022</v>
      </c>
      <c r="AZ124" s="79" t="s">
        <v>66</v>
      </c>
      <c r="BA124" s="79" t="str">
        <f>REPLACE(INDEX(GroupVertices[Group],MATCH(Vertices[[#This Row],[Vertex]],GroupVertices[Vertex],0)),1,1,"")</f>
        <v>2</v>
      </c>
      <c r="BB124" s="49">
        <v>0</v>
      </c>
      <c r="BC124" s="50">
        <v>0</v>
      </c>
      <c r="BD124" s="49">
        <v>0</v>
      </c>
      <c r="BE124" s="50">
        <v>0</v>
      </c>
      <c r="BF124" s="49">
        <v>0</v>
      </c>
      <c r="BG124" s="50">
        <v>0</v>
      </c>
      <c r="BH124" s="49">
        <v>38</v>
      </c>
      <c r="BI124" s="50">
        <v>100</v>
      </c>
      <c r="BJ124" s="49">
        <v>38</v>
      </c>
      <c r="BK124" s="49" t="s">
        <v>2144</v>
      </c>
      <c r="BL124" s="49" t="s">
        <v>2144</v>
      </c>
      <c r="BM124" s="49" t="s">
        <v>451</v>
      </c>
      <c r="BN124" s="49" t="s">
        <v>451</v>
      </c>
      <c r="BO124" s="49" t="s">
        <v>496</v>
      </c>
      <c r="BP124" s="49" t="s">
        <v>496</v>
      </c>
      <c r="BQ124" s="115" t="s">
        <v>2552</v>
      </c>
      <c r="BR124" s="115" t="s">
        <v>2552</v>
      </c>
      <c r="BS124" s="115" t="s">
        <v>2602</v>
      </c>
      <c r="BT124" s="115" t="s">
        <v>2602</v>
      </c>
      <c r="BU124" s="2"/>
      <c r="BV124" s="3"/>
      <c r="BW124" s="3"/>
      <c r="BX124" s="3"/>
      <c r="BY124" s="3"/>
    </row>
    <row r="125" spans="1:77" ht="15">
      <c r="A125" s="65" t="s">
        <v>315</v>
      </c>
      <c r="B125" s="66"/>
      <c r="C125" s="66"/>
      <c r="D125" s="67">
        <v>100</v>
      </c>
      <c r="E125" s="69"/>
      <c r="F125" s="103" t="str">
        <f>HYPERLINK("https://pbs.twimg.com/profile_images/1236124521561829377/lbfyINMX_normal.jpg")</f>
        <v>https://pbs.twimg.com/profile_images/1236124521561829377/lbfyINMX_normal.jpg</v>
      </c>
      <c r="G125" s="66"/>
      <c r="H125" s="70" t="s">
        <v>315</v>
      </c>
      <c r="I125" s="71"/>
      <c r="J125" s="71" t="s">
        <v>159</v>
      </c>
      <c r="K125" s="70" t="s">
        <v>1580</v>
      </c>
      <c r="L125" s="74">
        <v>1</v>
      </c>
      <c r="M125" s="75">
        <v>337.16351318359375</v>
      </c>
      <c r="N125" s="75">
        <v>2501.94873046875</v>
      </c>
      <c r="O125" s="76"/>
      <c r="P125" s="77"/>
      <c r="Q125" s="77"/>
      <c r="R125" s="89"/>
      <c r="S125" s="49">
        <v>0</v>
      </c>
      <c r="T125" s="49">
        <v>2</v>
      </c>
      <c r="U125" s="50">
        <v>0</v>
      </c>
      <c r="V125" s="50">
        <v>0.012048</v>
      </c>
      <c r="W125" s="50">
        <v>0.018551</v>
      </c>
      <c r="X125" s="50">
        <v>0.544572</v>
      </c>
      <c r="Y125" s="50">
        <v>0.5</v>
      </c>
      <c r="Z125" s="50">
        <v>0</v>
      </c>
      <c r="AA125" s="72">
        <v>125</v>
      </c>
      <c r="AB125" s="72"/>
      <c r="AC125" s="73"/>
      <c r="AD125" s="79" t="s">
        <v>1048</v>
      </c>
      <c r="AE125" s="84" t="s">
        <v>1209</v>
      </c>
      <c r="AF125" s="79">
        <v>319</v>
      </c>
      <c r="AG125" s="79">
        <v>94</v>
      </c>
      <c r="AH125" s="79">
        <v>49832</v>
      </c>
      <c r="AI125" s="79">
        <v>554</v>
      </c>
      <c r="AJ125" s="79"/>
      <c r="AK125" s="79" t="s">
        <v>1352</v>
      </c>
      <c r="AL125" s="79" t="s">
        <v>1393</v>
      </c>
      <c r="AM125" s="79"/>
      <c r="AN125" s="79"/>
      <c r="AO125" s="81">
        <v>43897.12467592592</v>
      </c>
      <c r="AP125" s="86" t="str">
        <f>HYPERLINK("https://pbs.twimg.com/profile_banners/1236124220993781761/1623023274")</f>
        <v>https://pbs.twimg.com/profile_banners/1236124220993781761/1623023274</v>
      </c>
      <c r="AQ125" s="79" t="b">
        <v>1</v>
      </c>
      <c r="AR125" s="79" t="b">
        <v>0</v>
      </c>
      <c r="AS125" s="79" t="b">
        <v>1</v>
      </c>
      <c r="AT125" s="79"/>
      <c r="AU125" s="79">
        <v>1</v>
      </c>
      <c r="AV125" s="79"/>
      <c r="AW125" s="79" t="b">
        <v>0</v>
      </c>
      <c r="AX125" s="79" t="s">
        <v>1458</v>
      </c>
      <c r="AY125" s="86" t="str">
        <f>HYPERLINK("https://twitter.com/thegreatceir")</f>
        <v>https://twitter.com/thegreatceir</v>
      </c>
      <c r="AZ125" s="79" t="s">
        <v>66</v>
      </c>
      <c r="BA125" s="79" t="str">
        <f>REPLACE(INDEX(GroupVertices[Group],MATCH(Vertices[[#This Row],[Vertex]],GroupVertices[Vertex],0)),1,1,"")</f>
        <v>2</v>
      </c>
      <c r="BB125" s="49">
        <v>0</v>
      </c>
      <c r="BC125" s="50">
        <v>0</v>
      </c>
      <c r="BD125" s="49">
        <v>0</v>
      </c>
      <c r="BE125" s="50">
        <v>0</v>
      </c>
      <c r="BF125" s="49">
        <v>0</v>
      </c>
      <c r="BG125" s="50">
        <v>0</v>
      </c>
      <c r="BH125" s="49">
        <v>38</v>
      </c>
      <c r="BI125" s="50">
        <v>100</v>
      </c>
      <c r="BJ125" s="49">
        <v>38</v>
      </c>
      <c r="BK125" s="49" t="s">
        <v>2144</v>
      </c>
      <c r="BL125" s="49" t="s">
        <v>2144</v>
      </c>
      <c r="BM125" s="49" t="s">
        <v>451</v>
      </c>
      <c r="BN125" s="49" t="s">
        <v>451</v>
      </c>
      <c r="BO125" s="49" t="s">
        <v>496</v>
      </c>
      <c r="BP125" s="49" t="s">
        <v>496</v>
      </c>
      <c r="BQ125" s="115" t="s">
        <v>2552</v>
      </c>
      <c r="BR125" s="115" t="s">
        <v>2552</v>
      </c>
      <c r="BS125" s="115" t="s">
        <v>2602</v>
      </c>
      <c r="BT125" s="115" t="s">
        <v>2602</v>
      </c>
      <c r="BU125" s="2"/>
      <c r="BV125" s="3"/>
      <c r="BW125" s="3"/>
      <c r="BX125" s="3"/>
      <c r="BY125" s="3"/>
    </row>
    <row r="126" spans="1:77" ht="15">
      <c r="A126" s="65" t="s">
        <v>316</v>
      </c>
      <c r="B126" s="66"/>
      <c r="C126" s="66"/>
      <c r="D126" s="67">
        <v>100</v>
      </c>
      <c r="E126" s="69"/>
      <c r="F126" s="103" t="str">
        <f>HYPERLINK("https://pbs.twimg.com/profile_images/471341417164726272/_pmcun3p_normal.jpeg")</f>
        <v>https://pbs.twimg.com/profile_images/471341417164726272/_pmcun3p_normal.jpeg</v>
      </c>
      <c r="G126" s="66"/>
      <c r="H126" s="70" t="s">
        <v>316</v>
      </c>
      <c r="I126" s="71"/>
      <c r="J126" s="71" t="s">
        <v>159</v>
      </c>
      <c r="K126" s="70" t="s">
        <v>1581</v>
      </c>
      <c r="L126" s="74">
        <v>1</v>
      </c>
      <c r="M126" s="75">
        <v>3630.32080078125</v>
      </c>
      <c r="N126" s="75">
        <v>7527.2421875</v>
      </c>
      <c r="O126" s="76"/>
      <c r="P126" s="77"/>
      <c r="Q126" s="77"/>
      <c r="R126" s="89"/>
      <c r="S126" s="49">
        <v>0</v>
      </c>
      <c r="T126" s="49">
        <v>1</v>
      </c>
      <c r="U126" s="50">
        <v>0</v>
      </c>
      <c r="V126" s="50">
        <v>0.014085</v>
      </c>
      <c r="W126" s="50">
        <v>0</v>
      </c>
      <c r="X126" s="50">
        <v>0.547336</v>
      </c>
      <c r="Y126" s="50">
        <v>0</v>
      </c>
      <c r="Z126" s="50">
        <v>0</v>
      </c>
      <c r="AA126" s="72">
        <v>126</v>
      </c>
      <c r="AB126" s="72"/>
      <c r="AC126" s="73"/>
      <c r="AD126" s="79" t="s">
        <v>1049</v>
      </c>
      <c r="AE126" s="84" t="s">
        <v>1210</v>
      </c>
      <c r="AF126" s="79">
        <v>337</v>
      </c>
      <c r="AG126" s="79">
        <v>62</v>
      </c>
      <c r="AH126" s="79">
        <v>11184</v>
      </c>
      <c r="AI126" s="79">
        <v>8421</v>
      </c>
      <c r="AJ126" s="79"/>
      <c r="AK126" s="79" t="s">
        <v>1353</v>
      </c>
      <c r="AL126" s="79"/>
      <c r="AM126" s="79"/>
      <c r="AN126" s="79"/>
      <c r="AO126" s="81">
        <v>40360.7944212963</v>
      </c>
      <c r="AP126" s="86" t="str">
        <f>HYPERLINK("https://pbs.twimg.com/profile_banners/161776745/1490642235")</f>
        <v>https://pbs.twimg.com/profile_banners/161776745/1490642235</v>
      </c>
      <c r="AQ126" s="79" t="b">
        <v>1</v>
      </c>
      <c r="AR126" s="79" t="b">
        <v>0</v>
      </c>
      <c r="AS126" s="79" t="b">
        <v>0</v>
      </c>
      <c r="AT126" s="79"/>
      <c r="AU126" s="79">
        <v>0</v>
      </c>
      <c r="AV126" s="86" t="str">
        <f>HYPERLINK("https://abs.twimg.com/images/themes/theme1/bg.png")</f>
        <v>https://abs.twimg.com/images/themes/theme1/bg.png</v>
      </c>
      <c r="AW126" s="79" t="b">
        <v>0</v>
      </c>
      <c r="AX126" s="79" t="s">
        <v>1458</v>
      </c>
      <c r="AY126" s="86" t="str">
        <f>HYPERLINK("https://twitter.com/nancygrdz")</f>
        <v>https://twitter.com/nancygrdz</v>
      </c>
      <c r="AZ126" s="79" t="s">
        <v>66</v>
      </c>
      <c r="BA126" s="79" t="str">
        <f>REPLACE(INDEX(GroupVertices[Group],MATCH(Vertices[[#This Row],[Vertex]],GroupVertices[Vertex],0)),1,1,"")</f>
        <v>1</v>
      </c>
      <c r="BB126" s="49">
        <v>0</v>
      </c>
      <c r="BC126" s="50">
        <v>0</v>
      </c>
      <c r="BD126" s="49">
        <v>0</v>
      </c>
      <c r="BE126" s="50">
        <v>0</v>
      </c>
      <c r="BF126" s="49">
        <v>0</v>
      </c>
      <c r="BG126" s="50">
        <v>0</v>
      </c>
      <c r="BH126" s="49">
        <v>38</v>
      </c>
      <c r="BI126" s="50">
        <v>100</v>
      </c>
      <c r="BJ126" s="49">
        <v>38</v>
      </c>
      <c r="BK126" s="49"/>
      <c r="BL126" s="49"/>
      <c r="BM126" s="49"/>
      <c r="BN126" s="49"/>
      <c r="BO126" s="49" t="s">
        <v>498</v>
      </c>
      <c r="BP126" s="49" t="s">
        <v>498</v>
      </c>
      <c r="BQ126" s="115" t="s">
        <v>2277</v>
      </c>
      <c r="BR126" s="115" t="s">
        <v>2277</v>
      </c>
      <c r="BS126" s="115" t="s">
        <v>2392</v>
      </c>
      <c r="BT126" s="115" t="s">
        <v>2392</v>
      </c>
      <c r="BU126" s="2"/>
      <c r="BV126" s="3"/>
      <c r="BW126" s="3"/>
      <c r="BX126" s="3"/>
      <c r="BY126" s="3"/>
    </row>
    <row r="127" spans="1:77" ht="15">
      <c r="A127" s="65" t="s">
        <v>317</v>
      </c>
      <c r="B127" s="66"/>
      <c r="C127" s="66"/>
      <c r="D127" s="67">
        <v>100</v>
      </c>
      <c r="E127" s="69"/>
      <c r="F127" s="103" t="str">
        <f>HYPERLINK("https://pbs.twimg.com/profile_images/1401362462629318663/NS9k5WCX_normal.jpg")</f>
        <v>https://pbs.twimg.com/profile_images/1401362462629318663/NS9k5WCX_normal.jpg</v>
      </c>
      <c r="G127" s="66"/>
      <c r="H127" s="70" t="s">
        <v>317</v>
      </c>
      <c r="I127" s="71"/>
      <c r="J127" s="71" t="s">
        <v>159</v>
      </c>
      <c r="K127" s="70" t="s">
        <v>1582</v>
      </c>
      <c r="L127" s="74">
        <v>1</v>
      </c>
      <c r="M127" s="75">
        <v>2175.699462890625</v>
      </c>
      <c r="N127" s="75">
        <v>9619.291015625</v>
      </c>
      <c r="O127" s="76"/>
      <c r="P127" s="77"/>
      <c r="Q127" s="77"/>
      <c r="R127" s="89"/>
      <c r="S127" s="49">
        <v>0</v>
      </c>
      <c r="T127" s="49">
        <v>1</v>
      </c>
      <c r="U127" s="50">
        <v>0</v>
      </c>
      <c r="V127" s="50">
        <v>0.014085</v>
      </c>
      <c r="W127" s="50">
        <v>0</v>
      </c>
      <c r="X127" s="50">
        <v>0.547336</v>
      </c>
      <c r="Y127" s="50">
        <v>0</v>
      </c>
      <c r="Z127" s="50">
        <v>0</v>
      </c>
      <c r="AA127" s="72">
        <v>127</v>
      </c>
      <c r="AB127" s="72"/>
      <c r="AC127" s="73"/>
      <c r="AD127" s="79" t="s">
        <v>1050</v>
      </c>
      <c r="AE127" s="84" t="s">
        <v>1211</v>
      </c>
      <c r="AF127" s="79">
        <v>491</v>
      </c>
      <c r="AG127" s="79">
        <v>205</v>
      </c>
      <c r="AH127" s="79">
        <v>27866</v>
      </c>
      <c r="AI127" s="79">
        <v>449</v>
      </c>
      <c r="AJ127" s="79"/>
      <c r="AK127" s="79"/>
      <c r="AL127" s="79"/>
      <c r="AM127" s="79"/>
      <c r="AN127" s="79"/>
      <c r="AO127" s="81">
        <v>42439.87162037037</v>
      </c>
      <c r="AP127" s="79"/>
      <c r="AQ127" s="79" t="b">
        <v>1</v>
      </c>
      <c r="AR127" s="79" t="b">
        <v>0</v>
      </c>
      <c r="AS127" s="79" t="b">
        <v>0</v>
      </c>
      <c r="AT127" s="79"/>
      <c r="AU127" s="79">
        <v>5</v>
      </c>
      <c r="AV127" s="79"/>
      <c r="AW127" s="79" t="b">
        <v>0</v>
      </c>
      <c r="AX127" s="79" t="s">
        <v>1458</v>
      </c>
      <c r="AY127" s="86" t="str">
        <f>HYPERLINK("https://twitter.com/argelmoren")</f>
        <v>https://twitter.com/argelmoren</v>
      </c>
      <c r="AZ127" s="79" t="s">
        <v>66</v>
      </c>
      <c r="BA127" s="79" t="str">
        <f>REPLACE(INDEX(GroupVertices[Group],MATCH(Vertices[[#This Row],[Vertex]],GroupVertices[Vertex],0)),1,1,"")</f>
        <v>1</v>
      </c>
      <c r="BB127" s="49">
        <v>0</v>
      </c>
      <c r="BC127" s="50">
        <v>0</v>
      </c>
      <c r="BD127" s="49">
        <v>0</v>
      </c>
      <c r="BE127" s="50">
        <v>0</v>
      </c>
      <c r="BF127" s="49">
        <v>0</v>
      </c>
      <c r="BG127" s="50">
        <v>0</v>
      </c>
      <c r="BH127" s="49">
        <v>38</v>
      </c>
      <c r="BI127" s="50">
        <v>100</v>
      </c>
      <c r="BJ127" s="49">
        <v>38</v>
      </c>
      <c r="BK127" s="49"/>
      <c r="BL127" s="49"/>
      <c r="BM127" s="49"/>
      <c r="BN127" s="49"/>
      <c r="BO127" s="49" t="s">
        <v>498</v>
      </c>
      <c r="BP127" s="49" t="s">
        <v>498</v>
      </c>
      <c r="BQ127" s="115" t="s">
        <v>2277</v>
      </c>
      <c r="BR127" s="115" t="s">
        <v>2277</v>
      </c>
      <c r="BS127" s="115" t="s">
        <v>2392</v>
      </c>
      <c r="BT127" s="115" t="s">
        <v>2392</v>
      </c>
      <c r="BU127" s="2"/>
      <c r="BV127" s="3"/>
      <c r="BW127" s="3"/>
      <c r="BX127" s="3"/>
      <c r="BY127" s="3"/>
    </row>
    <row r="128" spans="1:77" ht="15">
      <c r="A128" s="65" t="s">
        <v>318</v>
      </c>
      <c r="B128" s="66"/>
      <c r="C128" s="66"/>
      <c r="D128" s="67">
        <v>100</v>
      </c>
      <c r="E128" s="69"/>
      <c r="F128" s="103" t="str">
        <f>HYPERLINK("https://pbs.twimg.com/profile_images/1415179504482496514/7OzjA9vG_normal.jpg")</f>
        <v>https://pbs.twimg.com/profile_images/1415179504482496514/7OzjA9vG_normal.jpg</v>
      </c>
      <c r="G128" s="66"/>
      <c r="H128" s="70" t="s">
        <v>318</v>
      </c>
      <c r="I128" s="71"/>
      <c r="J128" s="71" t="s">
        <v>159</v>
      </c>
      <c r="K128" s="70" t="s">
        <v>1583</v>
      </c>
      <c r="L128" s="74">
        <v>1</v>
      </c>
      <c r="M128" s="75">
        <v>1244.036376953125</v>
      </c>
      <c r="N128" s="75">
        <v>9482.5791015625</v>
      </c>
      <c r="O128" s="76"/>
      <c r="P128" s="77"/>
      <c r="Q128" s="77"/>
      <c r="R128" s="89"/>
      <c r="S128" s="49">
        <v>0</v>
      </c>
      <c r="T128" s="49">
        <v>1</v>
      </c>
      <c r="U128" s="50">
        <v>0</v>
      </c>
      <c r="V128" s="50">
        <v>0.014085</v>
      </c>
      <c r="W128" s="50">
        <v>0</v>
      </c>
      <c r="X128" s="50">
        <v>0.547336</v>
      </c>
      <c r="Y128" s="50">
        <v>0</v>
      </c>
      <c r="Z128" s="50">
        <v>0</v>
      </c>
      <c r="AA128" s="72">
        <v>128</v>
      </c>
      <c r="AB128" s="72"/>
      <c r="AC128" s="73"/>
      <c r="AD128" s="79" t="s">
        <v>1051</v>
      </c>
      <c r="AE128" s="84" t="s">
        <v>1212</v>
      </c>
      <c r="AF128" s="79">
        <v>4266</v>
      </c>
      <c r="AG128" s="79">
        <v>147</v>
      </c>
      <c r="AH128" s="79">
        <v>17867</v>
      </c>
      <c r="AI128" s="79">
        <v>19291</v>
      </c>
      <c r="AJ128" s="79"/>
      <c r="AK128" s="79"/>
      <c r="AL128" s="79"/>
      <c r="AM128" s="79"/>
      <c r="AN128" s="79"/>
      <c r="AO128" s="81">
        <v>39929.790717592594</v>
      </c>
      <c r="AP128" s="86" t="str">
        <f>HYPERLINK("https://pbs.twimg.com/profile_banners/35534573/1626327166")</f>
        <v>https://pbs.twimg.com/profile_banners/35534573/1626327166</v>
      </c>
      <c r="AQ128" s="79" t="b">
        <v>0</v>
      </c>
      <c r="AR128" s="79" t="b">
        <v>0</v>
      </c>
      <c r="AS128" s="79" t="b">
        <v>0</v>
      </c>
      <c r="AT128" s="79"/>
      <c r="AU128" s="79">
        <v>3</v>
      </c>
      <c r="AV128" s="86" t="str">
        <f>HYPERLINK("https://abs.twimg.com/images/themes/theme1/bg.png")</f>
        <v>https://abs.twimg.com/images/themes/theme1/bg.png</v>
      </c>
      <c r="AW128" s="79" t="b">
        <v>0</v>
      </c>
      <c r="AX128" s="79" t="s">
        <v>1458</v>
      </c>
      <c r="AY128" s="86" t="str">
        <f>HYPERLINK("https://twitter.com/febl")</f>
        <v>https://twitter.com/febl</v>
      </c>
      <c r="AZ128" s="79" t="s">
        <v>66</v>
      </c>
      <c r="BA128" s="79" t="str">
        <f>REPLACE(INDEX(GroupVertices[Group],MATCH(Vertices[[#This Row],[Vertex]],GroupVertices[Vertex],0)),1,1,"")</f>
        <v>1</v>
      </c>
      <c r="BB128" s="49">
        <v>0</v>
      </c>
      <c r="BC128" s="50">
        <v>0</v>
      </c>
      <c r="BD128" s="49">
        <v>0</v>
      </c>
      <c r="BE128" s="50">
        <v>0</v>
      </c>
      <c r="BF128" s="49">
        <v>0</v>
      </c>
      <c r="BG128" s="50">
        <v>0</v>
      </c>
      <c r="BH128" s="49">
        <v>38</v>
      </c>
      <c r="BI128" s="50">
        <v>100</v>
      </c>
      <c r="BJ128" s="49">
        <v>38</v>
      </c>
      <c r="BK128" s="49"/>
      <c r="BL128" s="49"/>
      <c r="BM128" s="49"/>
      <c r="BN128" s="49"/>
      <c r="BO128" s="49" t="s">
        <v>498</v>
      </c>
      <c r="BP128" s="49" t="s">
        <v>498</v>
      </c>
      <c r="BQ128" s="115" t="s">
        <v>2277</v>
      </c>
      <c r="BR128" s="115" t="s">
        <v>2277</v>
      </c>
      <c r="BS128" s="115" t="s">
        <v>2392</v>
      </c>
      <c r="BT128" s="115" t="s">
        <v>2392</v>
      </c>
      <c r="BU128" s="2"/>
      <c r="BV128" s="3"/>
      <c r="BW128" s="3"/>
      <c r="BX128" s="3"/>
      <c r="BY128" s="3"/>
    </row>
    <row r="129" spans="1:77" ht="15">
      <c r="A129" s="65" t="s">
        <v>319</v>
      </c>
      <c r="B129" s="66"/>
      <c r="C129" s="66"/>
      <c r="D129" s="67">
        <v>100</v>
      </c>
      <c r="E129" s="69"/>
      <c r="F129" s="103" t="str">
        <f>HYPERLINK("https://pbs.twimg.com/profile_images/1795585842/IMG_1919_normal.JPG")</f>
        <v>https://pbs.twimg.com/profile_images/1795585842/IMG_1919_normal.JPG</v>
      </c>
      <c r="G129" s="66"/>
      <c r="H129" s="70" t="s">
        <v>319</v>
      </c>
      <c r="I129" s="71"/>
      <c r="J129" s="71" t="s">
        <v>159</v>
      </c>
      <c r="K129" s="70" t="s">
        <v>1584</v>
      </c>
      <c r="L129" s="74">
        <v>1</v>
      </c>
      <c r="M129" s="75">
        <v>4256.59814453125</v>
      </c>
      <c r="N129" s="75">
        <v>3670.51904296875</v>
      </c>
      <c r="O129" s="76"/>
      <c r="P129" s="77"/>
      <c r="Q129" s="77"/>
      <c r="R129" s="89"/>
      <c r="S129" s="49">
        <v>0</v>
      </c>
      <c r="T129" s="49">
        <v>2</v>
      </c>
      <c r="U129" s="50">
        <v>0</v>
      </c>
      <c r="V129" s="50">
        <v>0.125</v>
      </c>
      <c r="W129" s="50">
        <v>0</v>
      </c>
      <c r="X129" s="50">
        <v>0.726067</v>
      </c>
      <c r="Y129" s="50">
        <v>0.5</v>
      </c>
      <c r="Z129" s="50">
        <v>0</v>
      </c>
      <c r="AA129" s="72">
        <v>129</v>
      </c>
      <c r="AB129" s="72"/>
      <c r="AC129" s="73"/>
      <c r="AD129" s="79" t="s">
        <v>1052</v>
      </c>
      <c r="AE129" s="84" t="s">
        <v>1213</v>
      </c>
      <c r="AF129" s="79">
        <v>691</v>
      </c>
      <c r="AG129" s="79">
        <v>247</v>
      </c>
      <c r="AH129" s="79">
        <v>2457</v>
      </c>
      <c r="AI129" s="79">
        <v>1091</v>
      </c>
      <c r="AJ129" s="79"/>
      <c r="AK129" s="79" t="s">
        <v>1354</v>
      </c>
      <c r="AL129" s="79" t="s">
        <v>1445</v>
      </c>
      <c r="AM129" s="86" t="str">
        <f>HYPERLINK("https://t.co/79Yltc0yIK")</f>
        <v>https://t.co/79Yltc0yIK</v>
      </c>
      <c r="AN129" s="79"/>
      <c r="AO129" s="81">
        <v>40306.11697916667</v>
      </c>
      <c r="AP129" s="79"/>
      <c r="AQ129" s="79" t="b">
        <v>0</v>
      </c>
      <c r="AR129" s="79" t="b">
        <v>0</v>
      </c>
      <c r="AS129" s="79" t="b">
        <v>1</v>
      </c>
      <c r="AT129" s="79"/>
      <c r="AU129" s="79">
        <v>20</v>
      </c>
      <c r="AV129" s="86" t="str">
        <f>HYPERLINK("https://abs.twimg.com/images/themes/theme14/bg.gif")</f>
        <v>https://abs.twimg.com/images/themes/theme14/bg.gif</v>
      </c>
      <c r="AW129" s="79" t="b">
        <v>0</v>
      </c>
      <c r="AX129" s="79" t="s">
        <v>1458</v>
      </c>
      <c r="AY129" s="86" t="str">
        <f>HYPERLINK("https://twitter.com/jan_aguileram")</f>
        <v>https://twitter.com/jan_aguileram</v>
      </c>
      <c r="AZ129" s="79" t="s">
        <v>66</v>
      </c>
      <c r="BA129" s="79" t="str">
        <f>REPLACE(INDEX(GroupVertices[Group],MATCH(Vertices[[#This Row],[Vertex]],GroupVertices[Vertex],0)),1,1,"")</f>
        <v>7</v>
      </c>
      <c r="BB129" s="49">
        <v>0</v>
      </c>
      <c r="BC129" s="50">
        <v>0</v>
      </c>
      <c r="BD129" s="49">
        <v>0</v>
      </c>
      <c r="BE129" s="50">
        <v>0</v>
      </c>
      <c r="BF129" s="49">
        <v>0</v>
      </c>
      <c r="BG129" s="50">
        <v>0</v>
      </c>
      <c r="BH129" s="49">
        <v>22</v>
      </c>
      <c r="BI129" s="50">
        <v>100</v>
      </c>
      <c r="BJ129" s="49">
        <v>22</v>
      </c>
      <c r="BK129" s="49"/>
      <c r="BL129" s="49"/>
      <c r="BM129" s="49"/>
      <c r="BN129" s="49"/>
      <c r="BO129" s="49" t="s">
        <v>499</v>
      </c>
      <c r="BP129" s="49" t="s">
        <v>499</v>
      </c>
      <c r="BQ129" s="115" t="s">
        <v>2555</v>
      </c>
      <c r="BR129" s="115" t="s">
        <v>2555</v>
      </c>
      <c r="BS129" s="115" t="s">
        <v>2604</v>
      </c>
      <c r="BT129" s="115" t="s">
        <v>2604</v>
      </c>
      <c r="BU129" s="2"/>
      <c r="BV129" s="3"/>
      <c r="BW129" s="3"/>
      <c r="BX129" s="3"/>
      <c r="BY129" s="3"/>
    </row>
    <row r="130" spans="1:77" ht="15">
      <c r="A130" s="65" t="s">
        <v>320</v>
      </c>
      <c r="B130" s="66"/>
      <c r="C130" s="66"/>
      <c r="D130" s="67">
        <v>100</v>
      </c>
      <c r="E130" s="69"/>
      <c r="F130" s="103" t="str">
        <f>HYPERLINK("https://pbs.twimg.com/profile_images/1389818206504857607/utW-H5ZU_normal.jpg")</f>
        <v>https://pbs.twimg.com/profile_images/1389818206504857607/utW-H5ZU_normal.jpg</v>
      </c>
      <c r="G130" s="66"/>
      <c r="H130" s="70" t="s">
        <v>320</v>
      </c>
      <c r="I130" s="71"/>
      <c r="J130" s="71" t="s">
        <v>159</v>
      </c>
      <c r="K130" s="70" t="s">
        <v>1585</v>
      </c>
      <c r="L130" s="74">
        <v>1</v>
      </c>
      <c r="M130" s="75">
        <v>907.2620239257812</v>
      </c>
      <c r="N130" s="75">
        <v>7759.30126953125</v>
      </c>
      <c r="O130" s="76"/>
      <c r="P130" s="77"/>
      <c r="Q130" s="77"/>
      <c r="R130" s="89"/>
      <c r="S130" s="49">
        <v>0</v>
      </c>
      <c r="T130" s="49">
        <v>1</v>
      </c>
      <c r="U130" s="50">
        <v>0</v>
      </c>
      <c r="V130" s="50">
        <v>0.014085</v>
      </c>
      <c r="W130" s="50">
        <v>0</v>
      </c>
      <c r="X130" s="50">
        <v>0.547336</v>
      </c>
      <c r="Y130" s="50">
        <v>0</v>
      </c>
      <c r="Z130" s="50">
        <v>0</v>
      </c>
      <c r="AA130" s="72">
        <v>130</v>
      </c>
      <c r="AB130" s="72"/>
      <c r="AC130" s="73"/>
      <c r="AD130" s="79" t="s">
        <v>1053</v>
      </c>
      <c r="AE130" s="84" t="s">
        <v>1214</v>
      </c>
      <c r="AF130" s="79">
        <v>2479</v>
      </c>
      <c r="AG130" s="79">
        <v>1579</v>
      </c>
      <c r="AH130" s="79">
        <v>30774</v>
      </c>
      <c r="AI130" s="79">
        <v>18931</v>
      </c>
      <c r="AJ130" s="79"/>
      <c r="AK130" s="79" t="s">
        <v>1355</v>
      </c>
      <c r="AL130" s="79" t="s">
        <v>1446</v>
      </c>
      <c r="AM130" s="79"/>
      <c r="AN130" s="79"/>
      <c r="AO130" s="81">
        <v>41895.25349537037</v>
      </c>
      <c r="AP130" s="86" t="str">
        <f>HYPERLINK("https://pbs.twimg.com/profile_banners/2768585817/1630540122")</f>
        <v>https://pbs.twimg.com/profile_banners/2768585817/1630540122</v>
      </c>
      <c r="AQ130" s="79" t="b">
        <v>0</v>
      </c>
      <c r="AR130" s="79" t="b">
        <v>0</v>
      </c>
      <c r="AS130" s="79" t="b">
        <v>0</v>
      </c>
      <c r="AT130" s="79"/>
      <c r="AU130" s="79">
        <v>0</v>
      </c>
      <c r="AV130" s="86" t="str">
        <f>HYPERLINK("https://abs.twimg.com/images/themes/theme1/bg.png")</f>
        <v>https://abs.twimg.com/images/themes/theme1/bg.png</v>
      </c>
      <c r="AW130" s="79" t="b">
        <v>0</v>
      </c>
      <c r="AX130" s="79" t="s">
        <v>1458</v>
      </c>
      <c r="AY130" s="86" t="str">
        <f>HYPERLINK("https://twitter.com/caracas0057")</f>
        <v>https://twitter.com/caracas0057</v>
      </c>
      <c r="AZ130" s="79" t="s">
        <v>66</v>
      </c>
      <c r="BA130" s="79" t="str">
        <f>REPLACE(INDEX(GroupVertices[Group],MATCH(Vertices[[#This Row],[Vertex]],GroupVertices[Vertex],0)),1,1,"")</f>
        <v>1</v>
      </c>
      <c r="BB130" s="49">
        <v>0</v>
      </c>
      <c r="BC130" s="50">
        <v>0</v>
      </c>
      <c r="BD130" s="49">
        <v>0</v>
      </c>
      <c r="BE130" s="50">
        <v>0</v>
      </c>
      <c r="BF130" s="49">
        <v>0</v>
      </c>
      <c r="BG130" s="50">
        <v>0</v>
      </c>
      <c r="BH130" s="49">
        <v>38</v>
      </c>
      <c r="BI130" s="50">
        <v>100</v>
      </c>
      <c r="BJ130" s="49">
        <v>38</v>
      </c>
      <c r="BK130" s="49"/>
      <c r="BL130" s="49"/>
      <c r="BM130" s="49"/>
      <c r="BN130" s="49"/>
      <c r="BO130" s="49" t="s">
        <v>498</v>
      </c>
      <c r="BP130" s="49" t="s">
        <v>498</v>
      </c>
      <c r="BQ130" s="115" t="s">
        <v>2277</v>
      </c>
      <c r="BR130" s="115" t="s">
        <v>2277</v>
      </c>
      <c r="BS130" s="115" t="s">
        <v>2392</v>
      </c>
      <c r="BT130" s="115" t="s">
        <v>2392</v>
      </c>
      <c r="BU130" s="2"/>
      <c r="BV130" s="3"/>
      <c r="BW130" s="3"/>
      <c r="BX130" s="3"/>
      <c r="BY130" s="3"/>
    </row>
    <row r="131" spans="1:77" ht="15">
      <c r="A131" s="65" t="s">
        <v>321</v>
      </c>
      <c r="B131" s="66"/>
      <c r="C131" s="66"/>
      <c r="D131" s="67">
        <v>100</v>
      </c>
      <c r="E131" s="69"/>
      <c r="F131" s="103" t="str">
        <f>HYPERLINK("https://pbs.twimg.com/profile_images/1421347179831177218/ihEwt_o5_normal.jpg")</f>
        <v>https://pbs.twimg.com/profile_images/1421347179831177218/ihEwt_o5_normal.jpg</v>
      </c>
      <c r="G131" s="66"/>
      <c r="H131" s="70" t="s">
        <v>321</v>
      </c>
      <c r="I131" s="71"/>
      <c r="J131" s="71" t="s">
        <v>159</v>
      </c>
      <c r="K131" s="70" t="s">
        <v>1586</v>
      </c>
      <c r="L131" s="74">
        <v>1</v>
      </c>
      <c r="M131" s="75">
        <v>3630.921875</v>
      </c>
      <c r="N131" s="75">
        <v>6857.2470703125</v>
      </c>
      <c r="O131" s="76"/>
      <c r="P131" s="77"/>
      <c r="Q131" s="77"/>
      <c r="R131" s="89"/>
      <c r="S131" s="49">
        <v>0</v>
      </c>
      <c r="T131" s="49">
        <v>1</v>
      </c>
      <c r="U131" s="50">
        <v>0</v>
      </c>
      <c r="V131" s="50">
        <v>0.014085</v>
      </c>
      <c r="W131" s="50">
        <v>0</v>
      </c>
      <c r="X131" s="50">
        <v>0.547336</v>
      </c>
      <c r="Y131" s="50">
        <v>0</v>
      </c>
      <c r="Z131" s="50">
        <v>0</v>
      </c>
      <c r="AA131" s="72">
        <v>131</v>
      </c>
      <c r="AB131" s="72"/>
      <c r="AC131" s="73"/>
      <c r="AD131" s="79" t="s">
        <v>1054</v>
      </c>
      <c r="AE131" s="84" t="s">
        <v>1215</v>
      </c>
      <c r="AF131" s="79">
        <v>3137</v>
      </c>
      <c r="AG131" s="79">
        <v>1090</v>
      </c>
      <c r="AH131" s="79">
        <v>54007</v>
      </c>
      <c r="AI131" s="79">
        <v>126547</v>
      </c>
      <c r="AJ131" s="79"/>
      <c r="AK131" s="79" t="s">
        <v>1356</v>
      </c>
      <c r="AL131" s="79" t="s">
        <v>901</v>
      </c>
      <c r="AM131" s="79"/>
      <c r="AN131" s="79"/>
      <c r="AO131" s="81">
        <v>41254.230462962965</v>
      </c>
      <c r="AP131" s="86" t="str">
        <f>HYPERLINK("https://pbs.twimg.com/profile_banners/1003378892/1532323428")</f>
        <v>https://pbs.twimg.com/profile_banners/1003378892/1532323428</v>
      </c>
      <c r="AQ131" s="79" t="b">
        <v>0</v>
      </c>
      <c r="AR131" s="79" t="b">
        <v>0</v>
      </c>
      <c r="AS131" s="79" t="b">
        <v>1</v>
      </c>
      <c r="AT131" s="79"/>
      <c r="AU131" s="79">
        <v>3</v>
      </c>
      <c r="AV131" s="86" t="str">
        <f>HYPERLINK("https://abs.twimg.com/images/themes/theme14/bg.gif")</f>
        <v>https://abs.twimg.com/images/themes/theme14/bg.gif</v>
      </c>
      <c r="AW131" s="79" t="b">
        <v>0</v>
      </c>
      <c r="AX131" s="79" t="s">
        <v>1458</v>
      </c>
      <c r="AY131" s="86" t="str">
        <f>HYPERLINK("https://twitter.com/victorvola")</f>
        <v>https://twitter.com/victorvola</v>
      </c>
      <c r="AZ131" s="79" t="s">
        <v>66</v>
      </c>
      <c r="BA131" s="79" t="str">
        <f>REPLACE(INDEX(GroupVertices[Group],MATCH(Vertices[[#This Row],[Vertex]],GroupVertices[Vertex],0)),1,1,"")</f>
        <v>1</v>
      </c>
      <c r="BB131" s="49">
        <v>0</v>
      </c>
      <c r="BC131" s="50">
        <v>0</v>
      </c>
      <c r="BD131" s="49">
        <v>0</v>
      </c>
      <c r="BE131" s="50">
        <v>0</v>
      </c>
      <c r="BF131" s="49">
        <v>0</v>
      </c>
      <c r="BG131" s="50">
        <v>0</v>
      </c>
      <c r="BH131" s="49">
        <v>38</v>
      </c>
      <c r="BI131" s="50">
        <v>100</v>
      </c>
      <c r="BJ131" s="49">
        <v>38</v>
      </c>
      <c r="BK131" s="49"/>
      <c r="BL131" s="49"/>
      <c r="BM131" s="49"/>
      <c r="BN131" s="49"/>
      <c r="BO131" s="49" t="s">
        <v>498</v>
      </c>
      <c r="BP131" s="49" t="s">
        <v>498</v>
      </c>
      <c r="BQ131" s="115" t="s">
        <v>2277</v>
      </c>
      <c r="BR131" s="115" t="s">
        <v>2277</v>
      </c>
      <c r="BS131" s="115" t="s">
        <v>2392</v>
      </c>
      <c r="BT131" s="115" t="s">
        <v>2392</v>
      </c>
      <c r="BU131" s="2"/>
      <c r="BV131" s="3"/>
      <c r="BW131" s="3"/>
      <c r="BX131" s="3"/>
      <c r="BY131" s="3"/>
    </row>
    <row r="132" spans="1:77" ht="15">
      <c r="A132" s="65" t="s">
        <v>322</v>
      </c>
      <c r="B132" s="66"/>
      <c r="C132" s="66"/>
      <c r="D132" s="67">
        <v>100</v>
      </c>
      <c r="E132" s="69"/>
      <c r="F132" s="103" t="str">
        <f>HYPERLINK("https://pbs.twimg.com/profile_images/1265609230607933440/Hvr0mLU0_normal.jpg")</f>
        <v>https://pbs.twimg.com/profile_images/1265609230607933440/Hvr0mLU0_normal.jpg</v>
      </c>
      <c r="G132" s="66"/>
      <c r="H132" s="70" t="s">
        <v>322</v>
      </c>
      <c r="I132" s="71"/>
      <c r="J132" s="71" t="s">
        <v>159</v>
      </c>
      <c r="K132" s="70" t="s">
        <v>1587</v>
      </c>
      <c r="L132" s="74">
        <v>1</v>
      </c>
      <c r="M132" s="75">
        <v>749.94873046875</v>
      </c>
      <c r="N132" s="75">
        <v>8914.994140625</v>
      </c>
      <c r="O132" s="76"/>
      <c r="P132" s="77"/>
      <c r="Q132" s="77"/>
      <c r="R132" s="89"/>
      <c r="S132" s="49">
        <v>0</v>
      </c>
      <c r="T132" s="49">
        <v>1</v>
      </c>
      <c r="U132" s="50">
        <v>0</v>
      </c>
      <c r="V132" s="50">
        <v>0.014085</v>
      </c>
      <c r="W132" s="50">
        <v>0</v>
      </c>
      <c r="X132" s="50">
        <v>0.547336</v>
      </c>
      <c r="Y132" s="50">
        <v>0</v>
      </c>
      <c r="Z132" s="50">
        <v>0</v>
      </c>
      <c r="AA132" s="72">
        <v>132</v>
      </c>
      <c r="AB132" s="72"/>
      <c r="AC132" s="73"/>
      <c r="AD132" s="79" t="s">
        <v>1055</v>
      </c>
      <c r="AE132" s="84" t="s">
        <v>1216</v>
      </c>
      <c r="AF132" s="79">
        <v>1129</v>
      </c>
      <c r="AG132" s="79">
        <v>439</v>
      </c>
      <c r="AH132" s="79">
        <v>81633</v>
      </c>
      <c r="AI132" s="79">
        <v>10025</v>
      </c>
      <c r="AJ132" s="79"/>
      <c r="AK132" s="79" t="s">
        <v>1357</v>
      </c>
      <c r="AL132" s="79"/>
      <c r="AM132" s="79"/>
      <c r="AN132" s="79"/>
      <c r="AO132" s="81">
        <v>41908.08217592593</v>
      </c>
      <c r="AP132" s="86" t="str">
        <f>HYPERLINK("https://pbs.twimg.com/profile_banners/2784748833/1557672186")</f>
        <v>https://pbs.twimg.com/profile_banners/2784748833/1557672186</v>
      </c>
      <c r="AQ132" s="79" t="b">
        <v>1</v>
      </c>
      <c r="AR132" s="79" t="b">
        <v>0</v>
      </c>
      <c r="AS132" s="79" t="b">
        <v>1</v>
      </c>
      <c r="AT132" s="79"/>
      <c r="AU132" s="79">
        <v>13</v>
      </c>
      <c r="AV132" s="86" t="str">
        <f>HYPERLINK("https://abs.twimg.com/images/themes/theme1/bg.png")</f>
        <v>https://abs.twimg.com/images/themes/theme1/bg.png</v>
      </c>
      <c r="AW132" s="79" t="b">
        <v>0</v>
      </c>
      <c r="AX132" s="79" t="s">
        <v>1458</v>
      </c>
      <c r="AY132" s="86" t="str">
        <f>HYPERLINK("https://twitter.com/voyagercosmic85")</f>
        <v>https://twitter.com/voyagercosmic85</v>
      </c>
      <c r="AZ132" s="79" t="s">
        <v>66</v>
      </c>
      <c r="BA132" s="79" t="str">
        <f>REPLACE(INDEX(GroupVertices[Group],MATCH(Vertices[[#This Row],[Vertex]],GroupVertices[Vertex],0)),1,1,"")</f>
        <v>1</v>
      </c>
      <c r="BB132" s="49">
        <v>0</v>
      </c>
      <c r="BC132" s="50">
        <v>0</v>
      </c>
      <c r="BD132" s="49">
        <v>0</v>
      </c>
      <c r="BE132" s="50">
        <v>0</v>
      </c>
      <c r="BF132" s="49">
        <v>0</v>
      </c>
      <c r="BG132" s="50">
        <v>0</v>
      </c>
      <c r="BH132" s="49">
        <v>38</v>
      </c>
      <c r="BI132" s="50">
        <v>100</v>
      </c>
      <c r="BJ132" s="49">
        <v>38</v>
      </c>
      <c r="BK132" s="49"/>
      <c r="BL132" s="49"/>
      <c r="BM132" s="49"/>
      <c r="BN132" s="49"/>
      <c r="BO132" s="49" t="s">
        <v>498</v>
      </c>
      <c r="BP132" s="49" t="s">
        <v>498</v>
      </c>
      <c r="BQ132" s="115" t="s">
        <v>2277</v>
      </c>
      <c r="BR132" s="115" t="s">
        <v>2277</v>
      </c>
      <c r="BS132" s="115" t="s">
        <v>2392</v>
      </c>
      <c r="BT132" s="115" t="s">
        <v>2392</v>
      </c>
      <c r="BU132" s="2"/>
      <c r="BV132" s="3"/>
      <c r="BW132" s="3"/>
      <c r="BX132" s="3"/>
      <c r="BY132" s="3"/>
    </row>
    <row r="133" spans="1:77" ht="15">
      <c r="A133" s="65" t="s">
        <v>323</v>
      </c>
      <c r="B133" s="66"/>
      <c r="C133" s="66"/>
      <c r="D133" s="67">
        <v>100</v>
      </c>
      <c r="E133" s="69"/>
      <c r="F133" s="103" t="str">
        <f>HYPERLINK("https://pbs.twimg.com/profile_images/1372409432815075328/vEen7b68_normal.jpg")</f>
        <v>https://pbs.twimg.com/profile_images/1372409432815075328/vEen7b68_normal.jpg</v>
      </c>
      <c r="G133" s="66"/>
      <c r="H133" s="70" t="s">
        <v>323</v>
      </c>
      <c r="I133" s="71"/>
      <c r="J133" s="71" t="s">
        <v>159</v>
      </c>
      <c r="K133" s="70" t="s">
        <v>1588</v>
      </c>
      <c r="L133" s="74">
        <v>1</v>
      </c>
      <c r="M133" s="75">
        <v>1318.027099609375</v>
      </c>
      <c r="N133" s="75">
        <v>4463.3779296875</v>
      </c>
      <c r="O133" s="76"/>
      <c r="P133" s="77"/>
      <c r="Q133" s="77"/>
      <c r="R133" s="89"/>
      <c r="S133" s="49">
        <v>0</v>
      </c>
      <c r="T133" s="49">
        <v>1</v>
      </c>
      <c r="U133" s="50">
        <v>0</v>
      </c>
      <c r="V133" s="50">
        <v>0.014085</v>
      </c>
      <c r="W133" s="50">
        <v>0</v>
      </c>
      <c r="X133" s="50">
        <v>0.547336</v>
      </c>
      <c r="Y133" s="50">
        <v>0</v>
      </c>
      <c r="Z133" s="50">
        <v>0</v>
      </c>
      <c r="AA133" s="72">
        <v>133</v>
      </c>
      <c r="AB133" s="72"/>
      <c r="AC133" s="73"/>
      <c r="AD133" s="79" t="s">
        <v>1056</v>
      </c>
      <c r="AE133" s="84" t="s">
        <v>1217</v>
      </c>
      <c r="AF133" s="79">
        <v>3815</v>
      </c>
      <c r="AG133" s="79">
        <v>1071</v>
      </c>
      <c r="AH133" s="79">
        <v>42037</v>
      </c>
      <c r="AI133" s="79">
        <v>145365</v>
      </c>
      <c r="AJ133" s="79"/>
      <c r="AK133" s="79" t="s">
        <v>1358</v>
      </c>
      <c r="AL133" s="79"/>
      <c r="AM133" s="79"/>
      <c r="AN133" s="79"/>
      <c r="AO133" s="81">
        <v>40075.16707175926</v>
      </c>
      <c r="AP133" s="86" t="str">
        <f>HYPERLINK("https://pbs.twimg.com/profile_banners/75467262/1530483789")</f>
        <v>https://pbs.twimg.com/profile_banners/75467262/1530483789</v>
      </c>
      <c r="AQ133" s="79" t="b">
        <v>0</v>
      </c>
      <c r="AR133" s="79" t="b">
        <v>0</v>
      </c>
      <c r="AS133" s="79" t="b">
        <v>1</v>
      </c>
      <c r="AT133" s="79"/>
      <c r="AU133" s="79">
        <v>6</v>
      </c>
      <c r="AV133" s="86" t="str">
        <f>HYPERLINK("https://abs.twimg.com/images/themes/theme14/bg.gif")</f>
        <v>https://abs.twimg.com/images/themes/theme14/bg.gif</v>
      </c>
      <c r="AW133" s="79" t="b">
        <v>0</v>
      </c>
      <c r="AX133" s="79" t="s">
        <v>1458</v>
      </c>
      <c r="AY133" s="86" t="str">
        <f>HYPERLINK("https://twitter.com/_riverasergio")</f>
        <v>https://twitter.com/_riverasergio</v>
      </c>
      <c r="AZ133" s="79" t="s">
        <v>66</v>
      </c>
      <c r="BA133" s="79" t="str">
        <f>REPLACE(INDEX(GroupVertices[Group],MATCH(Vertices[[#This Row],[Vertex]],GroupVertices[Vertex],0)),1,1,"")</f>
        <v>1</v>
      </c>
      <c r="BB133" s="49">
        <v>0</v>
      </c>
      <c r="BC133" s="50">
        <v>0</v>
      </c>
      <c r="BD133" s="49">
        <v>0</v>
      </c>
      <c r="BE133" s="50">
        <v>0</v>
      </c>
      <c r="BF133" s="49">
        <v>0</v>
      </c>
      <c r="BG133" s="50">
        <v>0</v>
      </c>
      <c r="BH133" s="49">
        <v>38</v>
      </c>
      <c r="BI133" s="50">
        <v>100</v>
      </c>
      <c r="BJ133" s="49">
        <v>38</v>
      </c>
      <c r="BK133" s="49"/>
      <c r="BL133" s="49"/>
      <c r="BM133" s="49"/>
      <c r="BN133" s="49"/>
      <c r="BO133" s="49" t="s">
        <v>498</v>
      </c>
      <c r="BP133" s="49" t="s">
        <v>498</v>
      </c>
      <c r="BQ133" s="115" t="s">
        <v>2277</v>
      </c>
      <c r="BR133" s="115" t="s">
        <v>2277</v>
      </c>
      <c r="BS133" s="115" t="s">
        <v>2392</v>
      </c>
      <c r="BT133" s="115" t="s">
        <v>2392</v>
      </c>
      <c r="BU133" s="2"/>
      <c r="BV133" s="3"/>
      <c r="BW133" s="3"/>
      <c r="BX133" s="3"/>
      <c r="BY133" s="3"/>
    </row>
    <row r="134" spans="1:77" ht="15">
      <c r="A134" s="65" t="s">
        <v>324</v>
      </c>
      <c r="B134" s="66"/>
      <c r="C134" s="66"/>
      <c r="D134" s="67">
        <v>100</v>
      </c>
      <c r="E134" s="69"/>
      <c r="F134" s="103" t="str">
        <f>HYPERLINK("https://pbs.twimg.com/profile_images/1310296572823920640/gJ94ytAa_normal.jpg")</f>
        <v>https://pbs.twimg.com/profile_images/1310296572823920640/gJ94ytAa_normal.jpg</v>
      </c>
      <c r="G134" s="66"/>
      <c r="H134" s="70" t="s">
        <v>324</v>
      </c>
      <c r="I134" s="71"/>
      <c r="J134" s="71" t="s">
        <v>159</v>
      </c>
      <c r="K134" s="70" t="s">
        <v>1589</v>
      </c>
      <c r="L134" s="74">
        <v>1</v>
      </c>
      <c r="M134" s="75">
        <v>335.1620178222656</v>
      </c>
      <c r="N134" s="75">
        <v>7522.69140625</v>
      </c>
      <c r="O134" s="76"/>
      <c r="P134" s="77"/>
      <c r="Q134" s="77"/>
      <c r="R134" s="89"/>
      <c r="S134" s="49">
        <v>0</v>
      </c>
      <c r="T134" s="49">
        <v>1</v>
      </c>
      <c r="U134" s="50">
        <v>0</v>
      </c>
      <c r="V134" s="50">
        <v>0.014085</v>
      </c>
      <c r="W134" s="50">
        <v>0</v>
      </c>
      <c r="X134" s="50">
        <v>0.547336</v>
      </c>
      <c r="Y134" s="50">
        <v>0</v>
      </c>
      <c r="Z134" s="50">
        <v>0</v>
      </c>
      <c r="AA134" s="72">
        <v>134</v>
      </c>
      <c r="AB134" s="72"/>
      <c r="AC134" s="73"/>
      <c r="AD134" s="79" t="s">
        <v>1057</v>
      </c>
      <c r="AE134" s="84" t="s">
        <v>1218</v>
      </c>
      <c r="AF134" s="79">
        <v>648</v>
      </c>
      <c r="AG134" s="79">
        <v>143</v>
      </c>
      <c r="AH134" s="79">
        <v>39411</v>
      </c>
      <c r="AI134" s="79">
        <v>3736</v>
      </c>
      <c r="AJ134" s="79"/>
      <c r="AK134" s="79" t="s">
        <v>1359</v>
      </c>
      <c r="AL134" s="79" t="s">
        <v>1426</v>
      </c>
      <c r="AM134" s="86" t="str">
        <f>HYPERLINK("https://t.co/fBCdueVCzF")</f>
        <v>https://t.co/fBCdueVCzF</v>
      </c>
      <c r="AN134" s="79"/>
      <c r="AO134" s="81">
        <v>40194.12936342593</v>
      </c>
      <c r="AP134" s="86" t="str">
        <f>HYPERLINK("https://pbs.twimg.com/profile_banners/105352249/1601265322")</f>
        <v>https://pbs.twimg.com/profile_banners/105352249/1601265322</v>
      </c>
      <c r="AQ134" s="79" t="b">
        <v>0</v>
      </c>
      <c r="AR134" s="79" t="b">
        <v>0</v>
      </c>
      <c r="AS134" s="79" t="b">
        <v>1</v>
      </c>
      <c r="AT134" s="79"/>
      <c r="AU134" s="79">
        <v>0</v>
      </c>
      <c r="AV134" s="86" t="str">
        <f>HYPERLINK("https://abs.twimg.com/images/themes/theme1/bg.png")</f>
        <v>https://abs.twimg.com/images/themes/theme1/bg.png</v>
      </c>
      <c r="AW134" s="79" t="b">
        <v>0</v>
      </c>
      <c r="AX134" s="79" t="s">
        <v>1458</v>
      </c>
      <c r="AY134" s="86" t="str">
        <f>HYPERLINK("https://twitter.com/juanocanasr")</f>
        <v>https://twitter.com/juanocanasr</v>
      </c>
      <c r="AZ134" s="79" t="s">
        <v>66</v>
      </c>
      <c r="BA134" s="79" t="str">
        <f>REPLACE(INDEX(GroupVertices[Group],MATCH(Vertices[[#This Row],[Vertex]],GroupVertices[Vertex],0)),1,1,"")</f>
        <v>1</v>
      </c>
      <c r="BB134" s="49">
        <v>0</v>
      </c>
      <c r="BC134" s="50">
        <v>0</v>
      </c>
      <c r="BD134" s="49">
        <v>0</v>
      </c>
      <c r="BE134" s="50">
        <v>0</v>
      </c>
      <c r="BF134" s="49">
        <v>0</v>
      </c>
      <c r="BG134" s="50">
        <v>0</v>
      </c>
      <c r="BH134" s="49">
        <v>38</v>
      </c>
      <c r="BI134" s="50">
        <v>100</v>
      </c>
      <c r="BJ134" s="49">
        <v>38</v>
      </c>
      <c r="BK134" s="49"/>
      <c r="BL134" s="49"/>
      <c r="BM134" s="49"/>
      <c r="BN134" s="49"/>
      <c r="BO134" s="49" t="s">
        <v>498</v>
      </c>
      <c r="BP134" s="49" t="s">
        <v>498</v>
      </c>
      <c r="BQ134" s="115" t="s">
        <v>2277</v>
      </c>
      <c r="BR134" s="115" t="s">
        <v>2277</v>
      </c>
      <c r="BS134" s="115" t="s">
        <v>2392</v>
      </c>
      <c r="BT134" s="115" t="s">
        <v>2392</v>
      </c>
      <c r="BU134" s="2"/>
      <c r="BV134" s="3"/>
      <c r="BW134" s="3"/>
      <c r="BX134" s="3"/>
      <c r="BY134" s="3"/>
    </row>
    <row r="135" spans="1:77" ht="15">
      <c r="A135" s="65" t="s">
        <v>326</v>
      </c>
      <c r="B135" s="66"/>
      <c r="C135" s="66"/>
      <c r="D135" s="67">
        <v>118.62068965517241</v>
      </c>
      <c r="E135" s="69"/>
      <c r="F135" s="103" t="str">
        <f>HYPERLINK("https://pbs.twimg.com/profile_images/1295120137071267844/D728C1Te_normal.jpg")</f>
        <v>https://pbs.twimg.com/profile_images/1295120137071267844/D728C1Te_normal.jpg</v>
      </c>
      <c r="G135" s="66"/>
      <c r="H135" s="70" t="s">
        <v>326</v>
      </c>
      <c r="I135" s="71"/>
      <c r="J135" s="71" t="s">
        <v>75</v>
      </c>
      <c r="K135" s="70" t="s">
        <v>1590</v>
      </c>
      <c r="L135" s="74">
        <v>24.804761904761904</v>
      </c>
      <c r="M135" s="75">
        <v>3032.70458984375</v>
      </c>
      <c r="N135" s="75">
        <v>3283.447509765625</v>
      </c>
      <c r="O135" s="76"/>
      <c r="P135" s="77"/>
      <c r="Q135" s="77"/>
      <c r="R135" s="89"/>
      <c r="S135" s="49">
        <v>0</v>
      </c>
      <c r="T135" s="49">
        <v>3</v>
      </c>
      <c r="U135" s="50">
        <v>3</v>
      </c>
      <c r="V135" s="50">
        <v>0.012346</v>
      </c>
      <c r="W135" s="50">
        <v>0.037132</v>
      </c>
      <c r="X135" s="50">
        <v>0.675241</v>
      </c>
      <c r="Y135" s="50">
        <v>0.3333333333333333</v>
      </c>
      <c r="Z135" s="50">
        <v>0</v>
      </c>
      <c r="AA135" s="72">
        <v>135</v>
      </c>
      <c r="AB135" s="72"/>
      <c r="AC135" s="73"/>
      <c r="AD135" s="79" t="s">
        <v>1058</v>
      </c>
      <c r="AE135" s="84" t="s">
        <v>1219</v>
      </c>
      <c r="AF135" s="79">
        <v>308</v>
      </c>
      <c r="AG135" s="79">
        <v>136</v>
      </c>
      <c r="AH135" s="79">
        <v>10492</v>
      </c>
      <c r="AI135" s="79">
        <v>2800</v>
      </c>
      <c r="AJ135" s="79"/>
      <c r="AK135" s="79" t="s">
        <v>1360</v>
      </c>
      <c r="AL135" s="79" t="s">
        <v>1447</v>
      </c>
      <c r="AM135" s="79"/>
      <c r="AN135" s="79"/>
      <c r="AO135" s="81">
        <v>44059.891921296294</v>
      </c>
      <c r="AP135" s="86" t="str">
        <f>HYPERLINK("https://pbs.twimg.com/profile_banners/1295109050015911936/1597615480")</f>
        <v>https://pbs.twimg.com/profile_banners/1295109050015911936/1597615480</v>
      </c>
      <c r="AQ135" s="79" t="b">
        <v>1</v>
      </c>
      <c r="AR135" s="79" t="b">
        <v>0</v>
      </c>
      <c r="AS135" s="79" t="b">
        <v>0</v>
      </c>
      <c r="AT135" s="79"/>
      <c r="AU135" s="79">
        <v>0</v>
      </c>
      <c r="AV135" s="79"/>
      <c r="AW135" s="79" t="b">
        <v>0</v>
      </c>
      <c r="AX135" s="79" t="s">
        <v>1458</v>
      </c>
      <c r="AY135" s="86" t="str">
        <f>HYPERLINK("https://twitter.com/ferdapartida")</f>
        <v>https://twitter.com/ferdapartida</v>
      </c>
      <c r="AZ135" s="79" t="s">
        <v>66</v>
      </c>
      <c r="BA135" s="79" t="str">
        <f>REPLACE(INDEX(GroupVertices[Group],MATCH(Vertices[[#This Row],[Vertex]],GroupVertices[Vertex],0)),1,1,"")</f>
        <v>2</v>
      </c>
      <c r="BB135" s="49">
        <v>0</v>
      </c>
      <c r="BC135" s="50">
        <v>0</v>
      </c>
      <c r="BD135" s="49">
        <v>0</v>
      </c>
      <c r="BE135" s="50">
        <v>0</v>
      </c>
      <c r="BF135" s="49">
        <v>0</v>
      </c>
      <c r="BG135" s="50">
        <v>0</v>
      </c>
      <c r="BH135" s="49">
        <v>25</v>
      </c>
      <c r="BI135" s="50">
        <v>100</v>
      </c>
      <c r="BJ135" s="49">
        <v>25</v>
      </c>
      <c r="BK135" s="49"/>
      <c r="BL135" s="49"/>
      <c r="BM135" s="49"/>
      <c r="BN135" s="49"/>
      <c r="BO135" s="49" t="s">
        <v>491</v>
      </c>
      <c r="BP135" s="49" t="s">
        <v>491</v>
      </c>
      <c r="BQ135" s="115" t="s">
        <v>2547</v>
      </c>
      <c r="BR135" s="115" t="s">
        <v>2547</v>
      </c>
      <c r="BS135" s="115" t="s">
        <v>2393</v>
      </c>
      <c r="BT135" s="115" t="s">
        <v>2393</v>
      </c>
      <c r="BU135" s="2"/>
      <c r="BV135" s="3"/>
      <c r="BW135" s="3"/>
      <c r="BX135" s="3"/>
      <c r="BY135" s="3"/>
    </row>
    <row r="136" spans="1:77" ht="15">
      <c r="A136" s="65" t="s">
        <v>327</v>
      </c>
      <c r="B136" s="66"/>
      <c r="C136" s="66"/>
      <c r="D136" s="67">
        <v>118.62068965517241</v>
      </c>
      <c r="E136" s="69"/>
      <c r="F136" s="103" t="str">
        <f>HYPERLINK("https://pbs.twimg.com/profile_images/1140020352376102912/cFIFgHd__normal.jpg")</f>
        <v>https://pbs.twimg.com/profile_images/1140020352376102912/cFIFgHd__normal.jpg</v>
      </c>
      <c r="G136" s="66"/>
      <c r="H136" s="70" t="s">
        <v>327</v>
      </c>
      <c r="I136" s="71"/>
      <c r="J136" s="71" t="s">
        <v>75</v>
      </c>
      <c r="K136" s="70" t="s">
        <v>1591</v>
      </c>
      <c r="L136" s="74">
        <v>24.804761904761904</v>
      </c>
      <c r="M136" s="75">
        <v>3243.2822265625</v>
      </c>
      <c r="N136" s="75">
        <v>1407.773193359375</v>
      </c>
      <c r="O136" s="76"/>
      <c r="P136" s="77"/>
      <c r="Q136" s="77"/>
      <c r="R136" s="89"/>
      <c r="S136" s="49">
        <v>0</v>
      </c>
      <c r="T136" s="49">
        <v>3</v>
      </c>
      <c r="U136" s="50">
        <v>3</v>
      </c>
      <c r="V136" s="50">
        <v>0.012346</v>
      </c>
      <c r="W136" s="50">
        <v>0.037132</v>
      </c>
      <c r="X136" s="50">
        <v>0.675241</v>
      </c>
      <c r="Y136" s="50">
        <v>0.3333333333333333</v>
      </c>
      <c r="Z136" s="50">
        <v>0</v>
      </c>
      <c r="AA136" s="72">
        <v>136</v>
      </c>
      <c r="AB136" s="72"/>
      <c r="AC136" s="73"/>
      <c r="AD136" s="79" t="s">
        <v>1059</v>
      </c>
      <c r="AE136" s="84" t="s">
        <v>1220</v>
      </c>
      <c r="AF136" s="79">
        <v>4988</v>
      </c>
      <c r="AG136" s="79">
        <v>657</v>
      </c>
      <c r="AH136" s="79">
        <v>28863</v>
      </c>
      <c r="AI136" s="79">
        <v>73009</v>
      </c>
      <c r="AJ136" s="79"/>
      <c r="AK136" s="79"/>
      <c r="AL136" s="79"/>
      <c r="AM136" s="79"/>
      <c r="AN136" s="79"/>
      <c r="AO136" s="81">
        <v>43599.90967592593</v>
      </c>
      <c r="AP136" s="79"/>
      <c r="AQ136" s="79" t="b">
        <v>1</v>
      </c>
      <c r="AR136" s="79" t="b">
        <v>0</v>
      </c>
      <c r="AS136" s="79" t="b">
        <v>0</v>
      </c>
      <c r="AT136" s="79"/>
      <c r="AU136" s="79">
        <v>0</v>
      </c>
      <c r="AV136" s="79"/>
      <c r="AW136" s="79" t="b">
        <v>0</v>
      </c>
      <c r="AX136" s="79" t="s">
        <v>1458</v>
      </c>
      <c r="AY136" s="86" t="str">
        <f>HYPERLINK("https://twitter.com/cusaru68")</f>
        <v>https://twitter.com/cusaru68</v>
      </c>
      <c r="AZ136" s="79" t="s">
        <v>66</v>
      </c>
      <c r="BA136" s="79" t="str">
        <f>REPLACE(INDEX(GroupVertices[Group],MATCH(Vertices[[#This Row],[Vertex]],GroupVertices[Vertex],0)),1,1,"")</f>
        <v>2</v>
      </c>
      <c r="BB136" s="49">
        <v>0</v>
      </c>
      <c r="BC136" s="50">
        <v>0</v>
      </c>
      <c r="BD136" s="49">
        <v>0</v>
      </c>
      <c r="BE136" s="50">
        <v>0</v>
      </c>
      <c r="BF136" s="49">
        <v>0</v>
      </c>
      <c r="BG136" s="50">
        <v>0</v>
      </c>
      <c r="BH136" s="49">
        <v>25</v>
      </c>
      <c r="BI136" s="50">
        <v>100</v>
      </c>
      <c r="BJ136" s="49">
        <v>25</v>
      </c>
      <c r="BK136" s="49"/>
      <c r="BL136" s="49"/>
      <c r="BM136" s="49"/>
      <c r="BN136" s="49"/>
      <c r="BO136" s="49" t="s">
        <v>491</v>
      </c>
      <c r="BP136" s="49" t="s">
        <v>491</v>
      </c>
      <c r="BQ136" s="115" t="s">
        <v>2547</v>
      </c>
      <c r="BR136" s="115" t="s">
        <v>2547</v>
      </c>
      <c r="BS136" s="115" t="s">
        <v>2393</v>
      </c>
      <c r="BT136" s="115" t="s">
        <v>2393</v>
      </c>
      <c r="BU136" s="2"/>
      <c r="BV136" s="3"/>
      <c r="BW136" s="3"/>
      <c r="BX136" s="3"/>
      <c r="BY136" s="3"/>
    </row>
    <row r="137" spans="1:77" ht="15">
      <c r="A137" s="65" t="s">
        <v>328</v>
      </c>
      <c r="B137" s="66"/>
      <c r="C137" s="66"/>
      <c r="D137" s="67">
        <v>118.62068965517241</v>
      </c>
      <c r="E137" s="69"/>
      <c r="F137" s="103" t="str">
        <f>HYPERLINK("https://pbs.twimg.com/profile_images/1422292472357703684/jMbEDT8E_normal.jpg")</f>
        <v>https://pbs.twimg.com/profile_images/1422292472357703684/jMbEDT8E_normal.jpg</v>
      </c>
      <c r="G137" s="66"/>
      <c r="H137" s="70" t="s">
        <v>328</v>
      </c>
      <c r="I137" s="71"/>
      <c r="J137" s="71" t="s">
        <v>75</v>
      </c>
      <c r="K137" s="70" t="s">
        <v>1592</v>
      </c>
      <c r="L137" s="74">
        <v>24.804761904761904</v>
      </c>
      <c r="M137" s="75">
        <v>1968.2210693359375</v>
      </c>
      <c r="N137" s="75">
        <v>3260.525634765625</v>
      </c>
      <c r="O137" s="76"/>
      <c r="P137" s="77"/>
      <c r="Q137" s="77"/>
      <c r="R137" s="89"/>
      <c r="S137" s="49">
        <v>0</v>
      </c>
      <c r="T137" s="49">
        <v>3</v>
      </c>
      <c r="U137" s="50">
        <v>3</v>
      </c>
      <c r="V137" s="50">
        <v>0.012346</v>
      </c>
      <c r="W137" s="50">
        <v>0.037132</v>
      </c>
      <c r="X137" s="50">
        <v>0.675241</v>
      </c>
      <c r="Y137" s="50">
        <v>0.3333333333333333</v>
      </c>
      <c r="Z137" s="50">
        <v>0</v>
      </c>
      <c r="AA137" s="72">
        <v>137</v>
      </c>
      <c r="AB137" s="72"/>
      <c r="AC137" s="73"/>
      <c r="AD137" s="79" t="s">
        <v>1060</v>
      </c>
      <c r="AE137" s="84" t="s">
        <v>1221</v>
      </c>
      <c r="AF137" s="79">
        <v>838</v>
      </c>
      <c r="AG137" s="79">
        <v>810</v>
      </c>
      <c r="AH137" s="79">
        <v>12529</v>
      </c>
      <c r="AI137" s="79">
        <v>16917</v>
      </c>
      <c r="AJ137" s="79"/>
      <c r="AK137" s="79" t="s">
        <v>1361</v>
      </c>
      <c r="AL137" s="79"/>
      <c r="AM137" s="79"/>
      <c r="AN137" s="79"/>
      <c r="AO137" s="81">
        <v>41234.622824074075</v>
      </c>
      <c r="AP137" s="86" t="str">
        <f>HYPERLINK("https://pbs.twimg.com/profile_banners/962542550/1478009158")</f>
        <v>https://pbs.twimg.com/profile_banners/962542550/1478009158</v>
      </c>
      <c r="AQ137" s="79" t="b">
        <v>1</v>
      </c>
      <c r="AR137" s="79" t="b">
        <v>0</v>
      </c>
      <c r="AS137" s="79" t="b">
        <v>0</v>
      </c>
      <c r="AT137" s="79"/>
      <c r="AU137" s="79">
        <v>1</v>
      </c>
      <c r="AV137" s="86" t="str">
        <f>HYPERLINK("https://abs.twimg.com/images/themes/theme1/bg.png")</f>
        <v>https://abs.twimg.com/images/themes/theme1/bg.png</v>
      </c>
      <c r="AW137" s="79" t="b">
        <v>0</v>
      </c>
      <c r="AX137" s="79" t="s">
        <v>1458</v>
      </c>
      <c r="AY137" s="86" t="str">
        <f>HYPERLINK("https://twitter.com/eliszpta")</f>
        <v>https://twitter.com/eliszpta</v>
      </c>
      <c r="AZ137" s="79" t="s">
        <v>66</v>
      </c>
      <c r="BA137" s="79" t="str">
        <f>REPLACE(INDEX(GroupVertices[Group],MATCH(Vertices[[#This Row],[Vertex]],GroupVertices[Vertex],0)),1,1,"")</f>
        <v>2</v>
      </c>
      <c r="BB137" s="49">
        <v>0</v>
      </c>
      <c r="BC137" s="50">
        <v>0</v>
      </c>
      <c r="BD137" s="49">
        <v>0</v>
      </c>
      <c r="BE137" s="50">
        <v>0</v>
      </c>
      <c r="BF137" s="49">
        <v>0</v>
      </c>
      <c r="BG137" s="50">
        <v>0</v>
      </c>
      <c r="BH137" s="49">
        <v>25</v>
      </c>
      <c r="BI137" s="50">
        <v>100</v>
      </c>
      <c r="BJ137" s="49">
        <v>25</v>
      </c>
      <c r="BK137" s="49"/>
      <c r="BL137" s="49"/>
      <c r="BM137" s="49"/>
      <c r="BN137" s="49"/>
      <c r="BO137" s="49" t="s">
        <v>491</v>
      </c>
      <c r="BP137" s="49" t="s">
        <v>491</v>
      </c>
      <c r="BQ137" s="115" t="s">
        <v>2547</v>
      </c>
      <c r="BR137" s="115" t="s">
        <v>2547</v>
      </c>
      <c r="BS137" s="115" t="s">
        <v>2393</v>
      </c>
      <c r="BT137" s="115" t="s">
        <v>2393</v>
      </c>
      <c r="BU137" s="2"/>
      <c r="BV137" s="3"/>
      <c r="BW137" s="3"/>
      <c r="BX137" s="3"/>
      <c r="BY137" s="3"/>
    </row>
    <row r="138" spans="1:77" ht="15">
      <c r="A138" s="65" t="s">
        <v>329</v>
      </c>
      <c r="B138" s="66"/>
      <c r="C138" s="66"/>
      <c r="D138" s="67">
        <v>118.62068965517241</v>
      </c>
      <c r="E138" s="69"/>
      <c r="F138" s="103" t="str">
        <f>HYPERLINK("https://pbs.twimg.com/profile_images/1422061210422349827/rlh6ZA6R_normal.jpg")</f>
        <v>https://pbs.twimg.com/profile_images/1422061210422349827/rlh6ZA6R_normal.jpg</v>
      </c>
      <c r="G138" s="66"/>
      <c r="H138" s="70" t="s">
        <v>329</v>
      </c>
      <c r="I138" s="71"/>
      <c r="J138" s="71" t="s">
        <v>75</v>
      </c>
      <c r="K138" s="70" t="s">
        <v>1593</v>
      </c>
      <c r="L138" s="74">
        <v>24.804761904761904</v>
      </c>
      <c r="M138" s="75">
        <v>3292.8466796875</v>
      </c>
      <c r="N138" s="75">
        <v>2781.558837890625</v>
      </c>
      <c r="O138" s="76"/>
      <c r="P138" s="77"/>
      <c r="Q138" s="77"/>
      <c r="R138" s="89"/>
      <c r="S138" s="49">
        <v>0</v>
      </c>
      <c r="T138" s="49">
        <v>3</v>
      </c>
      <c r="U138" s="50">
        <v>3</v>
      </c>
      <c r="V138" s="50">
        <v>0.012346</v>
      </c>
      <c r="W138" s="50">
        <v>0.037132</v>
      </c>
      <c r="X138" s="50">
        <v>0.675241</v>
      </c>
      <c r="Y138" s="50">
        <v>0.3333333333333333</v>
      </c>
      <c r="Z138" s="50">
        <v>0</v>
      </c>
      <c r="AA138" s="72">
        <v>138</v>
      </c>
      <c r="AB138" s="72"/>
      <c r="AC138" s="73"/>
      <c r="AD138" s="79" t="s">
        <v>1061</v>
      </c>
      <c r="AE138" s="84" t="s">
        <v>1222</v>
      </c>
      <c r="AF138" s="79">
        <v>483</v>
      </c>
      <c r="AG138" s="79">
        <v>265</v>
      </c>
      <c r="AH138" s="79">
        <v>72085</v>
      </c>
      <c r="AI138" s="79">
        <v>92</v>
      </c>
      <c r="AJ138" s="79"/>
      <c r="AK138" s="79"/>
      <c r="AL138" s="79"/>
      <c r="AM138" s="79"/>
      <c r="AN138" s="79"/>
      <c r="AO138" s="81">
        <v>40764.20554398148</v>
      </c>
      <c r="AP138" s="86" t="str">
        <f>HYPERLINK("https://pbs.twimg.com/profile_banners/351377235/1627880580")</f>
        <v>https://pbs.twimg.com/profile_banners/351377235/1627880580</v>
      </c>
      <c r="AQ138" s="79" t="b">
        <v>1</v>
      </c>
      <c r="AR138" s="79" t="b">
        <v>0</v>
      </c>
      <c r="AS138" s="79" t="b">
        <v>1</v>
      </c>
      <c r="AT138" s="79"/>
      <c r="AU138" s="79">
        <v>1</v>
      </c>
      <c r="AV138" s="86" t="str">
        <f>HYPERLINK("https://abs.twimg.com/images/themes/theme1/bg.png")</f>
        <v>https://abs.twimg.com/images/themes/theme1/bg.png</v>
      </c>
      <c r="AW138" s="79" t="b">
        <v>0</v>
      </c>
      <c r="AX138" s="79" t="s">
        <v>1458</v>
      </c>
      <c r="AY138" s="86" t="str">
        <f>HYPERLINK("https://twitter.com/monroygar")</f>
        <v>https://twitter.com/monroygar</v>
      </c>
      <c r="AZ138" s="79" t="s">
        <v>66</v>
      </c>
      <c r="BA138" s="79" t="str">
        <f>REPLACE(INDEX(GroupVertices[Group],MATCH(Vertices[[#This Row],[Vertex]],GroupVertices[Vertex],0)),1,1,"")</f>
        <v>2</v>
      </c>
      <c r="BB138" s="49">
        <v>0</v>
      </c>
      <c r="BC138" s="50">
        <v>0</v>
      </c>
      <c r="BD138" s="49">
        <v>0</v>
      </c>
      <c r="BE138" s="50">
        <v>0</v>
      </c>
      <c r="BF138" s="49">
        <v>0</v>
      </c>
      <c r="BG138" s="50">
        <v>0</v>
      </c>
      <c r="BH138" s="49">
        <v>25</v>
      </c>
      <c r="BI138" s="50">
        <v>100</v>
      </c>
      <c r="BJ138" s="49">
        <v>25</v>
      </c>
      <c r="BK138" s="49"/>
      <c r="BL138" s="49"/>
      <c r="BM138" s="49"/>
      <c r="BN138" s="49"/>
      <c r="BO138" s="49" t="s">
        <v>491</v>
      </c>
      <c r="BP138" s="49" t="s">
        <v>491</v>
      </c>
      <c r="BQ138" s="115" t="s">
        <v>2547</v>
      </c>
      <c r="BR138" s="115" t="s">
        <v>2547</v>
      </c>
      <c r="BS138" s="115" t="s">
        <v>2393</v>
      </c>
      <c r="BT138" s="115" t="s">
        <v>2393</v>
      </c>
      <c r="BU138" s="2"/>
      <c r="BV138" s="3"/>
      <c r="BW138" s="3"/>
      <c r="BX138" s="3"/>
      <c r="BY138" s="3"/>
    </row>
    <row r="139" spans="1:77" ht="15">
      <c r="A139" s="65" t="s">
        <v>330</v>
      </c>
      <c r="B139" s="66"/>
      <c r="C139" s="66"/>
      <c r="D139" s="67">
        <v>118.62068965517241</v>
      </c>
      <c r="E139" s="69"/>
      <c r="F139" s="103" t="str">
        <f>HYPERLINK("https://pbs.twimg.com/profile_images/1298043749956833286/917vg8qe_normal.jpg")</f>
        <v>https://pbs.twimg.com/profile_images/1298043749956833286/917vg8qe_normal.jpg</v>
      </c>
      <c r="G139" s="66"/>
      <c r="H139" s="70" t="s">
        <v>330</v>
      </c>
      <c r="I139" s="71"/>
      <c r="J139" s="71" t="s">
        <v>75</v>
      </c>
      <c r="K139" s="70" t="s">
        <v>1594</v>
      </c>
      <c r="L139" s="74">
        <v>24.804761904761904</v>
      </c>
      <c r="M139" s="75">
        <v>3135.39697265625</v>
      </c>
      <c r="N139" s="75">
        <v>883.5751342773438</v>
      </c>
      <c r="O139" s="76"/>
      <c r="P139" s="77"/>
      <c r="Q139" s="77"/>
      <c r="R139" s="89"/>
      <c r="S139" s="49">
        <v>0</v>
      </c>
      <c r="T139" s="49">
        <v>3</v>
      </c>
      <c r="U139" s="50">
        <v>3</v>
      </c>
      <c r="V139" s="50">
        <v>0.012346</v>
      </c>
      <c r="W139" s="50">
        <v>0.037132</v>
      </c>
      <c r="X139" s="50">
        <v>0.675241</v>
      </c>
      <c r="Y139" s="50">
        <v>0.3333333333333333</v>
      </c>
      <c r="Z139" s="50">
        <v>0</v>
      </c>
      <c r="AA139" s="72">
        <v>139</v>
      </c>
      <c r="AB139" s="72"/>
      <c r="AC139" s="73"/>
      <c r="AD139" s="79" t="s">
        <v>1062</v>
      </c>
      <c r="AE139" s="84" t="s">
        <v>1223</v>
      </c>
      <c r="AF139" s="79">
        <v>2772</v>
      </c>
      <c r="AG139" s="79">
        <v>1065</v>
      </c>
      <c r="AH139" s="79">
        <v>49266</v>
      </c>
      <c r="AI139" s="79">
        <v>20211</v>
      </c>
      <c r="AJ139" s="79"/>
      <c r="AK139" s="79"/>
      <c r="AL139" s="79"/>
      <c r="AM139" s="79"/>
      <c r="AN139" s="79"/>
      <c r="AO139" s="81">
        <v>39841.69385416667</v>
      </c>
      <c r="AP139" s="79"/>
      <c r="AQ139" s="79" t="b">
        <v>1</v>
      </c>
      <c r="AR139" s="79" t="b">
        <v>0</v>
      </c>
      <c r="AS139" s="79" t="b">
        <v>1</v>
      </c>
      <c r="AT139" s="79"/>
      <c r="AU139" s="79">
        <v>10</v>
      </c>
      <c r="AV139" s="86" t="str">
        <f>HYPERLINK("https://abs.twimg.com/images/themes/theme1/bg.png")</f>
        <v>https://abs.twimg.com/images/themes/theme1/bg.png</v>
      </c>
      <c r="AW139" s="79" t="b">
        <v>0</v>
      </c>
      <c r="AX139" s="79" t="s">
        <v>1458</v>
      </c>
      <c r="AY139" s="86" t="str">
        <f>HYPERLINK("https://twitter.com/vdmmty")</f>
        <v>https://twitter.com/vdmmty</v>
      </c>
      <c r="AZ139" s="79" t="s">
        <v>66</v>
      </c>
      <c r="BA139" s="79" t="str">
        <f>REPLACE(INDEX(GroupVertices[Group],MATCH(Vertices[[#This Row],[Vertex]],GroupVertices[Vertex],0)),1,1,"")</f>
        <v>2</v>
      </c>
      <c r="BB139" s="49">
        <v>0</v>
      </c>
      <c r="BC139" s="50">
        <v>0</v>
      </c>
      <c r="BD139" s="49">
        <v>0</v>
      </c>
      <c r="BE139" s="50">
        <v>0</v>
      </c>
      <c r="BF139" s="49">
        <v>0</v>
      </c>
      <c r="BG139" s="50">
        <v>0</v>
      </c>
      <c r="BH139" s="49">
        <v>25</v>
      </c>
      <c r="BI139" s="50">
        <v>100</v>
      </c>
      <c r="BJ139" s="49">
        <v>25</v>
      </c>
      <c r="BK139" s="49"/>
      <c r="BL139" s="49"/>
      <c r="BM139" s="49"/>
      <c r="BN139" s="49"/>
      <c r="BO139" s="49" t="s">
        <v>491</v>
      </c>
      <c r="BP139" s="49" t="s">
        <v>491</v>
      </c>
      <c r="BQ139" s="115" t="s">
        <v>2547</v>
      </c>
      <c r="BR139" s="115" t="s">
        <v>2547</v>
      </c>
      <c r="BS139" s="115" t="s">
        <v>2393</v>
      </c>
      <c r="BT139" s="115" t="s">
        <v>2393</v>
      </c>
      <c r="BU139" s="2"/>
      <c r="BV139" s="3"/>
      <c r="BW139" s="3"/>
      <c r="BX139" s="3"/>
      <c r="BY139" s="3"/>
    </row>
    <row r="140" spans="1:77" ht="15">
      <c r="A140" s="65" t="s">
        <v>331</v>
      </c>
      <c r="B140" s="66"/>
      <c r="C140" s="66"/>
      <c r="D140" s="67">
        <v>118.62068965517241</v>
      </c>
      <c r="E140" s="69"/>
      <c r="F140" s="103" t="str">
        <f>HYPERLINK("https://pbs.twimg.com/profile_images/1220888848365834242/hgzi_pLX_normal.jpg")</f>
        <v>https://pbs.twimg.com/profile_images/1220888848365834242/hgzi_pLX_normal.jpg</v>
      </c>
      <c r="G140" s="66"/>
      <c r="H140" s="70" t="s">
        <v>331</v>
      </c>
      <c r="I140" s="71"/>
      <c r="J140" s="71" t="s">
        <v>75</v>
      </c>
      <c r="K140" s="70" t="s">
        <v>1595</v>
      </c>
      <c r="L140" s="74">
        <v>24.804761904761904</v>
      </c>
      <c r="M140" s="75">
        <v>2504.14453125</v>
      </c>
      <c r="N140" s="75">
        <v>3607.98095703125</v>
      </c>
      <c r="O140" s="76"/>
      <c r="P140" s="77"/>
      <c r="Q140" s="77"/>
      <c r="R140" s="89"/>
      <c r="S140" s="49">
        <v>0</v>
      </c>
      <c r="T140" s="49">
        <v>3</v>
      </c>
      <c r="U140" s="50">
        <v>3</v>
      </c>
      <c r="V140" s="50">
        <v>0.012346</v>
      </c>
      <c r="W140" s="50">
        <v>0.037132</v>
      </c>
      <c r="X140" s="50">
        <v>0.675241</v>
      </c>
      <c r="Y140" s="50">
        <v>0.3333333333333333</v>
      </c>
      <c r="Z140" s="50">
        <v>0</v>
      </c>
      <c r="AA140" s="72">
        <v>140</v>
      </c>
      <c r="AB140" s="72"/>
      <c r="AC140" s="73"/>
      <c r="AD140" s="79" t="s">
        <v>1063</v>
      </c>
      <c r="AE140" s="84" t="s">
        <v>1224</v>
      </c>
      <c r="AF140" s="79">
        <v>1610</v>
      </c>
      <c r="AG140" s="79">
        <v>1301</v>
      </c>
      <c r="AH140" s="79">
        <v>120423</v>
      </c>
      <c r="AI140" s="79">
        <v>42495</v>
      </c>
      <c r="AJ140" s="79"/>
      <c r="AK140" s="79" t="s">
        <v>1362</v>
      </c>
      <c r="AL140" s="79"/>
      <c r="AM140" s="79"/>
      <c r="AN140" s="79"/>
      <c r="AO140" s="81">
        <v>43052.236134259256</v>
      </c>
      <c r="AP140" s="86" t="str">
        <f>HYPERLINK("https://pbs.twimg.com/profile_banners/929946938526576640/1510552748")</f>
        <v>https://pbs.twimg.com/profile_banners/929946938526576640/1510552748</v>
      </c>
      <c r="AQ140" s="79" t="b">
        <v>1</v>
      </c>
      <c r="AR140" s="79" t="b">
        <v>0</v>
      </c>
      <c r="AS140" s="79" t="b">
        <v>0</v>
      </c>
      <c r="AT140" s="79"/>
      <c r="AU140" s="79">
        <v>1</v>
      </c>
      <c r="AV140" s="79"/>
      <c r="AW140" s="79" t="b">
        <v>0</v>
      </c>
      <c r="AX140" s="79" t="s">
        <v>1458</v>
      </c>
      <c r="AY140" s="86" t="str">
        <f>HYPERLINK("https://twitter.com/javierffrankie1")</f>
        <v>https://twitter.com/javierffrankie1</v>
      </c>
      <c r="AZ140" s="79" t="s">
        <v>66</v>
      </c>
      <c r="BA140" s="79" t="str">
        <f>REPLACE(INDEX(GroupVertices[Group],MATCH(Vertices[[#This Row],[Vertex]],GroupVertices[Vertex],0)),1,1,"")</f>
        <v>2</v>
      </c>
      <c r="BB140" s="49">
        <v>0</v>
      </c>
      <c r="BC140" s="50">
        <v>0</v>
      </c>
      <c r="BD140" s="49">
        <v>0</v>
      </c>
      <c r="BE140" s="50">
        <v>0</v>
      </c>
      <c r="BF140" s="49">
        <v>0</v>
      </c>
      <c r="BG140" s="50">
        <v>0</v>
      </c>
      <c r="BH140" s="49">
        <v>25</v>
      </c>
      <c r="BI140" s="50">
        <v>100</v>
      </c>
      <c r="BJ140" s="49">
        <v>25</v>
      </c>
      <c r="BK140" s="49"/>
      <c r="BL140" s="49"/>
      <c r="BM140" s="49"/>
      <c r="BN140" s="49"/>
      <c r="BO140" s="49" t="s">
        <v>491</v>
      </c>
      <c r="BP140" s="49" t="s">
        <v>491</v>
      </c>
      <c r="BQ140" s="115" t="s">
        <v>2547</v>
      </c>
      <c r="BR140" s="115" t="s">
        <v>2547</v>
      </c>
      <c r="BS140" s="115" t="s">
        <v>2393</v>
      </c>
      <c r="BT140" s="115" t="s">
        <v>2393</v>
      </c>
      <c r="BU140" s="2"/>
      <c r="BV140" s="3"/>
      <c r="BW140" s="3"/>
      <c r="BX140" s="3"/>
      <c r="BY140" s="3"/>
    </row>
    <row r="141" spans="1:77" ht="15">
      <c r="A141" s="65" t="s">
        <v>333</v>
      </c>
      <c r="B141" s="66"/>
      <c r="C141" s="66"/>
      <c r="D141" s="67">
        <v>100</v>
      </c>
      <c r="E141" s="69"/>
      <c r="F141" s="103" t="str">
        <f>HYPERLINK("https://pbs.twimg.com/profile_images/1417684289722982400/eUycOfxz_normal.jpg")</f>
        <v>https://pbs.twimg.com/profile_images/1417684289722982400/eUycOfxz_normal.jpg</v>
      </c>
      <c r="G141" s="66"/>
      <c r="H141" s="70" t="s">
        <v>333</v>
      </c>
      <c r="I141" s="71"/>
      <c r="J141" s="71" t="s">
        <v>159</v>
      </c>
      <c r="K141" s="70" t="s">
        <v>1596</v>
      </c>
      <c r="L141" s="74">
        <v>1</v>
      </c>
      <c r="M141" s="75">
        <v>3608.05029296875</v>
      </c>
      <c r="N141" s="75">
        <v>6150.22412109375</v>
      </c>
      <c r="O141" s="76"/>
      <c r="P141" s="77"/>
      <c r="Q141" s="77"/>
      <c r="R141" s="89"/>
      <c r="S141" s="49">
        <v>0</v>
      </c>
      <c r="T141" s="49">
        <v>1</v>
      </c>
      <c r="U141" s="50">
        <v>0</v>
      </c>
      <c r="V141" s="50">
        <v>0.014085</v>
      </c>
      <c r="W141" s="50">
        <v>0</v>
      </c>
      <c r="X141" s="50">
        <v>0.547336</v>
      </c>
      <c r="Y141" s="50">
        <v>0</v>
      </c>
      <c r="Z141" s="50">
        <v>0</v>
      </c>
      <c r="AA141" s="72">
        <v>141</v>
      </c>
      <c r="AB141" s="72"/>
      <c r="AC141" s="73"/>
      <c r="AD141" s="79" t="s">
        <v>1064</v>
      </c>
      <c r="AE141" s="84" t="s">
        <v>1225</v>
      </c>
      <c r="AF141" s="79">
        <v>791</v>
      </c>
      <c r="AG141" s="79">
        <v>901</v>
      </c>
      <c r="AH141" s="79">
        <v>40744</v>
      </c>
      <c r="AI141" s="79">
        <v>116855</v>
      </c>
      <c r="AJ141" s="79"/>
      <c r="AK141" s="79" t="s">
        <v>1363</v>
      </c>
      <c r="AL141" s="79" t="s">
        <v>1448</v>
      </c>
      <c r="AM141" s="86" t="str">
        <f>HYPERLINK("https://t.co/4zgWZ7xwgi")</f>
        <v>https://t.co/4zgWZ7xwgi</v>
      </c>
      <c r="AN141" s="79"/>
      <c r="AO141" s="81">
        <v>40240.0516087963</v>
      </c>
      <c r="AP141" s="86" t="str">
        <f>HYPERLINK("https://pbs.twimg.com/profile_banners/119225223/1578887719")</f>
        <v>https://pbs.twimg.com/profile_banners/119225223/1578887719</v>
      </c>
      <c r="AQ141" s="79" t="b">
        <v>0</v>
      </c>
      <c r="AR141" s="79" t="b">
        <v>0</v>
      </c>
      <c r="AS141" s="79" t="b">
        <v>1</v>
      </c>
      <c r="AT141" s="79"/>
      <c r="AU141" s="79">
        <v>3</v>
      </c>
      <c r="AV141" s="86" t="str">
        <f>HYPERLINK("https://abs.twimg.com/images/themes/theme1/bg.png")</f>
        <v>https://abs.twimg.com/images/themes/theme1/bg.png</v>
      </c>
      <c r="AW141" s="79" t="b">
        <v>0</v>
      </c>
      <c r="AX141" s="79" t="s">
        <v>1458</v>
      </c>
      <c r="AY141" s="86" t="str">
        <f>HYPERLINK("https://twitter.com/libraryadd")</f>
        <v>https://twitter.com/libraryadd</v>
      </c>
      <c r="AZ141" s="79" t="s">
        <v>66</v>
      </c>
      <c r="BA141" s="79" t="str">
        <f>REPLACE(INDEX(GroupVertices[Group],MATCH(Vertices[[#This Row],[Vertex]],GroupVertices[Vertex],0)),1,1,"")</f>
        <v>1</v>
      </c>
      <c r="BB141" s="49">
        <v>0</v>
      </c>
      <c r="BC141" s="50">
        <v>0</v>
      </c>
      <c r="BD141" s="49">
        <v>0</v>
      </c>
      <c r="BE141" s="50">
        <v>0</v>
      </c>
      <c r="BF141" s="49">
        <v>0</v>
      </c>
      <c r="BG141" s="50">
        <v>0</v>
      </c>
      <c r="BH141" s="49">
        <v>38</v>
      </c>
      <c r="BI141" s="50">
        <v>100</v>
      </c>
      <c r="BJ141" s="49">
        <v>38</v>
      </c>
      <c r="BK141" s="49"/>
      <c r="BL141" s="49"/>
      <c r="BM141" s="49"/>
      <c r="BN141" s="49"/>
      <c r="BO141" s="49" t="s">
        <v>498</v>
      </c>
      <c r="BP141" s="49" t="s">
        <v>498</v>
      </c>
      <c r="BQ141" s="115" t="s">
        <v>2277</v>
      </c>
      <c r="BR141" s="115" t="s">
        <v>2277</v>
      </c>
      <c r="BS141" s="115" t="s">
        <v>2392</v>
      </c>
      <c r="BT141" s="115" t="s">
        <v>2392</v>
      </c>
      <c r="BU141" s="2"/>
      <c r="BV141" s="3"/>
      <c r="BW141" s="3"/>
      <c r="BX141" s="3"/>
      <c r="BY141" s="3"/>
    </row>
    <row r="142" spans="1:77" ht="15">
      <c r="A142" s="65" t="s">
        <v>334</v>
      </c>
      <c r="B142" s="66"/>
      <c r="C142" s="66"/>
      <c r="D142" s="67">
        <v>100</v>
      </c>
      <c r="E142" s="69"/>
      <c r="F142" s="103" t="str">
        <f>HYPERLINK("https://pbs.twimg.com/profile_images/1388140533160218631/iPyqHAgQ_normal.jpg")</f>
        <v>https://pbs.twimg.com/profile_images/1388140533160218631/iPyqHAgQ_normal.jpg</v>
      </c>
      <c r="G142" s="66"/>
      <c r="H142" s="70" t="s">
        <v>334</v>
      </c>
      <c r="I142" s="71"/>
      <c r="J142" s="71" t="s">
        <v>159</v>
      </c>
      <c r="K142" s="70" t="s">
        <v>1597</v>
      </c>
      <c r="L142" s="74">
        <v>1</v>
      </c>
      <c r="M142" s="75">
        <v>5851.3701171875</v>
      </c>
      <c r="N142" s="75">
        <v>1123.305419921875</v>
      </c>
      <c r="O142" s="76"/>
      <c r="P142" s="77"/>
      <c r="Q142" s="77"/>
      <c r="R142" s="89"/>
      <c r="S142" s="49">
        <v>0</v>
      </c>
      <c r="T142" s="49">
        <v>1</v>
      </c>
      <c r="U142" s="50">
        <v>0</v>
      </c>
      <c r="V142" s="50">
        <v>0.333333</v>
      </c>
      <c r="W142" s="50">
        <v>0</v>
      </c>
      <c r="X142" s="50">
        <v>0.638296</v>
      </c>
      <c r="Y142" s="50">
        <v>0</v>
      </c>
      <c r="Z142" s="50">
        <v>0</v>
      </c>
      <c r="AA142" s="72">
        <v>142</v>
      </c>
      <c r="AB142" s="72"/>
      <c r="AC142" s="73"/>
      <c r="AD142" s="79" t="s">
        <v>1065</v>
      </c>
      <c r="AE142" s="84" t="s">
        <v>1226</v>
      </c>
      <c r="AF142" s="79">
        <v>3695</v>
      </c>
      <c r="AG142" s="79">
        <v>11355</v>
      </c>
      <c r="AH142" s="79">
        <v>5961</v>
      </c>
      <c r="AI142" s="79">
        <v>25846</v>
      </c>
      <c r="AJ142" s="79"/>
      <c r="AK142" s="79" t="s">
        <v>1364</v>
      </c>
      <c r="AL142" s="79" t="s">
        <v>899</v>
      </c>
      <c r="AM142" s="79"/>
      <c r="AN142" s="79"/>
      <c r="AO142" s="81">
        <v>40118.76489583333</v>
      </c>
      <c r="AP142" s="86" t="str">
        <f>HYPERLINK("https://pbs.twimg.com/profile_banners/86772164/1587657147")</f>
        <v>https://pbs.twimg.com/profile_banners/86772164/1587657147</v>
      </c>
      <c r="AQ142" s="79" t="b">
        <v>0</v>
      </c>
      <c r="AR142" s="79" t="b">
        <v>0</v>
      </c>
      <c r="AS142" s="79" t="b">
        <v>1</v>
      </c>
      <c r="AT142" s="79"/>
      <c r="AU142" s="79">
        <v>84</v>
      </c>
      <c r="AV142" s="86" t="str">
        <f>HYPERLINK("https://abs.twimg.com/images/themes/theme1/bg.png")</f>
        <v>https://abs.twimg.com/images/themes/theme1/bg.png</v>
      </c>
      <c r="AW142" s="79" t="b">
        <v>0</v>
      </c>
      <c r="AX142" s="79" t="s">
        <v>1458</v>
      </c>
      <c r="AY142" s="86" t="str">
        <f>HYPERLINK("https://twitter.com/itelloarista")</f>
        <v>https://twitter.com/itelloarista</v>
      </c>
      <c r="AZ142" s="79" t="s">
        <v>66</v>
      </c>
      <c r="BA142" s="79" t="str">
        <f>REPLACE(INDEX(GroupVertices[Group],MATCH(Vertices[[#This Row],[Vertex]],GroupVertices[Vertex],0)),1,1,"")</f>
        <v>14</v>
      </c>
      <c r="BB142" s="49">
        <v>0</v>
      </c>
      <c r="BC142" s="50">
        <v>0</v>
      </c>
      <c r="BD142" s="49">
        <v>0</v>
      </c>
      <c r="BE142" s="50">
        <v>0</v>
      </c>
      <c r="BF142" s="49">
        <v>0</v>
      </c>
      <c r="BG142" s="50">
        <v>0</v>
      </c>
      <c r="BH142" s="49">
        <v>31</v>
      </c>
      <c r="BI142" s="50">
        <v>100</v>
      </c>
      <c r="BJ142" s="49">
        <v>31</v>
      </c>
      <c r="BK142" s="49"/>
      <c r="BL142" s="49"/>
      <c r="BM142" s="49"/>
      <c r="BN142" s="49"/>
      <c r="BO142" s="49" t="s">
        <v>472</v>
      </c>
      <c r="BP142" s="49" t="s">
        <v>472</v>
      </c>
      <c r="BQ142" s="115" t="s">
        <v>2559</v>
      </c>
      <c r="BR142" s="115" t="s">
        <v>2559</v>
      </c>
      <c r="BS142" s="115" t="s">
        <v>2403</v>
      </c>
      <c r="BT142" s="115" t="s">
        <v>2403</v>
      </c>
      <c r="BU142" s="2"/>
      <c r="BV142" s="3"/>
      <c r="BW142" s="3"/>
      <c r="BX142" s="3"/>
      <c r="BY142" s="3"/>
    </row>
    <row r="143" spans="1:77" ht="15">
      <c r="A143" s="65" t="s">
        <v>339</v>
      </c>
      <c r="B143" s="66"/>
      <c r="C143" s="66"/>
      <c r="D143" s="67">
        <v>112.41379310344827</v>
      </c>
      <c r="E143" s="69"/>
      <c r="F143" s="103" t="str">
        <f>HYPERLINK("https://pbs.twimg.com/profile_images/1392263503667417090/vvQ5zVr__normal.jpg")</f>
        <v>https://pbs.twimg.com/profile_images/1392263503667417090/vvQ5zVr__normal.jpg</v>
      </c>
      <c r="G143" s="66"/>
      <c r="H143" s="70" t="s">
        <v>339</v>
      </c>
      <c r="I143" s="71"/>
      <c r="J143" s="71" t="s">
        <v>75</v>
      </c>
      <c r="K143" s="70" t="s">
        <v>1598</v>
      </c>
      <c r="L143" s="74">
        <v>16.86984126984127</v>
      </c>
      <c r="M143" s="75">
        <v>5851.3701171875</v>
      </c>
      <c r="N143" s="75">
        <v>585.384521484375</v>
      </c>
      <c r="O143" s="76"/>
      <c r="P143" s="77"/>
      <c r="Q143" s="77"/>
      <c r="R143" s="89"/>
      <c r="S143" s="49">
        <v>3</v>
      </c>
      <c r="T143" s="49">
        <v>1</v>
      </c>
      <c r="U143" s="50">
        <v>2</v>
      </c>
      <c r="V143" s="50">
        <v>0.5</v>
      </c>
      <c r="W143" s="50">
        <v>0</v>
      </c>
      <c r="X143" s="50">
        <v>1.723399</v>
      </c>
      <c r="Y143" s="50">
        <v>0</v>
      </c>
      <c r="Z143" s="50">
        <v>0</v>
      </c>
      <c r="AA143" s="72">
        <v>143</v>
      </c>
      <c r="AB143" s="72"/>
      <c r="AC143" s="73"/>
      <c r="AD143" s="79" t="s">
        <v>1066</v>
      </c>
      <c r="AE143" s="84" t="s">
        <v>1227</v>
      </c>
      <c r="AF143" s="79">
        <v>1674</v>
      </c>
      <c r="AG143" s="79">
        <v>2192</v>
      </c>
      <c r="AH143" s="79">
        <v>10927</v>
      </c>
      <c r="AI143" s="79">
        <v>34235</v>
      </c>
      <c r="AJ143" s="79"/>
      <c r="AK143" s="79" t="s">
        <v>1365</v>
      </c>
      <c r="AL143" s="79" t="s">
        <v>1449</v>
      </c>
      <c r="AM143" s="79"/>
      <c r="AN143" s="79"/>
      <c r="AO143" s="81">
        <v>40280.92875</v>
      </c>
      <c r="AP143" s="86" t="str">
        <f>HYPERLINK("https://pbs.twimg.com/profile_banners/132312433/1631821266")</f>
        <v>https://pbs.twimg.com/profile_banners/132312433/1631821266</v>
      </c>
      <c r="AQ143" s="79" t="b">
        <v>0</v>
      </c>
      <c r="AR143" s="79" t="b">
        <v>0</v>
      </c>
      <c r="AS143" s="79" t="b">
        <v>0</v>
      </c>
      <c r="AT143" s="79"/>
      <c r="AU143" s="79">
        <v>23</v>
      </c>
      <c r="AV143" s="86" t="str">
        <f>HYPERLINK("https://abs.twimg.com/images/themes/theme14/bg.gif")</f>
        <v>https://abs.twimg.com/images/themes/theme14/bg.gif</v>
      </c>
      <c r="AW143" s="79" t="b">
        <v>0</v>
      </c>
      <c r="AX143" s="79" t="s">
        <v>1458</v>
      </c>
      <c r="AY143" s="86" t="str">
        <f>HYPERLINK("https://twitter.com/elbagutierrez")</f>
        <v>https://twitter.com/elbagutierrez</v>
      </c>
      <c r="AZ143" s="79" t="s">
        <v>66</v>
      </c>
      <c r="BA143" s="79" t="str">
        <f>REPLACE(INDEX(GroupVertices[Group],MATCH(Vertices[[#This Row],[Vertex]],GroupVertices[Vertex],0)),1,1,"")</f>
        <v>14</v>
      </c>
      <c r="BB143" s="49">
        <v>0</v>
      </c>
      <c r="BC143" s="50">
        <v>0</v>
      </c>
      <c r="BD143" s="49">
        <v>0</v>
      </c>
      <c r="BE143" s="50">
        <v>0</v>
      </c>
      <c r="BF143" s="49">
        <v>0</v>
      </c>
      <c r="BG143" s="50">
        <v>0</v>
      </c>
      <c r="BH143" s="49">
        <v>31</v>
      </c>
      <c r="BI143" s="50">
        <v>100</v>
      </c>
      <c r="BJ143" s="49">
        <v>31</v>
      </c>
      <c r="BK143" s="49"/>
      <c r="BL143" s="49"/>
      <c r="BM143" s="49"/>
      <c r="BN143" s="49"/>
      <c r="BO143" s="49" t="s">
        <v>472</v>
      </c>
      <c r="BP143" s="49" t="s">
        <v>472</v>
      </c>
      <c r="BQ143" s="115" t="s">
        <v>2559</v>
      </c>
      <c r="BR143" s="115" t="s">
        <v>2559</v>
      </c>
      <c r="BS143" s="115" t="s">
        <v>2403</v>
      </c>
      <c r="BT143" s="115" t="s">
        <v>2403</v>
      </c>
      <c r="BU143" s="2"/>
      <c r="BV143" s="3"/>
      <c r="BW143" s="3"/>
      <c r="BX143" s="3"/>
      <c r="BY143" s="3"/>
    </row>
    <row r="144" spans="1:77" ht="15">
      <c r="A144" s="65" t="s">
        <v>335</v>
      </c>
      <c r="B144" s="66"/>
      <c r="C144" s="66"/>
      <c r="D144" s="67">
        <v>118.62068965517241</v>
      </c>
      <c r="E144" s="69"/>
      <c r="F144" s="103" t="str">
        <f>HYPERLINK("https://pbs.twimg.com/profile_images/1440016032664592395/8uGRVp10_normal.jpg")</f>
        <v>https://pbs.twimg.com/profile_images/1440016032664592395/8uGRVp10_normal.jpg</v>
      </c>
      <c r="G144" s="66"/>
      <c r="H144" s="70" t="s">
        <v>335</v>
      </c>
      <c r="I144" s="71"/>
      <c r="J144" s="71" t="s">
        <v>75</v>
      </c>
      <c r="K144" s="70" t="s">
        <v>1599</v>
      </c>
      <c r="L144" s="74">
        <v>24.804761904761904</v>
      </c>
      <c r="M144" s="75">
        <v>3630.921875</v>
      </c>
      <c r="N144" s="75">
        <v>2046.078125</v>
      </c>
      <c r="O144" s="76"/>
      <c r="P144" s="77"/>
      <c r="Q144" s="77"/>
      <c r="R144" s="89"/>
      <c r="S144" s="49">
        <v>0</v>
      </c>
      <c r="T144" s="49">
        <v>3</v>
      </c>
      <c r="U144" s="50">
        <v>3</v>
      </c>
      <c r="V144" s="50">
        <v>0.012346</v>
      </c>
      <c r="W144" s="50">
        <v>0.037132</v>
      </c>
      <c r="X144" s="50">
        <v>0.675241</v>
      </c>
      <c r="Y144" s="50">
        <v>0.3333333333333333</v>
      </c>
      <c r="Z144" s="50">
        <v>0</v>
      </c>
      <c r="AA144" s="72">
        <v>144</v>
      </c>
      <c r="AB144" s="72"/>
      <c r="AC144" s="73"/>
      <c r="AD144" s="79" t="s">
        <v>1067</v>
      </c>
      <c r="AE144" s="84" t="s">
        <v>1228</v>
      </c>
      <c r="AF144" s="79">
        <v>27</v>
      </c>
      <c r="AG144" s="79">
        <v>3</v>
      </c>
      <c r="AH144" s="79">
        <v>176</v>
      </c>
      <c r="AI144" s="79">
        <v>50</v>
      </c>
      <c r="AJ144" s="79"/>
      <c r="AK144" s="79" t="s">
        <v>1366</v>
      </c>
      <c r="AL144" s="79"/>
      <c r="AM144" s="79"/>
      <c r="AN144" s="79"/>
      <c r="AO144" s="81">
        <v>44459.73957175926</v>
      </c>
      <c r="AP144" s="86" t="str">
        <f>HYPERLINK("https://pbs.twimg.com/profile_banners/1440008884341575692/1632162404")</f>
        <v>https://pbs.twimg.com/profile_banners/1440008884341575692/1632162404</v>
      </c>
      <c r="AQ144" s="79" t="b">
        <v>1</v>
      </c>
      <c r="AR144" s="79" t="b">
        <v>0</v>
      </c>
      <c r="AS144" s="79" t="b">
        <v>0</v>
      </c>
      <c r="AT144" s="79"/>
      <c r="AU144" s="79">
        <v>0</v>
      </c>
      <c r="AV144" s="79"/>
      <c r="AW144" s="79" t="b">
        <v>0</v>
      </c>
      <c r="AX144" s="79" t="s">
        <v>1458</v>
      </c>
      <c r="AY144" s="86" t="str">
        <f>HYPERLINK("https://twitter.com/c1frankietheone")</f>
        <v>https://twitter.com/c1frankietheone</v>
      </c>
      <c r="AZ144" s="79" t="s">
        <v>66</v>
      </c>
      <c r="BA144" s="79" t="str">
        <f>REPLACE(INDEX(GroupVertices[Group],MATCH(Vertices[[#This Row],[Vertex]],GroupVertices[Vertex],0)),1,1,"")</f>
        <v>2</v>
      </c>
      <c r="BB144" s="49">
        <v>0</v>
      </c>
      <c r="BC144" s="50">
        <v>0</v>
      </c>
      <c r="BD144" s="49">
        <v>0</v>
      </c>
      <c r="BE144" s="50">
        <v>0</v>
      </c>
      <c r="BF144" s="49">
        <v>0</v>
      </c>
      <c r="BG144" s="50">
        <v>0</v>
      </c>
      <c r="BH144" s="49">
        <v>25</v>
      </c>
      <c r="BI144" s="50">
        <v>100</v>
      </c>
      <c r="BJ144" s="49">
        <v>25</v>
      </c>
      <c r="BK144" s="49"/>
      <c r="BL144" s="49"/>
      <c r="BM144" s="49"/>
      <c r="BN144" s="49"/>
      <c r="BO144" s="49" t="s">
        <v>491</v>
      </c>
      <c r="BP144" s="49" t="s">
        <v>491</v>
      </c>
      <c r="BQ144" s="115" t="s">
        <v>2547</v>
      </c>
      <c r="BR144" s="115" t="s">
        <v>2547</v>
      </c>
      <c r="BS144" s="115" t="s">
        <v>2393</v>
      </c>
      <c r="BT144" s="115" t="s">
        <v>2393</v>
      </c>
      <c r="BU144" s="2"/>
      <c r="BV144" s="3"/>
      <c r="BW144" s="3"/>
      <c r="BX144" s="3"/>
      <c r="BY144" s="3"/>
    </row>
    <row r="145" spans="1:77" ht="15">
      <c r="A145" s="65" t="s">
        <v>336</v>
      </c>
      <c r="B145" s="66"/>
      <c r="C145" s="66"/>
      <c r="D145" s="67">
        <v>112.41379310344827</v>
      </c>
      <c r="E145" s="69"/>
      <c r="F145" s="103" t="str">
        <f>HYPERLINK("https://pbs.twimg.com/profile_images/1322362861243518976/g_uFwOm__normal.jpg")</f>
        <v>https://pbs.twimg.com/profile_images/1322362861243518976/g_uFwOm__normal.jpg</v>
      </c>
      <c r="G145" s="66"/>
      <c r="H145" s="70" t="s">
        <v>336</v>
      </c>
      <c r="I145" s="71"/>
      <c r="J145" s="71" t="s">
        <v>75</v>
      </c>
      <c r="K145" s="70" t="s">
        <v>1600</v>
      </c>
      <c r="L145" s="74">
        <v>16.86984126984127</v>
      </c>
      <c r="M145" s="75">
        <v>7108.2275390625</v>
      </c>
      <c r="N145" s="75">
        <v>3433.200927734375</v>
      </c>
      <c r="O145" s="76"/>
      <c r="P145" s="77"/>
      <c r="Q145" s="77"/>
      <c r="R145" s="89"/>
      <c r="S145" s="49">
        <v>0</v>
      </c>
      <c r="T145" s="49">
        <v>2</v>
      </c>
      <c r="U145" s="50">
        <v>2</v>
      </c>
      <c r="V145" s="50">
        <v>0.5</v>
      </c>
      <c r="W145" s="50">
        <v>0</v>
      </c>
      <c r="X145" s="50">
        <v>1.459455</v>
      </c>
      <c r="Y145" s="50">
        <v>0</v>
      </c>
      <c r="Z145" s="50">
        <v>0</v>
      </c>
      <c r="AA145" s="72">
        <v>145</v>
      </c>
      <c r="AB145" s="72"/>
      <c r="AC145" s="73"/>
      <c r="AD145" s="79" t="s">
        <v>1068</v>
      </c>
      <c r="AE145" s="84" t="s">
        <v>1229</v>
      </c>
      <c r="AF145" s="79">
        <v>794</v>
      </c>
      <c r="AG145" s="79">
        <v>1267</v>
      </c>
      <c r="AH145" s="79">
        <v>29845</v>
      </c>
      <c r="AI145" s="79">
        <v>16744</v>
      </c>
      <c r="AJ145" s="79"/>
      <c r="AK145" s="79" t="s">
        <v>1367</v>
      </c>
      <c r="AL145" s="79" t="s">
        <v>1450</v>
      </c>
      <c r="AM145" s="86" t="str">
        <f>HYPERLINK("https://t.co/TCsSYi9UBA")</f>
        <v>https://t.co/TCsSYi9UBA</v>
      </c>
      <c r="AN145" s="79"/>
      <c r="AO145" s="81">
        <v>40140.757731481484</v>
      </c>
      <c r="AP145" s="86" t="str">
        <f>HYPERLINK("https://pbs.twimg.com/profile_banners/92077117/1573771238")</f>
        <v>https://pbs.twimg.com/profile_banners/92077117/1573771238</v>
      </c>
      <c r="AQ145" s="79" t="b">
        <v>1</v>
      </c>
      <c r="AR145" s="79" t="b">
        <v>0</v>
      </c>
      <c r="AS145" s="79" t="b">
        <v>1</v>
      </c>
      <c r="AT145" s="79"/>
      <c r="AU145" s="79">
        <v>20</v>
      </c>
      <c r="AV145" s="86" t="str">
        <f>HYPERLINK("https://abs.twimg.com/images/themes/theme1/bg.png")</f>
        <v>https://abs.twimg.com/images/themes/theme1/bg.png</v>
      </c>
      <c r="AW145" s="79" t="b">
        <v>0</v>
      </c>
      <c r="AX145" s="79" t="s">
        <v>1458</v>
      </c>
      <c r="AY145" s="86" t="str">
        <f>HYPERLINK("https://twitter.com/borgestom")</f>
        <v>https://twitter.com/borgestom</v>
      </c>
      <c r="AZ145" s="79" t="s">
        <v>66</v>
      </c>
      <c r="BA145" s="79" t="str">
        <f>REPLACE(INDEX(GroupVertices[Group],MATCH(Vertices[[#This Row],[Vertex]],GroupVertices[Vertex],0)),1,1,"")</f>
        <v>15</v>
      </c>
      <c r="BB145" s="49">
        <v>0</v>
      </c>
      <c r="BC145" s="50">
        <v>0</v>
      </c>
      <c r="BD145" s="49">
        <v>1</v>
      </c>
      <c r="BE145" s="50">
        <v>2.0833333333333335</v>
      </c>
      <c r="BF145" s="49">
        <v>0</v>
      </c>
      <c r="BG145" s="50">
        <v>0</v>
      </c>
      <c r="BH145" s="49">
        <v>47</v>
      </c>
      <c r="BI145" s="50">
        <v>97.91666666666667</v>
      </c>
      <c r="BJ145" s="49">
        <v>48</v>
      </c>
      <c r="BK145" s="49"/>
      <c r="BL145" s="49"/>
      <c r="BM145" s="49"/>
      <c r="BN145" s="49"/>
      <c r="BO145" s="49" t="s">
        <v>2261</v>
      </c>
      <c r="BP145" s="49" t="s">
        <v>2261</v>
      </c>
      <c r="BQ145" s="115" t="s">
        <v>2560</v>
      </c>
      <c r="BR145" s="115" t="s">
        <v>2560</v>
      </c>
      <c r="BS145" s="115" t="s">
        <v>2608</v>
      </c>
      <c r="BT145" s="115" t="s">
        <v>2608</v>
      </c>
      <c r="BU145" s="2"/>
      <c r="BV145" s="3"/>
      <c r="BW145" s="3"/>
      <c r="BX145" s="3"/>
      <c r="BY145" s="3"/>
    </row>
    <row r="146" spans="1:77" ht="15">
      <c r="A146" s="65" t="s">
        <v>377</v>
      </c>
      <c r="B146" s="66"/>
      <c r="C146" s="66"/>
      <c r="D146" s="67">
        <v>100</v>
      </c>
      <c r="E146" s="69"/>
      <c r="F146" s="103" t="str">
        <f>HYPERLINK("https://pbs.twimg.com/profile_images/1247137538101280768/33IGOpSB_normal.jpg")</f>
        <v>https://pbs.twimg.com/profile_images/1247137538101280768/33IGOpSB_normal.jpg</v>
      </c>
      <c r="G146" s="66"/>
      <c r="H146" s="70" t="s">
        <v>377</v>
      </c>
      <c r="I146" s="71"/>
      <c r="J146" s="71" t="s">
        <v>159</v>
      </c>
      <c r="K146" s="70" t="s">
        <v>1601</v>
      </c>
      <c r="L146" s="74">
        <v>1</v>
      </c>
      <c r="M146" s="75">
        <v>7108.2275390625</v>
      </c>
      <c r="N146" s="75">
        <v>3907.8369140625</v>
      </c>
      <c r="O146" s="76"/>
      <c r="P146" s="77"/>
      <c r="Q146" s="77"/>
      <c r="R146" s="89"/>
      <c r="S146" s="49">
        <v>1</v>
      </c>
      <c r="T146" s="49">
        <v>0</v>
      </c>
      <c r="U146" s="50">
        <v>0</v>
      </c>
      <c r="V146" s="50">
        <v>0.333333</v>
      </c>
      <c r="W146" s="50">
        <v>0</v>
      </c>
      <c r="X146" s="50">
        <v>0.770268</v>
      </c>
      <c r="Y146" s="50">
        <v>0</v>
      </c>
      <c r="Z146" s="50">
        <v>0</v>
      </c>
      <c r="AA146" s="72">
        <v>146</v>
      </c>
      <c r="AB146" s="72"/>
      <c r="AC146" s="73"/>
      <c r="AD146" s="79" t="s">
        <v>1069</v>
      </c>
      <c r="AE146" s="84" t="s">
        <v>1230</v>
      </c>
      <c r="AF146" s="79">
        <v>1692</v>
      </c>
      <c r="AG146" s="79">
        <v>10982</v>
      </c>
      <c r="AH146" s="79">
        <v>14766</v>
      </c>
      <c r="AI146" s="79">
        <v>13937</v>
      </c>
      <c r="AJ146" s="79"/>
      <c r="AK146" s="79" t="s">
        <v>1368</v>
      </c>
      <c r="AL146" s="79" t="s">
        <v>1393</v>
      </c>
      <c r="AM146" s="79"/>
      <c r="AN146" s="79"/>
      <c r="AO146" s="81">
        <v>40743.92767361111</v>
      </c>
      <c r="AP146" s="86" t="str">
        <f>HYPERLINK("https://pbs.twimg.com/profile_banners/338657758/1541548536")</f>
        <v>https://pbs.twimg.com/profile_banners/338657758/1541548536</v>
      </c>
      <c r="AQ146" s="79" t="b">
        <v>0</v>
      </c>
      <c r="AR146" s="79" t="b">
        <v>0</v>
      </c>
      <c r="AS146" s="79" t="b">
        <v>1</v>
      </c>
      <c r="AT146" s="79"/>
      <c r="AU146" s="79">
        <v>178</v>
      </c>
      <c r="AV146" s="86" t="str">
        <f>HYPERLINK("https://abs.twimg.com/images/themes/theme9/bg.gif")</f>
        <v>https://abs.twimg.com/images/themes/theme9/bg.gif</v>
      </c>
      <c r="AW146" s="79" t="b">
        <v>0</v>
      </c>
      <c r="AX146" s="79" t="s">
        <v>1458</v>
      </c>
      <c r="AY146" s="86" t="str">
        <f>HYPERLINK("https://twitter.com/cartoncamacho")</f>
        <v>https://twitter.com/cartoncamacho</v>
      </c>
      <c r="AZ146" s="79" t="s">
        <v>65</v>
      </c>
      <c r="BA146" s="79" t="str">
        <f>REPLACE(INDEX(GroupVertices[Group],MATCH(Vertices[[#This Row],[Vertex]],GroupVertices[Vertex],0)),1,1,"")</f>
        <v>15</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5" t="s">
        <v>378</v>
      </c>
      <c r="B147" s="66"/>
      <c r="C147" s="66"/>
      <c r="D147" s="67">
        <v>100</v>
      </c>
      <c r="E147" s="69"/>
      <c r="F147" s="103" t="str">
        <f>HYPERLINK("https://pbs.twimg.com/profile_images/3054605652/1b95b46893fd626df2ea5904f640b980_normal.jpeg")</f>
        <v>https://pbs.twimg.com/profile_images/3054605652/1b95b46893fd626df2ea5904f640b980_normal.jpeg</v>
      </c>
      <c r="G147" s="66"/>
      <c r="H147" s="70" t="s">
        <v>378</v>
      </c>
      <c r="I147" s="71"/>
      <c r="J147" s="71" t="s">
        <v>159</v>
      </c>
      <c r="K147" s="70" t="s">
        <v>1602</v>
      </c>
      <c r="L147" s="74">
        <v>1</v>
      </c>
      <c r="M147" s="75">
        <v>7638.90087890625</v>
      </c>
      <c r="N147" s="75">
        <v>3907.8369140625</v>
      </c>
      <c r="O147" s="76"/>
      <c r="P147" s="77"/>
      <c r="Q147" s="77"/>
      <c r="R147" s="89"/>
      <c r="S147" s="49">
        <v>1</v>
      </c>
      <c r="T147" s="49">
        <v>0</v>
      </c>
      <c r="U147" s="50">
        <v>0</v>
      </c>
      <c r="V147" s="50">
        <v>0.333333</v>
      </c>
      <c r="W147" s="50">
        <v>0</v>
      </c>
      <c r="X147" s="50">
        <v>0.770268</v>
      </c>
      <c r="Y147" s="50">
        <v>0</v>
      </c>
      <c r="Z147" s="50">
        <v>0</v>
      </c>
      <c r="AA147" s="72">
        <v>147</v>
      </c>
      <c r="AB147" s="72"/>
      <c r="AC147" s="73"/>
      <c r="AD147" s="79" t="s">
        <v>1070</v>
      </c>
      <c r="AE147" s="84" t="s">
        <v>877</v>
      </c>
      <c r="AF147" s="79">
        <v>2112</v>
      </c>
      <c r="AG147" s="79">
        <v>21688</v>
      </c>
      <c r="AH147" s="79">
        <v>25090</v>
      </c>
      <c r="AI147" s="79">
        <v>2625</v>
      </c>
      <c r="AJ147" s="79"/>
      <c r="AK147" s="79" t="s">
        <v>1369</v>
      </c>
      <c r="AL147" s="79" t="s">
        <v>1451</v>
      </c>
      <c r="AM147" s="86" t="str">
        <f>HYPERLINK("http://t.co/Ami8sInfXS")</f>
        <v>http://t.co/Ami8sInfXS</v>
      </c>
      <c r="AN147" s="79"/>
      <c r="AO147" s="81">
        <v>39977.648310185185</v>
      </c>
      <c r="AP147" s="86" t="str">
        <f>HYPERLINK("https://pbs.twimg.com/profile_banners/46904887/1599740824")</f>
        <v>https://pbs.twimg.com/profile_banners/46904887/1599740824</v>
      </c>
      <c r="AQ147" s="79" t="b">
        <v>0</v>
      </c>
      <c r="AR147" s="79" t="b">
        <v>0</v>
      </c>
      <c r="AS147" s="79" t="b">
        <v>0</v>
      </c>
      <c r="AT147" s="79"/>
      <c r="AU147" s="79">
        <v>295</v>
      </c>
      <c r="AV147" s="86" t="str">
        <f>HYPERLINK("https://abs.twimg.com/images/themes/theme1/bg.png")</f>
        <v>https://abs.twimg.com/images/themes/theme1/bg.png</v>
      </c>
      <c r="AW147" s="79" t="b">
        <v>1</v>
      </c>
      <c r="AX147" s="79" t="s">
        <v>1458</v>
      </c>
      <c r="AY147" s="86" t="str">
        <f>HYPERLINK("https://twitter.com/temoris")</f>
        <v>https://twitter.com/temoris</v>
      </c>
      <c r="AZ147" s="79" t="s">
        <v>65</v>
      </c>
      <c r="BA147" s="79" t="str">
        <f>REPLACE(INDEX(GroupVertices[Group],MATCH(Vertices[[#This Row],[Vertex]],GroupVertices[Vertex],0)),1,1,"")</f>
        <v>15</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5" t="s">
        <v>338</v>
      </c>
      <c r="B148" s="66"/>
      <c r="C148" s="66"/>
      <c r="D148" s="67">
        <v>118.62068965517241</v>
      </c>
      <c r="E148" s="69"/>
      <c r="F148" s="103" t="str">
        <f>HYPERLINK("https://pbs.twimg.com/profile_images/1414566069214326784/uy4indTl_normal.jpg")</f>
        <v>https://pbs.twimg.com/profile_images/1414566069214326784/uy4indTl_normal.jpg</v>
      </c>
      <c r="G148" s="66"/>
      <c r="H148" s="70" t="s">
        <v>338</v>
      </c>
      <c r="I148" s="71"/>
      <c r="J148" s="71" t="s">
        <v>75</v>
      </c>
      <c r="K148" s="70" t="s">
        <v>1603</v>
      </c>
      <c r="L148" s="74">
        <v>24.804761904761904</v>
      </c>
      <c r="M148" s="75">
        <v>1638.798828125</v>
      </c>
      <c r="N148" s="75">
        <v>2625.1298828125</v>
      </c>
      <c r="O148" s="76"/>
      <c r="P148" s="77"/>
      <c r="Q148" s="77"/>
      <c r="R148" s="89"/>
      <c r="S148" s="49">
        <v>0</v>
      </c>
      <c r="T148" s="49">
        <v>3</v>
      </c>
      <c r="U148" s="50">
        <v>3</v>
      </c>
      <c r="V148" s="50">
        <v>0.012346</v>
      </c>
      <c r="W148" s="50">
        <v>0.037132</v>
      </c>
      <c r="X148" s="50">
        <v>0.675241</v>
      </c>
      <c r="Y148" s="50">
        <v>0.3333333333333333</v>
      </c>
      <c r="Z148" s="50">
        <v>0</v>
      </c>
      <c r="AA148" s="72">
        <v>148</v>
      </c>
      <c r="AB148" s="72"/>
      <c r="AC148" s="73"/>
      <c r="AD148" s="79" t="s">
        <v>1071</v>
      </c>
      <c r="AE148" s="84" t="s">
        <v>1231</v>
      </c>
      <c r="AF148" s="79">
        <v>930</v>
      </c>
      <c r="AG148" s="79">
        <v>621</v>
      </c>
      <c r="AH148" s="79">
        <v>184173</v>
      </c>
      <c r="AI148" s="79">
        <v>163220</v>
      </c>
      <c r="AJ148" s="79"/>
      <c r="AK148" s="79"/>
      <c r="AL148" s="79"/>
      <c r="AM148" s="79"/>
      <c r="AN148" s="79"/>
      <c r="AO148" s="81">
        <v>42682.84916666667</v>
      </c>
      <c r="AP148" s="86" t="str">
        <f>HYPERLINK("https://pbs.twimg.com/profile_banners/796085582791208961/1621605286")</f>
        <v>https://pbs.twimg.com/profile_banners/796085582791208961/1621605286</v>
      </c>
      <c r="AQ148" s="79" t="b">
        <v>1</v>
      </c>
      <c r="AR148" s="79" t="b">
        <v>0</v>
      </c>
      <c r="AS148" s="79" t="b">
        <v>1</v>
      </c>
      <c r="AT148" s="79"/>
      <c r="AU148" s="79">
        <v>1</v>
      </c>
      <c r="AV148" s="79"/>
      <c r="AW148" s="79" t="b">
        <v>0</v>
      </c>
      <c r="AX148" s="79" t="s">
        <v>1458</v>
      </c>
      <c r="AY148" s="86" t="str">
        <f>HYPERLINK("https://twitter.com/atzihualibre")</f>
        <v>https://twitter.com/atzihualibre</v>
      </c>
      <c r="AZ148" s="79" t="s">
        <v>66</v>
      </c>
      <c r="BA148" s="79" t="str">
        <f>REPLACE(INDEX(GroupVertices[Group],MATCH(Vertices[[#This Row],[Vertex]],GroupVertices[Vertex],0)),1,1,"")</f>
        <v>2</v>
      </c>
      <c r="BB148" s="49">
        <v>0</v>
      </c>
      <c r="BC148" s="50">
        <v>0</v>
      </c>
      <c r="BD148" s="49">
        <v>0</v>
      </c>
      <c r="BE148" s="50">
        <v>0</v>
      </c>
      <c r="BF148" s="49">
        <v>0</v>
      </c>
      <c r="BG148" s="50">
        <v>0</v>
      </c>
      <c r="BH148" s="49">
        <v>25</v>
      </c>
      <c r="BI148" s="50">
        <v>100</v>
      </c>
      <c r="BJ148" s="49">
        <v>25</v>
      </c>
      <c r="BK148" s="49"/>
      <c r="BL148" s="49"/>
      <c r="BM148" s="49"/>
      <c r="BN148" s="49"/>
      <c r="BO148" s="49" t="s">
        <v>491</v>
      </c>
      <c r="BP148" s="49" t="s">
        <v>491</v>
      </c>
      <c r="BQ148" s="115" t="s">
        <v>2547</v>
      </c>
      <c r="BR148" s="115" t="s">
        <v>2547</v>
      </c>
      <c r="BS148" s="115" t="s">
        <v>2393</v>
      </c>
      <c r="BT148" s="115" t="s">
        <v>2393</v>
      </c>
      <c r="BU148" s="2"/>
      <c r="BV148" s="3"/>
      <c r="BW148" s="3"/>
      <c r="BX148" s="3"/>
      <c r="BY148" s="3"/>
    </row>
    <row r="149" spans="1:77" ht="15">
      <c r="A149" s="65" t="s">
        <v>340</v>
      </c>
      <c r="B149" s="66"/>
      <c r="C149" s="66"/>
      <c r="D149" s="67">
        <v>100</v>
      </c>
      <c r="E149" s="69"/>
      <c r="F149" s="103" t="str">
        <f>HYPERLINK("https://pbs.twimg.com/profile_images/595768275432247296/7WbpMJpl_normal.jpg")</f>
        <v>https://pbs.twimg.com/profile_images/595768275432247296/7WbpMJpl_normal.jpg</v>
      </c>
      <c r="G149" s="66"/>
      <c r="H149" s="70" t="s">
        <v>340</v>
      </c>
      <c r="I149" s="71"/>
      <c r="J149" s="71" t="s">
        <v>159</v>
      </c>
      <c r="K149" s="70" t="s">
        <v>1604</v>
      </c>
      <c r="L149" s="74">
        <v>1</v>
      </c>
      <c r="M149" s="75">
        <v>6326.18310546875</v>
      </c>
      <c r="N149" s="75">
        <v>1123.305419921875</v>
      </c>
      <c r="O149" s="76"/>
      <c r="P149" s="77"/>
      <c r="Q149" s="77"/>
      <c r="R149" s="89"/>
      <c r="S149" s="49">
        <v>0</v>
      </c>
      <c r="T149" s="49">
        <v>1</v>
      </c>
      <c r="U149" s="50">
        <v>0</v>
      </c>
      <c r="V149" s="50">
        <v>0.333333</v>
      </c>
      <c r="W149" s="50">
        <v>0</v>
      </c>
      <c r="X149" s="50">
        <v>0.638296</v>
      </c>
      <c r="Y149" s="50">
        <v>0</v>
      </c>
      <c r="Z149" s="50">
        <v>0</v>
      </c>
      <c r="AA149" s="72">
        <v>149</v>
      </c>
      <c r="AB149" s="72"/>
      <c r="AC149" s="73"/>
      <c r="AD149" s="79" t="s">
        <v>1072</v>
      </c>
      <c r="AE149" s="84" t="s">
        <v>1232</v>
      </c>
      <c r="AF149" s="79">
        <v>2232</v>
      </c>
      <c r="AG149" s="79">
        <v>267</v>
      </c>
      <c r="AH149" s="79">
        <v>4300</v>
      </c>
      <c r="AI149" s="79">
        <v>19457</v>
      </c>
      <c r="AJ149" s="79"/>
      <c r="AK149" s="79" t="s">
        <v>1370</v>
      </c>
      <c r="AL149" s="79" t="s">
        <v>1452</v>
      </c>
      <c r="AM149" s="79"/>
      <c r="AN149" s="79"/>
      <c r="AO149" s="81">
        <v>42116.319016203706</v>
      </c>
      <c r="AP149" s="86" t="str">
        <f>HYPERLINK("https://pbs.twimg.com/profile_banners/3166996790/1429690266")</f>
        <v>https://pbs.twimg.com/profile_banners/3166996790/1429690266</v>
      </c>
      <c r="AQ149" s="79" t="b">
        <v>0</v>
      </c>
      <c r="AR149" s="79" t="b">
        <v>0</v>
      </c>
      <c r="AS149" s="79" t="b">
        <v>1</v>
      </c>
      <c r="AT149" s="79"/>
      <c r="AU149" s="79">
        <v>2</v>
      </c>
      <c r="AV149" s="86" t="str">
        <f>HYPERLINK("https://abs.twimg.com/images/themes/theme1/bg.png")</f>
        <v>https://abs.twimg.com/images/themes/theme1/bg.png</v>
      </c>
      <c r="AW149" s="79" t="b">
        <v>0</v>
      </c>
      <c r="AX149" s="79" t="s">
        <v>1458</v>
      </c>
      <c r="AY149" s="86" t="str">
        <f>HYPERLINK("https://twitter.com/jorgeluisveve")</f>
        <v>https://twitter.com/jorgeluisveve</v>
      </c>
      <c r="AZ149" s="79" t="s">
        <v>66</v>
      </c>
      <c r="BA149" s="79" t="str">
        <f>REPLACE(INDEX(GroupVertices[Group],MATCH(Vertices[[#This Row],[Vertex]],GroupVertices[Vertex],0)),1,1,"")</f>
        <v>14</v>
      </c>
      <c r="BB149" s="49">
        <v>0</v>
      </c>
      <c r="BC149" s="50">
        <v>0</v>
      </c>
      <c r="BD149" s="49">
        <v>0</v>
      </c>
      <c r="BE149" s="50">
        <v>0</v>
      </c>
      <c r="BF149" s="49">
        <v>0</v>
      </c>
      <c r="BG149" s="50">
        <v>0</v>
      </c>
      <c r="BH149" s="49">
        <v>31</v>
      </c>
      <c r="BI149" s="50">
        <v>100</v>
      </c>
      <c r="BJ149" s="49">
        <v>31</v>
      </c>
      <c r="BK149" s="49"/>
      <c r="BL149" s="49"/>
      <c r="BM149" s="49"/>
      <c r="BN149" s="49"/>
      <c r="BO149" s="49" t="s">
        <v>472</v>
      </c>
      <c r="BP149" s="49" t="s">
        <v>472</v>
      </c>
      <c r="BQ149" s="115" t="s">
        <v>2559</v>
      </c>
      <c r="BR149" s="115" t="s">
        <v>2559</v>
      </c>
      <c r="BS149" s="115" t="s">
        <v>2403</v>
      </c>
      <c r="BT149" s="115" t="s">
        <v>2403</v>
      </c>
      <c r="BU149" s="2"/>
      <c r="BV149" s="3"/>
      <c r="BW149" s="3"/>
      <c r="BX149" s="3"/>
      <c r="BY149" s="3"/>
    </row>
    <row r="150" spans="1:77" ht="15">
      <c r="A150" s="65" t="s">
        <v>341</v>
      </c>
      <c r="B150" s="66"/>
      <c r="C150" s="66"/>
      <c r="D150" s="67">
        <v>1000</v>
      </c>
      <c r="E150" s="69"/>
      <c r="F150" s="103" t="str">
        <f>HYPERLINK("https://pbs.twimg.com/profile_images/1423831674224271362/zo3--L7U_normal.jpg")</f>
        <v>https://pbs.twimg.com/profile_images/1423831674224271362/zo3--L7U_normal.jpg</v>
      </c>
      <c r="G150" s="66"/>
      <c r="H150" s="70" t="s">
        <v>341</v>
      </c>
      <c r="I150" s="71"/>
      <c r="J150" s="71" t="s">
        <v>75</v>
      </c>
      <c r="K150" s="70" t="s">
        <v>1605</v>
      </c>
      <c r="L150" s="74">
        <v>1151.563492063492</v>
      </c>
      <c r="M150" s="75">
        <v>6032.916015625</v>
      </c>
      <c r="N150" s="75">
        <v>7386.5869140625</v>
      </c>
      <c r="O150" s="76"/>
      <c r="P150" s="77"/>
      <c r="Q150" s="77"/>
      <c r="R150" s="89"/>
      <c r="S150" s="49">
        <v>1</v>
      </c>
      <c r="T150" s="49">
        <v>2</v>
      </c>
      <c r="U150" s="50">
        <v>145</v>
      </c>
      <c r="V150" s="50">
        <v>0.013699</v>
      </c>
      <c r="W150" s="50">
        <v>0.017607</v>
      </c>
      <c r="X150" s="50">
        <v>0.80858</v>
      </c>
      <c r="Y150" s="50">
        <v>0.3333333333333333</v>
      </c>
      <c r="Z150" s="50">
        <v>0</v>
      </c>
      <c r="AA150" s="72">
        <v>150</v>
      </c>
      <c r="AB150" s="72"/>
      <c r="AC150" s="73"/>
      <c r="AD150" s="79" t="s">
        <v>1073</v>
      </c>
      <c r="AE150" s="84" t="s">
        <v>1233</v>
      </c>
      <c r="AF150" s="79">
        <v>233</v>
      </c>
      <c r="AG150" s="79">
        <v>996</v>
      </c>
      <c r="AH150" s="79">
        <v>1897</v>
      </c>
      <c r="AI150" s="79">
        <v>16</v>
      </c>
      <c r="AJ150" s="79"/>
      <c r="AK150" s="79" t="s">
        <v>1371</v>
      </c>
      <c r="AL150" s="79" t="s">
        <v>1453</v>
      </c>
      <c r="AM150" s="79"/>
      <c r="AN150" s="79"/>
      <c r="AO150" s="81">
        <v>40446.87810185185</v>
      </c>
      <c r="AP150" s="86" t="str">
        <f>HYPERLINK("https://pbs.twimg.com/profile_banners/195114134/1416762619")</f>
        <v>https://pbs.twimg.com/profile_banners/195114134/1416762619</v>
      </c>
      <c r="AQ150" s="79" t="b">
        <v>0</v>
      </c>
      <c r="AR150" s="79" t="b">
        <v>0</v>
      </c>
      <c r="AS150" s="79" t="b">
        <v>1</v>
      </c>
      <c r="AT150" s="79"/>
      <c r="AU150" s="79">
        <v>11</v>
      </c>
      <c r="AV150" s="86" t="str">
        <f>HYPERLINK("https://abs.twimg.com/images/themes/theme18/bg.gif")</f>
        <v>https://abs.twimg.com/images/themes/theme18/bg.gif</v>
      </c>
      <c r="AW150" s="79" t="b">
        <v>0</v>
      </c>
      <c r="AX150" s="79" t="s">
        <v>1458</v>
      </c>
      <c r="AY150" s="86" t="str">
        <f>HYPERLINK("https://twitter.com/tapabav")</f>
        <v>https://twitter.com/tapabav</v>
      </c>
      <c r="AZ150" s="79" t="s">
        <v>66</v>
      </c>
      <c r="BA150" s="79" t="str">
        <f>REPLACE(INDEX(GroupVertices[Group],MATCH(Vertices[[#This Row],[Vertex]],GroupVertices[Vertex],0)),1,1,"")</f>
        <v>5</v>
      </c>
      <c r="BB150" s="49">
        <v>0</v>
      </c>
      <c r="BC150" s="50">
        <v>0</v>
      </c>
      <c r="BD150" s="49">
        <v>2</v>
      </c>
      <c r="BE150" s="50">
        <v>4.444444444444445</v>
      </c>
      <c r="BF150" s="49">
        <v>0</v>
      </c>
      <c r="BG150" s="50">
        <v>0</v>
      </c>
      <c r="BH150" s="49">
        <v>43</v>
      </c>
      <c r="BI150" s="50">
        <v>95.55555555555556</v>
      </c>
      <c r="BJ150" s="49">
        <v>45</v>
      </c>
      <c r="BK150" s="49"/>
      <c r="BL150" s="49"/>
      <c r="BM150" s="49"/>
      <c r="BN150" s="49"/>
      <c r="BO150" s="49" t="s">
        <v>503</v>
      </c>
      <c r="BP150" s="49" t="s">
        <v>503</v>
      </c>
      <c r="BQ150" s="115" t="s">
        <v>2561</v>
      </c>
      <c r="BR150" s="115" t="s">
        <v>2561</v>
      </c>
      <c r="BS150" s="115" t="s">
        <v>2395</v>
      </c>
      <c r="BT150" s="115" t="s">
        <v>2395</v>
      </c>
      <c r="BU150" s="2"/>
      <c r="BV150" s="3"/>
      <c r="BW150" s="3"/>
      <c r="BX150" s="3"/>
      <c r="BY150" s="3"/>
    </row>
    <row r="151" spans="1:77" ht="15">
      <c r="A151" s="65" t="s">
        <v>342</v>
      </c>
      <c r="B151" s="66"/>
      <c r="C151" s="66"/>
      <c r="D151" s="67">
        <v>1000</v>
      </c>
      <c r="E151" s="69"/>
      <c r="F151" s="103" t="str">
        <f>HYPERLINK("https://pbs.twimg.com/profile_images/1439252789037871114/a3T1lf0b_normal.jpg")</f>
        <v>https://pbs.twimg.com/profile_images/1439252789037871114/a3T1lf0b_normal.jpg</v>
      </c>
      <c r="G151" s="66"/>
      <c r="H151" s="70" t="s">
        <v>342</v>
      </c>
      <c r="I151" s="71"/>
      <c r="J151" s="71" t="s">
        <v>75</v>
      </c>
      <c r="K151" s="70" t="s">
        <v>1606</v>
      </c>
      <c r="L151" s="74">
        <v>1151.563492063492</v>
      </c>
      <c r="M151" s="75">
        <v>6712.833984375</v>
      </c>
      <c r="N151" s="75">
        <v>7530.892578125</v>
      </c>
      <c r="O151" s="76"/>
      <c r="P151" s="77"/>
      <c r="Q151" s="77"/>
      <c r="R151" s="89"/>
      <c r="S151" s="49">
        <v>0</v>
      </c>
      <c r="T151" s="49">
        <v>3</v>
      </c>
      <c r="U151" s="50">
        <v>145</v>
      </c>
      <c r="V151" s="50">
        <v>0.013699</v>
      </c>
      <c r="W151" s="50">
        <v>0.017607</v>
      </c>
      <c r="X151" s="50">
        <v>0.80858</v>
      </c>
      <c r="Y151" s="50">
        <v>0.3333333333333333</v>
      </c>
      <c r="Z151" s="50">
        <v>0</v>
      </c>
      <c r="AA151" s="72">
        <v>151</v>
      </c>
      <c r="AB151" s="72"/>
      <c r="AC151" s="73"/>
      <c r="AD151" s="79" t="s">
        <v>1074</v>
      </c>
      <c r="AE151" s="84" t="s">
        <v>1234</v>
      </c>
      <c r="AF151" s="79">
        <v>1643</v>
      </c>
      <c r="AG151" s="79">
        <v>1175</v>
      </c>
      <c r="AH151" s="79">
        <v>1688</v>
      </c>
      <c r="AI151" s="79">
        <v>1394</v>
      </c>
      <c r="AJ151" s="79"/>
      <c r="AK151" s="79" t="s">
        <v>1372</v>
      </c>
      <c r="AL151" s="79"/>
      <c r="AM151" s="79"/>
      <c r="AN151" s="79"/>
      <c r="AO151" s="81">
        <v>44171.672002314815</v>
      </c>
      <c r="AP151" s="86" t="str">
        <f>HYPERLINK("https://pbs.twimg.com/profile_banners/1335616636901003268/1622209838")</f>
        <v>https://pbs.twimg.com/profile_banners/1335616636901003268/1622209838</v>
      </c>
      <c r="AQ151" s="79" t="b">
        <v>1</v>
      </c>
      <c r="AR151" s="79" t="b">
        <v>0</v>
      </c>
      <c r="AS151" s="79" t="b">
        <v>0</v>
      </c>
      <c r="AT151" s="79"/>
      <c r="AU151" s="79">
        <v>0</v>
      </c>
      <c r="AV151" s="79"/>
      <c r="AW151" s="79" t="b">
        <v>0</v>
      </c>
      <c r="AX151" s="79" t="s">
        <v>1458</v>
      </c>
      <c r="AY151" s="86" t="str">
        <f>HYPERLINK("https://twitter.com/rolobss1")</f>
        <v>https://twitter.com/rolobss1</v>
      </c>
      <c r="AZ151" s="79" t="s">
        <v>66</v>
      </c>
      <c r="BA151" s="79" t="str">
        <f>REPLACE(INDEX(GroupVertices[Group],MATCH(Vertices[[#This Row],[Vertex]],GroupVertices[Vertex],0)),1,1,"")</f>
        <v>5</v>
      </c>
      <c r="BB151" s="49">
        <v>0</v>
      </c>
      <c r="BC151" s="50">
        <v>0</v>
      </c>
      <c r="BD151" s="49">
        <v>2</v>
      </c>
      <c r="BE151" s="50">
        <v>4.444444444444445</v>
      </c>
      <c r="BF151" s="49">
        <v>0</v>
      </c>
      <c r="BG151" s="50">
        <v>0</v>
      </c>
      <c r="BH151" s="49">
        <v>43</v>
      </c>
      <c r="BI151" s="50">
        <v>95.55555555555556</v>
      </c>
      <c r="BJ151" s="49">
        <v>45</v>
      </c>
      <c r="BK151" s="49"/>
      <c r="BL151" s="49"/>
      <c r="BM151" s="49"/>
      <c r="BN151" s="49"/>
      <c r="BO151" s="49" t="s">
        <v>503</v>
      </c>
      <c r="BP151" s="49" t="s">
        <v>503</v>
      </c>
      <c r="BQ151" s="115" t="s">
        <v>2561</v>
      </c>
      <c r="BR151" s="115" t="s">
        <v>2561</v>
      </c>
      <c r="BS151" s="115" t="s">
        <v>2395</v>
      </c>
      <c r="BT151" s="115" t="s">
        <v>2395</v>
      </c>
      <c r="BU151" s="2"/>
      <c r="BV151" s="3"/>
      <c r="BW151" s="3"/>
      <c r="BX151" s="3"/>
      <c r="BY151" s="3"/>
    </row>
    <row r="152" spans="1:77" ht="15">
      <c r="A152" s="65" t="s">
        <v>343</v>
      </c>
      <c r="B152" s="66"/>
      <c r="C152" s="66"/>
      <c r="D152" s="67">
        <v>100</v>
      </c>
      <c r="E152" s="69"/>
      <c r="F152" s="103" t="str">
        <f>HYPERLINK("https://pbs.twimg.com/profile_images/1437041251237380098/ngPLiPNE_normal.jpg")</f>
        <v>https://pbs.twimg.com/profile_images/1437041251237380098/ngPLiPNE_normal.jpg</v>
      </c>
      <c r="G152" s="66"/>
      <c r="H152" s="70" t="s">
        <v>343</v>
      </c>
      <c r="I152" s="71"/>
      <c r="J152" s="71" t="s">
        <v>159</v>
      </c>
      <c r="K152" s="70" t="s">
        <v>1607</v>
      </c>
      <c r="L152" s="74">
        <v>1</v>
      </c>
      <c r="M152" s="75">
        <v>5113.19873046875</v>
      </c>
      <c r="N152" s="75">
        <v>5599.42041015625</v>
      </c>
      <c r="O152" s="76"/>
      <c r="P152" s="77"/>
      <c r="Q152" s="77"/>
      <c r="R152" s="89"/>
      <c r="S152" s="49">
        <v>0</v>
      </c>
      <c r="T152" s="49">
        <v>1</v>
      </c>
      <c r="U152" s="50">
        <v>0</v>
      </c>
      <c r="V152" s="50">
        <v>0.111111</v>
      </c>
      <c r="W152" s="50">
        <v>0</v>
      </c>
      <c r="X152" s="50">
        <v>0.585364</v>
      </c>
      <c r="Y152" s="50">
        <v>0</v>
      </c>
      <c r="Z152" s="50">
        <v>0</v>
      </c>
      <c r="AA152" s="72">
        <v>152</v>
      </c>
      <c r="AB152" s="72"/>
      <c r="AC152" s="73"/>
      <c r="AD152" s="79" t="s">
        <v>1075</v>
      </c>
      <c r="AE152" s="84" t="s">
        <v>1235</v>
      </c>
      <c r="AF152" s="79">
        <v>499</v>
      </c>
      <c r="AG152" s="79">
        <v>236</v>
      </c>
      <c r="AH152" s="79">
        <v>91086</v>
      </c>
      <c r="AI152" s="79">
        <v>72565</v>
      </c>
      <c r="AJ152" s="79"/>
      <c r="AK152" s="79" t="s">
        <v>1373</v>
      </c>
      <c r="AL152" s="79"/>
      <c r="AM152" s="79"/>
      <c r="AN152" s="79"/>
      <c r="AO152" s="81">
        <v>42481.84311342592</v>
      </c>
      <c r="AP152" s="79"/>
      <c r="AQ152" s="79" t="b">
        <v>1</v>
      </c>
      <c r="AR152" s="79" t="b">
        <v>0</v>
      </c>
      <c r="AS152" s="79" t="b">
        <v>1</v>
      </c>
      <c r="AT152" s="79"/>
      <c r="AU152" s="79">
        <v>1</v>
      </c>
      <c r="AV152" s="79"/>
      <c r="AW152" s="79" t="b">
        <v>0</v>
      </c>
      <c r="AX152" s="79" t="s">
        <v>1458</v>
      </c>
      <c r="AY152" s="86" t="str">
        <f>HYPERLINK("https://twitter.com/smolninalia")</f>
        <v>https://twitter.com/smolninalia</v>
      </c>
      <c r="AZ152" s="79" t="s">
        <v>66</v>
      </c>
      <c r="BA152" s="79" t="str">
        <f>REPLACE(INDEX(GroupVertices[Group],MATCH(Vertices[[#This Row],[Vertex]],GroupVertices[Vertex],0)),1,1,"")</f>
        <v>8</v>
      </c>
      <c r="BB152" s="49">
        <v>0</v>
      </c>
      <c r="BC152" s="50">
        <v>0</v>
      </c>
      <c r="BD152" s="49">
        <v>0</v>
      </c>
      <c r="BE152" s="50">
        <v>0</v>
      </c>
      <c r="BF152" s="49">
        <v>0</v>
      </c>
      <c r="BG152" s="50">
        <v>0</v>
      </c>
      <c r="BH152" s="49">
        <v>34</v>
      </c>
      <c r="BI152" s="50">
        <v>100</v>
      </c>
      <c r="BJ152" s="49">
        <v>34</v>
      </c>
      <c r="BK152" s="49" t="s">
        <v>2148</v>
      </c>
      <c r="BL152" s="49" t="s">
        <v>2148</v>
      </c>
      <c r="BM152" s="49" t="s">
        <v>463</v>
      </c>
      <c r="BN152" s="49" t="s">
        <v>463</v>
      </c>
      <c r="BO152" s="49" t="s">
        <v>504</v>
      </c>
      <c r="BP152" s="49" t="s">
        <v>504</v>
      </c>
      <c r="BQ152" s="115" t="s">
        <v>2284</v>
      </c>
      <c r="BR152" s="115" t="s">
        <v>2284</v>
      </c>
      <c r="BS152" s="115" t="s">
        <v>2398</v>
      </c>
      <c r="BT152" s="115" t="s">
        <v>2398</v>
      </c>
      <c r="BU152" s="2"/>
      <c r="BV152" s="3"/>
      <c r="BW152" s="3"/>
      <c r="BX152" s="3"/>
      <c r="BY152" s="3"/>
    </row>
    <row r="153" spans="1:77" ht="15">
      <c r="A153" s="65" t="s">
        <v>351</v>
      </c>
      <c r="B153" s="66"/>
      <c r="C153" s="66"/>
      <c r="D153" s="67">
        <v>224.13793103448276</v>
      </c>
      <c r="E153" s="69"/>
      <c r="F153" s="103" t="str">
        <f>HYPERLINK("https://pbs.twimg.com/profile_images/895317957139611649/poX5xA65_normal.jpg")</f>
        <v>https://pbs.twimg.com/profile_images/895317957139611649/poX5xA65_normal.jpg</v>
      </c>
      <c r="G153" s="66"/>
      <c r="H153" s="70" t="s">
        <v>351</v>
      </c>
      <c r="I153" s="71"/>
      <c r="J153" s="71" t="s">
        <v>75</v>
      </c>
      <c r="K153" s="70" t="s">
        <v>1608</v>
      </c>
      <c r="L153" s="74">
        <v>159.6984126984127</v>
      </c>
      <c r="M153" s="75">
        <v>4636.4228515625</v>
      </c>
      <c r="N153" s="75">
        <v>4896.14501953125</v>
      </c>
      <c r="O153" s="76"/>
      <c r="P153" s="77"/>
      <c r="Q153" s="77"/>
      <c r="R153" s="89"/>
      <c r="S153" s="49">
        <v>6</v>
      </c>
      <c r="T153" s="49">
        <v>1</v>
      </c>
      <c r="U153" s="50">
        <v>20</v>
      </c>
      <c r="V153" s="50">
        <v>0.2</v>
      </c>
      <c r="W153" s="50">
        <v>0</v>
      </c>
      <c r="X153" s="50">
        <v>3.073161</v>
      </c>
      <c r="Y153" s="50">
        <v>0</v>
      </c>
      <c r="Z153" s="50">
        <v>0</v>
      </c>
      <c r="AA153" s="72">
        <v>153</v>
      </c>
      <c r="AB153" s="72"/>
      <c r="AC153" s="73"/>
      <c r="AD153" s="79" t="s">
        <v>1076</v>
      </c>
      <c r="AE153" s="84" t="s">
        <v>1236</v>
      </c>
      <c r="AF153" s="79">
        <v>2201</v>
      </c>
      <c r="AG153" s="79">
        <v>5003</v>
      </c>
      <c r="AH153" s="79">
        <v>7488</v>
      </c>
      <c r="AI153" s="79">
        <v>2310</v>
      </c>
      <c r="AJ153" s="79"/>
      <c r="AK153" s="79" t="s">
        <v>1374</v>
      </c>
      <c r="AL153" s="79"/>
      <c r="AM153" s="86" t="str">
        <f>HYPERLINK("https://t.co/82I2YVHH4o")</f>
        <v>https://t.co/82I2YVHH4o</v>
      </c>
      <c r="AN153" s="79"/>
      <c r="AO153" s="81">
        <v>42072.797164351854</v>
      </c>
      <c r="AP153" s="86" t="str">
        <f>HYPERLINK("https://pbs.twimg.com/profile_banners/3082266484/1630944333")</f>
        <v>https://pbs.twimg.com/profile_banners/3082266484/1630944333</v>
      </c>
      <c r="AQ153" s="79" t="b">
        <v>0</v>
      </c>
      <c r="AR153" s="79" t="b">
        <v>0</v>
      </c>
      <c r="AS153" s="79" t="b">
        <v>1</v>
      </c>
      <c r="AT153" s="79"/>
      <c r="AU153" s="79">
        <v>83</v>
      </c>
      <c r="AV153" s="86" t="str">
        <f>HYPERLINK("https://abs.twimg.com/images/themes/theme1/bg.png")</f>
        <v>https://abs.twimg.com/images/themes/theme1/bg.png</v>
      </c>
      <c r="AW153" s="79" t="b">
        <v>0</v>
      </c>
      <c r="AX153" s="79" t="s">
        <v>1458</v>
      </c>
      <c r="AY153" s="86" t="str">
        <f>HYPERLINK("https://twitter.com/avispa_midia")</f>
        <v>https://twitter.com/avispa_midia</v>
      </c>
      <c r="AZ153" s="79" t="s">
        <v>66</v>
      </c>
      <c r="BA153" s="79" t="str">
        <f>REPLACE(INDEX(GroupVertices[Group],MATCH(Vertices[[#This Row],[Vertex]],GroupVertices[Vertex],0)),1,1,"")</f>
        <v>8</v>
      </c>
      <c r="BB153" s="49">
        <v>0</v>
      </c>
      <c r="BC153" s="50">
        <v>0</v>
      </c>
      <c r="BD153" s="49">
        <v>0</v>
      </c>
      <c r="BE153" s="50">
        <v>0</v>
      </c>
      <c r="BF153" s="49">
        <v>0</v>
      </c>
      <c r="BG153" s="50">
        <v>0</v>
      </c>
      <c r="BH153" s="49">
        <v>34</v>
      </c>
      <c r="BI153" s="50">
        <v>100</v>
      </c>
      <c r="BJ153" s="49">
        <v>34</v>
      </c>
      <c r="BK153" s="49" t="s">
        <v>2148</v>
      </c>
      <c r="BL153" s="49" t="s">
        <v>2148</v>
      </c>
      <c r="BM153" s="49" t="s">
        <v>463</v>
      </c>
      <c r="BN153" s="49" t="s">
        <v>463</v>
      </c>
      <c r="BO153" s="49" t="s">
        <v>504</v>
      </c>
      <c r="BP153" s="49" t="s">
        <v>504</v>
      </c>
      <c r="BQ153" s="115" t="s">
        <v>2284</v>
      </c>
      <c r="BR153" s="115" t="s">
        <v>2284</v>
      </c>
      <c r="BS153" s="115" t="s">
        <v>2398</v>
      </c>
      <c r="BT153" s="115" t="s">
        <v>2398</v>
      </c>
      <c r="BU153" s="2"/>
      <c r="BV153" s="3"/>
      <c r="BW153" s="3"/>
      <c r="BX153" s="3"/>
      <c r="BY153" s="3"/>
    </row>
    <row r="154" spans="1:77" ht="15">
      <c r="A154" s="65" t="s">
        <v>344</v>
      </c>
      <c r="B154" s="66"/>
      <c r="C154" s="66"/>
      <c r="D154" s="67">
        <v>100</v>
      </c>
      <c r="E154" s="69"/>
      <c r="F154" s="103" t="str">
        <f>HYPERLINK("https://pbs.twimg.com/profile_images/1368568450608734221/4SGV_0vg_normal.jpg")</f>
        <v>https://pbs.twimg.com/profile_images/1368568450608734221/4SGV_0vg_normal.jpg</v>
      </c>
      <c r="G154" s="66"/>
      <c r="H154" s="70" t="s">
        <v>344</v>
      </c>
      <c r="I154" s="71"/>
      <c r="J154" s="71" t="s">
        <v>159</v>
      </c>
      <c r="K154" s="70" t="s">
        <v>1609</v>
      </c>
      <c r="L154" s="74">
        <v>1</v>
      </c>
      <c r="M154" s="75">
        <v>4232.84814453125</v>
      </c>
      <c r="N154" s="75">
        <v>5663.99072265625</v>
      </c>
      <c r="O154" s="76"/>
      <c r="P154" s="77"/>
      <c r="Q154" s="77"/>
      <c r="R154" s="89"/>
      <c r="S154" s="49">
        <v>0</v>
      </c>
      <c r="T154" s="49">
        <v>1</v>
      </c>
      <c r="U154" s="50">
        <v>0</v>
      </c>
      <c r="V154" s="50">
        <v>0.111111</v>
      </c>
      <c r="W154" s="50">
        <v>0</v>
      </c>
      <c r="X154" s="50">
        <v>0.585364</v>
      </c>
      <c r="Y154" s="50">
        <v>0</v>
      </c>
      <c r="Z154" s="50">
        <v>0</v>
      </c>
      <c r="AA154" s="72">
        <v>154</v>
      </c>
      <c r="AB154" s="72"/>
      <c r="AC154" s="73"/>
      <c r="AD154" s="79" t="s">
        <v>1077</v>
      </c>
      <c r="AE154" s="84" t="s">
        <v>1237</v>
      </c>
      <c r="AF154" s="79">
        <v>991</v>
      </c>
      <c r="AG154" s="79">
        <v>691</v>
      </c>
      <c r="AH154" s="79">
        <v>21105</v>
      </c>
      <c r="AI154" s="79">
        <v>70738</v>
      </c>
      <c r="AJ154" s="79"/>
      <c r="AK154" s="79"/>
      <c r="AL154" s="79"/>
      <c r="AM154" s="79"/>
      <c r="AN154" s="79"/>
      <c r="AO154" s="81">
        <v>43892.2700462963</v>
      </c>
      <c r="AP154" s="86" t="str">
        <f>HYPERLINK("https://pbs.twimg.com/profile_banners/1234364732724908033/1595285286")</f>
        <v>https://pbs.twimg.com/profile_banners/1234364732724908033/1595285286</v>
      </c>
      <c r="AQ154" s="79" t="b">
        <v>1</v>
      </c>
      <c r="AR154" s="79" t="b">
        <v>0</v>
      </c>
      <c r="AS154" s="79" t="b">
        <v>0</v>
      </c>
      <c r="AT154" s="79"/>
      <c r="AU154" s="79">
        <v>2</v>
      </c>
      <c r="AV154" s="79"/>
      <c r="AW154" s="79" t="b">
        <v>0</v>
      </c>
      <c r="AX154" s="79" t="s">
        <v>1458</v>
      </c>
      <c r="AY154" s="86" t="str">
        <f>HYPERLINK("https://twitter.com/algaraba8")</f>
        <v>https://twitter.com/algaraba8</v>
      </c>
      <c r="AZ154" s="79" t="s">
        <v>66</v>
      </c>
      <c r="BA154" s="79" t="str">
        <f>REPLACE(INDEX(GroupVertices[Group],MATCH(Vertices[[#This Row],[Vertex]],GroupVertices[Vertex],0)),1,1,"")</f>
        <v>8</v>
      </c>
      <c r="BB154" s="49">
        <v>0</v>
      </c>
      <c r="BC154" s="50">
        <v>0</v>
      </c>
      <c r="BD154" s="49">
        <v>0</v>
      </c>
      <c r="BE154" s="50">
        <v>0</v>
      </c>
      <c r="BF154" s="49">
        <v>0</v>
      </c>
      <c r="BG154" s="50">
        <v>0</v>
      </c>
      <c r="BH154" s="49">
        <v>34</v>
      </c>
      <c r="BI154" s="50">
        <v>100</v>
      </c>
      <c r="BJ154" s="49">
        <v>34</v>
      </c>
      <c r="BK154" s="49" t="s">
        <v>2148</v>
      </c>
      <c r="BL154" s="49" t="s">
        <v>2148</v>
      </c>
      <c r="BM154" s="49" t="s">
        <v>463</v>
      </c>
      <c r="BN154" s="49" t="s">
        <v>463</v>
      </c>
      <c r="BO154" s="49" t="s">
        <v>504</v>
      </c>
      <c r="BP154" s="49" t="s">
        <v>504</v>
      </c>
      <c r="BQ154" s="115" t="s">
        <v>2284</v>
      </c>
      <c r="BR154" s="115" t="s">
        <v>2284</v>
      </c>
      <c r="BS154" s="115" t="s">
        <v>2398</v>
      </c>
      <c r="BT154" s="115" t="s">
        <v>2398</v>
      </c>
      <c r="BU154" s="2"/>
      <c r="BV154" s="3"/>
      <c r="BW154" s="3"/>
      <c r="BX154" s="3"/>
      <c r="BY154" s="3"/>
    </row>
    <row r="155" spans="1:77" ht="15">
      <c r="A155" s="65" t="s">
        <v>345</v>
      </c>
      <c r="B155" s="66"/>
      <c r="C155" s="66"/>
      <c r="D155" s="67">
        <v>100</v>
      </c>
      <c r="E155" s="69"/>
      <c r="F155" s="103" t="str">
        <f>HYPERLINK("https://pbs.twimg.com/profile_images/1403212760251441152/0cnwMyCP_normal.jpg")</f>
        <v>https://pbs.twimg.com/profile_images/1403212760251441152/0cnwMyCP_normal.jpg</v>
      </c>
      <c r="G155" s="66"/>
      <c r="H155" s="70" t="s">
        <v>345</v>
      </c>
      <c r="I155" s="71"/>
      <c r="J155" s="71" t="s">
        <v>159</v>
      </c>
      <c r="K155" s="70" t="s">
        <v>1610</v>
      </c>
      <c r="L155" s="74">
        <v>1</v>
      </c>
      <c r="M155" s="75">
        <v>7422.44189453125</v>
      </c>
      <c r="N155" s="75">
        <v>8764.9462890625</v>
      </c>
      <c r="O155" s="76"/>
      <c r="P155" s="77"/>
      <c r="Q155" s="77"/>
      <c r="R155" s="89"/>
      <c r="S155" s="49">
        <v>1</v>
      </c>
      <c r="T155" s="49">
        <v>1</v>
      </c>
      <c r="U155" s="50">
        <v>0</v>
      </c>
      <c r="V155" s="50">
        <v>0</v>
      </c>
      <c r="W155" s="50">
        <v>0</v>
      </c>
      <c r="X155" s="50">
        <v>0.999997</v>
      </c>
      <c r="Y155" s="50">
        <v>0</v>
      </c>
      <c r="Z155" s="50">
        <v>0</v>
      </c>
      <c r="AA155" s="72">
        <v>155</v>
      </c>
      <c r="AB155" s="72"/>
      <c r="AC155" s="73"/>
      <c r="AD155" s="79" t="s">
        <v>1078</v>
      </c>
      <c r="AE155" s="84" t="s">
        <v>1238</v>
      </c>
      <c r="AF155" s="79">
        <v>4037</v>
      </c>
      <c r="AG155" s="79">
        <v>3076</v>
      </c>
      <c r="AH155" s="79">
        <v>90170</v>
      </c>
      <c r="AI155" s="79">
        <v>102527</v>
      </c>
      <c r="AJ155" s="79"/>
      <c r="AK155" s="79" t="s">
        <v>1375</v>
      </c>
      <c r="AL155" s="79"/>
      <c r="AM155" s="79"/>
      <c r="AN155" s="79"/>
      <c r="AO155" s="81">
        <v>40545.01537037037</v>
      </c>
      <c r="AP155" s="86" t="str">
        <f>HYPERLINK("https://pbs.twimg.com/profile_banners/232997487/1632364059")</f>
        <v>https://pbs.twimg.com/profile_banners/232997487/1632364059</v>
      </c>
      <c r="AQ155" s="79" t="b">
        <v>0</v>
      </c>
      <c r="AR155" s="79" t="b">
        <v>0</v>
      </c>
      <c r="AS155" s="79" t="b">
        <v>1</v>
      </c>
      <c r="AT155" s="79"/>
      <c r="AU155" s="79">
        <v>20</v>
      </c>
      <c r="AV155" s="86" t="str">
        <f>HYPERLINK("https://abs.twimg.com/images/themes/theme17/bg.gif")</f>
        <v>https://abs.twimg.com/images/themes/theme17/bg.gif</v>
      </c>
      <c r="AW155" s="79" t="b">
        <v>0</v>
      </c>
      <c r="AX155" s="79" t="s">
        <v>1458</v>
      </c>
      <c r="AY155" s="86" t="str">
        <f>HYPERLINK("https://twitter.com/uriluisni")</f>
        <v>https://twitter.com/uriluisni</v>
      </c>
      <c r="AZ155" s="79" t="s">
        <v>66</v>
      </c>
      <c r="BA155" s="79" t="str">
        <f>REPLACE(INDEX(GroupVertices[Group],MATCH(Vertices[[#This Row],[Vertex]],GroupVertices[Vertex],0)),1,1,"")</f>
        <v>4</v>
      </c>
      <c r="BB155" s="49">
        <v>0</v>
      </c>
      <c r="BC155" s="50">
        <v>0</v>
      </c>
      <c r="BD155" s="49">
        <v>0</v>
      </c>
      <c r="BE155" s="50">
        <v>0</v>
      </c>
      <c r="BF155" s="49">
        <v>0</v>
      </c>
      <c r="BG155" s="50">
        <v>0</v>
      </c>
      <c r="BH155" s="49">
        <v>75</v>
      </c>
      <c r="BI155" s="50">
        <v>100</v>
      </c>
      <c r="BJ155" s="49">
        <v>75</v>
      </c>
      <c r="BK155" s="49" t="s">
        <v>2490</v>
      </c>
      <c r="BL155" s="49" t="s">
        <v>2490</v>
      </c>
      <c r="BM155" s="49" t="s">
        <v>458</v>
      </c>
      <c r="BN155" s="49" t="s">
        <v>458</v>
      </c>
      <c r="BO155" s="49" t="s">
        <v>2507</v>
      </c>
      <c r="BP155" s="49" t="s">
        <v>2518</v>
      </c>
      <c r="BQ155" s="115" t="s">
        <v>2562</v>
      </c>
      <c r="BR155" s="115" t="s">
        <v>2578</v>
      </c>
      <c r="BS155" s="115" t="s">
        <v>2609</v>
      </c>
      <c r="BT155" s="115" t="s">
        <v>2609</v>
      </c>
      <c r="BU155" s="2"/>
      <c r="BV155" s="3"/>
      <c r="BW155" s="3"/>
      <c r="BX155" s="3"/>
      <c r="BY155" s="3"/>
    </row>
    <row r="156" spans="1:77" ht="15">
      <c r="A156" s="65" t="s">
        <v>346</v>
      </c>
      <c r="B156" s="66"/>
      <c r="C156" s="66"/>
      <c r="D156" s="67">
        <v>100</v>
      </c>
      <c r="E156" s="69"/>
      <c r="F156" s="103" t="str">
        <f>HYPERLINK("https://pbs.twimg.com/profile_images/781915436275277824/Y3HqFA3v_normal.jpg")</f>
        <v>https://pbs.twimg.com/profile_images/781915436275277824/Y3HqFA3v_normal.jpg</v>
      </c>
      <c r="G156" s="66"/>
      <c r="H156" s="70" t="s">
        <v>346</v>
      </c>
      <c r="I156" s="71"/>
      <c r="J156" s="71" t="s">
        <v>159</v>
      </c>
      <c r="K156" s="70" t="s">
        <v>1611</v>
      </c>
      <c r="L156" s="74">
        <v>1</v>
      </c>
      <c r="M156" s="75">
        <v>4591.18310546875</v>
      </c>
      <c r="N156" s="75">
        <v>3986.943115234375</v>
      </c>
      <c r="O156" s="76"/>
      <c r="P156" s="77"/>
      <c r="Q156" s="77"/>
      <c r="R156" s="89"/>
      <c r="S156" s="49">
        <v>0</v>
      </c>
      <c r="T156" s="49">
        <v>1</v>
      </c>
      <c r="U156" s="50">
        <v>0</v>
      </c>
      <c r="V156" s="50">
        <v>0.111111</v>
      </c>
      <c r="W156" s="50">
        <v>0</v>
      </c>
      <c r="X156" s="50">
        <v>0.585364</v>
      </c>
      <c r="Y156" s="50">
        <v>0</v>
      </c>
      <c r="Z156" s="50">
        <v>0</v>
      </c>
      <c r="AA156" s="72">
        <v>156</v>
      </c>
      <c r="AB156" s="72"/>
      <c r="AC156" s="73"/>
      <c r="AD156" s="79" t="s">
        <v>1079</v>
      </c>
      <c r="AE156" s="84" t="s">
        <v>1239</v>
      </c>
      <c r="AF156" s="79">
        <v>740</v>
      </c>
      <c r="AG156" s="79">
        <v>6194</v>
      </c>
      <c r="AH156" s="79">
        <v>26564</v>
      </c>
      <c r="AI156" s="79">
        <v>8660</v>
      </c>
      <c r="AJ156" s="79"/>
      <c r="AK156" s="79" t="s">
        <v>1376</v>
      </c>
      <c r="AL156" s="79"/>
      <c r="AM156" s="86" t="str">
        <f>HYPERLINK("https://t.co/IxINOOGzXZ")</f>
        <v>https://t.co/IxINOOGzXZ</v>
      </c>
      <c r="AN156" s="79"/>
      <c r="AO156" s="81">
        <v>41520.12572916667</v>
      </c>
      <c r="AP156" s="86" t="str">
        <f>HYPERLINK("https://pbs.twimg.com/profile_banners/1724154606/1378178843")</f>
        <v>https://pbs.twimg.com/profile_banners/1724154606/1378178843</v>
      </c>
      <c r="AQ156" s="79" t="b">
        <v>0</v>
      </c>
      <c r="AR156" s="79" t="b">
        <v>0</v>
      </c>
      <c r="AS156" s="79" t="b">
        <v>0</v>
      </c>
      <c r="AT156" s="79"/>
      <c r="AU156" s="79">
        <v>89</v>
      </c>
      <c r="AV156" s="86" t="str">
        <f>HYPERLINK("https://abs.twimg.com/images/themes/theme14/bg.gif")</f>
        <v>https://abs.twimg.com/images/themes/theme14/bg.gif</v>
      </c>
      <c r="AW156" s="79" t="b">
        <v>0</v>
      </c>
      <c r="AX156" s="79" t="s">
        <v>1458</v>
      </c>
      <c r="AY156" s="86" t="str">
        <f>HYPERLINK("https://twitter.com/lostejemedios")</f>
        <v>https://twitter.com/lostejemedios</v>
      </c>
      <c r="AZ156" s="79" t="s">
        <v>66</v>
      </c>
      <c r="BA156" s="79" t="str">
        <f>REPLACE(INDEX(GroupVertices[Group],MATCH(Vertices[[#This Row],[Vertex]],GroupVertices[Vertex],0)),1,1,"")</f>
        <v>8</v>
      </c>
      <c r="BB156" s="49">
        <v>0</v>
      </c>
      <c r="BC156" s="50">
        <v>0</v>
      </c>
      <c r="BD156" s="49">
        <v>0</v>
      </c>
      <c r="BE156" s="50">
        <v>0</v>
      </c>
      <c r="BF156" s="49">
        <v>0</v>
      </c>
      <c r="BG156" s="50">
        <v>0</v>
      </c>
      <c r="BH156" s="49">
        <v>34</v>
      </c>
      <c r="BI156" s="50">
        <v>100</v>
      </c>
      <c r="BJ156" s="49">
        <v>34</v>
      </c>
      <c r="BK156" s="49" t="s">
        <v>2148</v>
      </c>
      <c r="BL156" s="49" t="s">
        <v>2148</v>
      </c>
      <c r="BM156" s="49" t="s">
        <v>463</v>
      </c>
      <c r="BN156" s="49" t="s">
        <v>463</v>
      </c>
      <c r="BO156" s="49" t="s">
        <v>504</v>
      </c>
      <c r="BP156" s="49" t="s">
        <v>504</v>
      </c>
      <c r="BQ156" s="115" t="s">
        <v>2284</v>
      </c>
      <c r="BR156" s="115" t="s">
        <v>2284</v>
      </c>
      <c r="BS156" s="115" t="s">
        <v>2398</v>
      </c>
      <c r="BT156" s="115" t="s">
        <v>2398</v>
      </c>
      <c r="BU156" s="2"/>
      <c r="BV156" s="3"/>
      <c r="BW156" s="3"/>
      <c r="BX156" s="3"/>
      <c r="BY156" s="3"/>
    </row>
    <row r="157" spans="1:77" ht="15">
      <c r="A157" s="65" t="s">
        <v>347</v>
      </c>
      <c r="B157" s="66"/>
      <c r="C157" s="66"/>
      <c r="D157" s="67">
        <v>100</v>
      </c>
      <c r="E157" s="69"/>
      <c r="F157" s="103" t="str">
        <f>HYPERLINK("https://pbs.twimg.com/profile_images/1221961057842814977/NSPFxiPJ_normal.jpg")</f>
        <v>https://pbs.twimg.com/profile_images/1221961057842814977/NSPFxiPJ_normal.jpg</v>
      </c>
      <c r="G157" s="66"/>
      <c r="H157" s="70" t="s">
        <v>347</v>
      </c>
      <c r="I157" s="71"/>
      <c r="J157" s="71" t="s">
        <v>159</v>
      </c>
      <c r="K157" s="70" t="s">
        <v>1612</v>
      </c>
      <c r="L157" s="74">
        <v>1</v>
      </c>
      <c r="M157" s="75">
        <v>9524.1875</v>
      </c>
      <c r="N157" s="75">
        <v>1360.6234130859375</v>
      </c>
      <c r="O157" s="76"/>
      <c r="P157" s="77"/>
      <c r="Q157" s="77"/>
      <c r="R157" s="89"/>
      <c r="S157" s="49">
        <v>2</v>
      </c>
      <c r="T157" s="49">
        <v>1</v>
      </c>
      <c r="U157" s="50">
        <v>0</v>
      </c>
      <c r="V157" s="50">
        <v>1</v>
      </c>
      <c r="W157" s="50">
        <v>0</v>
      </c>
      <c r="X157" s="50">
        <v>1.298241</v>
      </c>
      <c r="Y157" s="50">
        <v>0</v>
      </c>
      <c r="Z157" s="50">
        <v>0</v>
      </c>
      <c r="AA157" s="72">
        <v>157</v>
      </c>
      <c r="AB157" s="72"/>
      <c r="AC157" s="73"/>
      <c r="AD157" s="79" t="s">
        <v>1080</v>
      </c>
      <c r="AE157" s="84" t="s">
        <v>1240</v>
      </c>
      <c r="AF157" s="79">
        <v>558</v>
      </c>
      <c r="AG157" s="79">
        <v>65</v>
      </c>
      <c r="AH157" s="79">
        <v>193</v>
      </c>
      <c r="AI157" s="79">
        <v>5</v>
      </c>
      <c r="AJ157" s="79"/>
      <c r="AK157" s="79" t="s">
        <v>1377</v>
      </c>
      <c r="AL157" s="79" t="s">
        <v>1454</v>
      </c>
      <c r="AM157" s="86" t="str">
        <f>HYPERLINK("https://t.co/uVuejWQ6mu")</f>
        <v>https://t.co/uVuejWQ6mu</v>
      </c>
      <c r="AN157" s="79"/>
      <c r="AO157" s="81">
        <v>43204.86675925926</v>
      </c>
      <c r="AP157" s="86" t="str">
        <f>HYPERLINK("https://pbs.twimg.com/profile_banners/985258422961491968/1552888710")</f>
        <v>https://pbs.twimg.com/profile_banners/985258422961491968/1552888710</v>
      </c>
      <c r="AQ157" s="79" t="b">
        <v>0</v>
      </c>
      <c r="AR157" s="79" t="b">
        <v>0</v>
      </c>
      <c r="AS157" s="79" t="b">
        <v>0</v>
      </c>
      <c r="AT157" s="79"/>
      <c r="AU157" s="79">
        <v>0</v>
      </c>
      <c r="AV157" s="86" t="str">
        <f>HYPERLINK("https://abs.twimg.com/images/themes/theme1/bg.png")</f>
        <v>https://abs.twimg.com/images/themes/theme1/bg.png</v>
      </c>
      <c r="AW157" s="79" t="b">
        <v>0</v>
      </c>
      <c r="AX157" s="79" t="s">
        <v>1458</v>
      </c>
      <c r="AY157" s="86" t="str">
        <f>HYPERLINK("https://twitter.com/jclopezlee")</f>
        <v>https://twitter.com/jclopezlee</v>
      </c>
      <c r="AZ157" s="79" t="s">
        <v>66</v>
      </c>
      <c r="BA157" s="79" t="str">
        <f>REPLACE(INDEX(GroupVertices[Group],MATCH(Vertices[[#This Row],[Vertex]],GroupVertices[Vertex],0)),1,1,"")</f>
        <v>21</v>
      </c>
      <c r="BB157" s="49">
        <v>0</v>
      </c>
      <c r="BC157" s="50">
        <v>0</v>
      </c>
      <c r="BD157" s="49">
        <v>0</v>
      </c>
      <c r="BE157" s="50">
        <v>0</v>
      </c>
      <c r="BF157" s="49">
        <v>0</v>
      </c>
      <c r="BG157" s="50">
        <v>0</v>
      </c>
      <c r="BH157" s="49">
        <v>15</v>
      </c>
      <c r="BI157" s="50">
        <v>100</v>
      </c>
      <c r="BJ157" s="49">
        <v>15</v>
      </c>
      <c r="BK157" s="49" t="s">
        <v>2195</v>
      </c>
      <c r="BL157" s="49" t="s">
        <v>2195</v>
      </c>
      <c r="BM157" s="49" t="s">
        <v>464</v>
      </c>
      <c r="BN157" s="49" t="s">
        <v>464</v>
      </c>
      <c r="BO157" s="49" t="s">
        <v>472</v>
      </c>
      <c r="BP157" s="49" t="s">
        <v>472</v>
      </c>
      <c r="BQ157" s="115" t="s">
        <v>2563</v>
      </c>
      <c r="BR157" s="115" t="s">
        <v>2563</v>
      </c>
      <c r="BS157" s="115" t="s">
        <v>2406</v>
      </c>
      <c r="BT157" s="115" t="s">
        <v>2406</v>
      </c>
      <c r="BU157" s="2"/>
      <c r="BV157" s="3"/>
      <c r="BW157" s="3"/>
      <c r="BX157" s="3"/>
      <c r="BY157" s="3"/>
    </row>
    <row r="158" spans="1:77" ht="15">
      <c r="A158" s="65" t="s">
        <v>348</v>
      </c>
      <c r="B158" s="66"/>
      <c r="C158" s="66"/>
      <c r="D158" s="67">
        <v>100</v>
      </c>
      <c r="E158" s="69"/>
      <c r="F158" s="103" t="str">
        <f>HYPERLINK("https://pbs.twimg.com/profile_images/1441128595494109192/2g77_HKE_normal.jpg")</f>
        <v>https://pbs.twimg.com/profile_images/1441128595494109192/2g77_HKE_normal.jpg</v>
      </c>
      <c r="G158" s="66"/>
      <c r="H158" s="70" t="s">
        <v>348</v>
      </c>
      <c r="I158" s="71"/>
      <c r="J158" s="71" t="s">
        <v>159</v>
      </c>
      <c r="K158" s="70" t="s">
        <v>1613</v>
      </c>
      <c r="L158" s="74">
        <v>1</v>
      </c>
      <c r="M158" s="75">
        <v>9524.1875</v>
      </c>
      <c r="N158" s="75">
        <v>664.490478515625</v>
      </c>
      <c r="O158" s="76"/>
      <c r="P158" s="77"/>
      <c r="Q158" s="77"/>
      <c r="R158" s="89"/>
      <c r="S158" s="49">
        <v>0</v>
      </c>
      <c r="T158" s="49">
        <v>1</v>
      </c>
      <c r="U158" s="50">
        <v>0</v>
      </c>
      <c r="V158" s="50">
        <v>1</v>
      </c>
      <c r="W158" s="50">
        <v>0</v>
      </c>
      <c r="X158" s="50">
        <v>0.701752</v>
      </c>
      <c r="Y158" s="50">
        <v>0</v>
      </c>
      <c r="Z158" s="50">
        <v>0</v>
      </c>
      <c r="AA158" s="72">
        <v>158</v>
      </c>
      <c r="AB158" s="72"/>
      <c r="AC158" s="73"/>
      <c r="AD158" s="79" t="s">
        <v>1081</v>
      </c>
      <c r="AE158" s="84" t="s">
        <v>1241</v>
      </c>
      <c r="AF158" s="79">
        <v>20</v>
      </c>
      <c r="AG158" s="79">
        <v>0</v>
      </c>
      <c r="AH158" s="79">
        <v>67</v>
      </c>
      <c r="AI158" s="79">
        <v>51</v>
      </c>
      <c r="AJ158" s="79"/>
      <c r="AK158" s="79" t="s">
        <v>1378</v>
      </c>
      <c r="AL158" s="79" t="s">
        <v>1455</v>
      </c>
      <c r="AM158" s="79"/>
      <c r="AN158" s="79"/>
      <c r="AO158" s="81">
        <v>44462.8234375</v>
      </c>
      <c r="AP158" s="86" t="str">
        <f>HYPERLINK("https://pbs.twimg.com/profile_banners/1441126447825895432/1632429968")</f>
        <v>https://pbs.twimg.com/profile_banners/1441126447825895432/1632429968</v>
      </c>
      <c r="AQ158" s="79" t="b">
        <v>1</v>
      </c>
      <c r="AR158" s="79" t="b">
        <v>0</v>
      </c>
      <c r="AS158" s="79" t="b">
        <v>0</v>
      </c>
      <c r="AT158" s="79"/>
      <c r="AU158" s="79">
        <v>0</v>
      </c>
      <c r="AV158" s="79"/>
      <c r="AW158" s="79" t="b">
        <v>0</v>
      </c>
      <c r="AX158" s="79" t="s">
        <v>1458</v>
      </c>
      <c r="AY158" s="86" t="str">
        <f>HYPERLINK("https://twitter.com/saraeli62035609")</f>
        <v>https://twitter.com/saraeli62035609</v>
      </c>
      <c r="AZ158" s="79" t="s">
        <v>66</v>
      </c>
      <c r="BA158" s="79" t="str">
        <f>REPLACE(INDEX(GroupVertices[Group],MATCH(Vertices[[#This Row],[Vertex]],GroupVertices[Vertex],0)),1,1,"")</f>
        <v>21</v>
      </c>
      <c r="BB158" s="49">
        <v>0</v>
      </c>
      <c r="BC158" s="50">
        <v>0</v>
      </c>
      <c r="BD158" s="49">
        <v>0</v>
      </c>
      <c r="BE158" s="50">
        <v>0</v>
      </c>
      <c r="BF158" s="49">
        <v>0</v>
      </c>
      <c r="BG158" s="50">
        <v>0</v>
      </c>
      <c r="BH158" s="49">
        <v>15</v>
      </c>
      <c r="BI158" s="50">
        <v>100</v>
      </c>
      <c r="BJ158" s="49">
        <v>15</v>
      </c>
      <c r="BK158" s="49" t="s">
        <v>2195</v>
      </c>
      <c r="BL158" s="49" t="s">
        <v>2195</v>
      </c>
      <c r="BM158" s="49" t="s">
        <v>464</v>
      </c>
      <c r="BN158" s="49" t="s">
        <v>464</v>
      </c>
      <c r="BO158" s="49" t="s">
        <v>472</v>
      </c>
      <c r="BP158" s="49" t="s">
        <v>472</v>
      </c>
      <c r="BQ158" s="115" t="s">
        <v>2563</v>
      </c>
      <c r="BR158" s="115" t="s">
        <v>2563</v>
      </c>
      <c r="BS158" s="115" t="s">
        <v>2406</v>
      </c>
      <c r="BT158" s="115" t="s">
        <v>2406</v>
      </c>
      <c r="BU158" s="2"/>
      <c r="BV158" s="3"/>
      <c r="BW158" s="3"/>
      <c r="BX158" s="3"/>
      <c r="BY158" s="3"/>
    </row>
    <row r="159" spans="1:77" ht="15">
      <c r="A159" s="65" t="s">
        <v>349</v>
      </c>
      <c r="B159" s="66"/>
      <c r="C159" s="66"/>
      <c r="D159" s="67">
        <v>100</v>
      </c>
      <c r="E159" s="69"/>
      <c r="F159" s="103" t="str">
        <f>HYPERLINK("https://pbs.twimg.com/profile_images/1207165828501606401/RZq7r7Go_normal.jpg")</f>
        <v>https://pbs.twimg.com/profile_images/1207165828501606401/RZq7r7Go_normal.jpg</v>
      </c>
      <c r="G159" s="66"/>
      <c r="H159" s="70" t="s">
        <v>349</v>
      </c>
      <c r="I159" s="71"/>
      <c r="J159" s="71" t="s">
        <v>159</v>
      </c>
      <c r="K159" s="70" t="s">
        <v>1614</v>
      </c>
      <c r="L159" s="74">
        <v>1</v>
      </c>
      <c r="M159" s="75">
        <v>8791.0205078125</v>
      </c>
      <c r="N159" s="75">
        <v>1439.7293701171875</v>
      </c>
      <c r="O159" s="76"/>
      <c r="P159" s="77"/>
      <c r="Q159" s="77"/>
      <c r="R159" s="89"/>
      <c r="S159" s="49">
        <v>0</v>
      </c>
      <c r="T159" s="49">
        <v>1</v>
      </c>
      <c r="U159" s="50">
        <v>0</v>
      </c>
      <c r="V159" s="50">
        <v>1</v>
      </c>
      <c r="W159" s="50">
        <v>0</v>
      </c>
      <c r="X159" s="50">
        <v>0.999997</v>
      </c>
      <c r="Y159" s="50">
        <v>0</v>
      </c>
      <c r="Z159" s="50">
        <v>0</v>
      </c>
      <c r="AA159" s="72">
        <v>159</v>
      </c>
      <c r="AB159" s="72"/>
      <c r="AC159" s="73"/>
      <c r="AD159" s="79" t="s">
        <v>1082</v>
      </c>
      <c r="AE159" s="84" t="s">
        <v>1242</v>
      </c>
      <c r="AF159" s="79">
        <v>181</v>
      </c>
      <c r="AG159" s="79">
        <v>4493</v>
      </c>
      <c r="AH159" s="79">
        <v>1928</v>
      </c>
      <c r="AI159" s="79">
        <v>2699</v>
      </c>
      <c r="AJ159" s="79"/>
      <c r="AK159" s="79" t="s">
        <v>1379</v>
      </c>
      <c r="AL159" s="79"/>
      <c r="AM159" s="79"/>
      <c r="AN159" s="79"/>
      <c r="AO159" s="81">
        <v>41590.22702546296</v>
      </c>
      <c r="AP159" s="86" t="str">
        <f>HYPERLINK("https://pbs.twimg.com/profile_banners/2189674280/1597746305")</f>
        <v>https://pbs.twimg.com/profile_banners/2189674280/1597746305</v>
      </c>
      <c r="AQ159" s="79" t="b">
        <v>1</v>
      </c>
      <c r="AR159" s="79" t="b">
        <v>0</v>
      </c>
      <c r="AS159" s="79" t="b">
        <v>0</v>
      </c>
      <c r="AT159" s="79"/>
      <c r="AU159" s="79">
        <v>31</v>
      </c>
      <c r="AV159" s="86" t="str">
        <f>HYPERLINK("https://abs.twimg.com/images/themes/theme1/bg.png")</f>
        <v>https://abs.twimg.com/images/themes/theme1/bg.png</v>
      </c>
      <c r="AW159" s="79" t="b">
        <v>0</v>
      </c>
      <c r="AX159" s="79" t="s">
        <v>1458</v>
      </c>
      <c r="AY159" s="86" t="str">
        <f>HYPERLINK("https://twitter.com/p3drohz45")</f>
        <v>https://twitter.com/p3drohz45</v>
      </c>
      <c r="AZ159" s="79" t="s">
        <v>66</v>
      </c>
      <c r="BA159" s="79" t="str">
        <f>REPLACE(INDEX(GroupVertices[Group],MATCH(Vertices[[#This Row],[Vertex]],GroupVertices[Vertex],0)),1,1,"")</f>
        <v>20</v>
      </c>
      <c r="BB159" s="49">
        <v>0</v>
      </c>
      <c r="BC159" s="50">
        <v>0</v>
      </c>
      <c r="BD159" s="49">
        <v>0</v>
      </c>
      <c r="BE159" s="50">
        <v>0</v>
      </c>
      <c r="BF159" s="49">
        <v>0</v>
      </c>
      <c r="BG159" s="50">
        <v>0</v>
      </c>
      <c r="BH159" s="49">
        <v>27</v>
      </c>
      <c r="BI159" s="50">
        <v>100</v>
      </c>
      <c r="BJ159" s="49">
        <v>27</v>
      </c>
      <c r="BK159" s="49"/>
      <c r="BL159" s="49"/>
      <c r="BM159" s="49"/>
      <c r="BN159" s="49"/>
      <c r="BO159" s="49" t="s">
        <v>509</v>
      </c>
      <c r="BP159" s="49" t="s">
        <v>509</v>
      </c>
      <c r="BQ159" s="115" t="s">
        <v>2564</v>
      </c>
      <c r="BR159" s="115" t="s">
        <v>2564</v>
      </c>
      <c r="BS159" s="115" t="s">
        <v>2610</v>
      </c>
      <c r="BT159" s="115" t="s">
        <v>2610</v>
      </c>
      <c r="BU159" s="2"/>
      <c r="BV159" s="3"/>
      <c r="BW159" s="3"/>
      <c r="BX159" s="3"/>
      <c r="BY159" s="3"/>
    </row>
    <row r="160" spans="1:77" ht="15">
      <c r="A160" s="65" t="s">
        <v>379</v>
      </c>
      <c r="B160" s="66"/>
      <c r="C160" s="66"/>
      <c r="D160" s="67">
        <v>100</v>
      </c>
      <c r="E160" s="69"/>
      <c r="F160" s="103" t="str">
        <f>HYPERLINK("https://pbs.twimg.com/profile_images/1300075757880905731/goGbgQj-_normal.jpg")</f>
        <v>https://pbs.twimg.com/profile_images/1300075757880905731/goGbgQj-_normal.jpg</v>
      </c>
      <c r="G160" s="66"/>
      <c r="H160" s="70" t="s">
        <v>379</v>
      </c>
      <c r="I160" s="71"/>
      <c r="J160" s="71" t="s">
        <v>159</v>
      </c>
      <c r="K160" s="70" t="s">
        <v>1615</v>
      </c>
      <c r="L160" s="74">
        <v>1</v>
      </c>
      <c r="M160" s="75">
        <v>8274.3125</v>
      </c>
      <c r="N160" s="75">
        <v>1439.7293701171875</v>
      </c>
      <c r="O160" s="76"/>
      <c r="P160" s="77"/>
      <c r="Q160" s="77"/>
      <c r="R160" s="89"/>
      <c r="S160" s="49">
        <v>1</v>
      </c>
      <c r="T160" s="49">
        <v>0</v>
      </c>
      <c r="U160" s="50">
        <v>0</v>
      </c>
      <c r="V160" s="50">
        <v>1</v>
      </c>
      <c r="W160" s="50">
        <v>0</v>
      </c>
      <c r="X160" s="50">
        <v>0.999997</v>
      </c>
      <c r="Y160" s="50">
        <v>0</v>
      </c>
      <c r="Z160" s="50">
        <v>0</v>
      </c>
      <c r="AA160" s="72">
        <v>160</v>
      </c>
      <c r="AB160" s="72"/>
      <c r="AC160" s="73"/>
      <c r="AD160" s="79" t="s">
        <v>1083</v>
      </c>
      <c r="AE160" s="84" t="s">
        <v>878</v>
      </c>
      <c r="AF160" s="79">
        <v>999</v>
      </c>
      <c r="AG160" s="79">
        <v>87686</v>
      </c>
      <c r="AH160" s="79">
        <v>88378</v>
      </c>
      <c r="AI160" s="79">
        <v>29878</v>
      </c>
      <c r="AJ160" s="79"/>
      <c r="AK160" s="79" t="s">
        <v>1380</v>
      </c>
      <c r="AL160" s="79"/>
      <c r="AM160" s="79"/>
      <c r="AN160" s="79"/>
      <c r="AO160" s="81">
        <v>40091.873125</v>
      </c>
      <c r="AP160" s="86" t="str">
        <f>HYPERLINK("https://pbs.twimg.com/profile_banners/80124284/1598765417")</f>
        <v>https://pbs.twimg.com/profile_banners/80124284/1598765417</v>
      </c>
      <c r="AQ160" s="79" t="b">
        <v>1</v>
      </c>
      <c r="AR160" s="79" t="b">
        <v>0</v>
      </c>
      <c r="AS160" s="79" t="b">
        <v>1</v>
      </c>
      <c r="AT160" s="79"/>
      <c r="AU160" s="79">
        <v>780</v>
      </c>
      <c r="AV160" s="86" t="str">
        <f>HYPERLINK("https://abs.twimg.com/images/themes/theme1/bg.png")</f>
        <v>https://abs.twimg.com/images/themes/theme1/bg.png</v>
      </c>
      <c r="AW160" s="79" t="b">
        <v>1</v>
      </c>
      <c r="AX160" s="79" t="s">
        <v>1458</v>
      </c>
      <c r="AY160" s="86" t="str">
        <f>HYPERLINK("https://twitter.com/mlopezsanmartin")</f>
        <v>https://twitter.com/mlopezsanmartin</v>
      </c>
      <c r="AZ160" s="79" t="s">
        <v>65</v>
      </c>
      <c r="BA160" s="79" t="str">
        <f>REPLACE(INDEX(GroupVertices[Group],MATCH(Vertices[[#This Row],[Vertex]],GroupVertices[Vertex],0)),1,1,"")</f>
        <v>20</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5" t="s">
        <v>350</v>
      </c>
      <c r="B161" s="66"/>
      <c r="C161" s="66"/>
      <c r="D161" s="67">
        <v>100</v>
      </c>
      <c r="E161" s="69"/>
      <c r="F161" s="103" t="str">
        <f>HYPERLINK("https://pbs.twimg.com/profile_images/1424159813970317317/yDd8gpxn_normal.jpg")</f>
        <v>https://pbs.twimg.com/profile_images/1424159813970317317/yDd8gpxn_normal.jpg</v>
      </c>
      <c r="G161" s="66"/>
      <c r="H161" s="70" t="s">
        <v>350</v>
      </c>
      <c r="I161" s="71"/>
      <c r="J161" s="71" t="s">
        <v>159</v>
      </c>
      <c r="K161" s="70" t="s">
        <v>1616</v>
      </c>
      <c r="L161" s="74">
        <v>1</v>
      </c>
      <c r="M161" s="75">
        <v>5334.662109375</v>
      </c>
      <c r="N161" s="75">
        <v>4562.94873046875</v>
      </c>
      <c r="O161" s="76"/>
      <c r="P161" s="77"/>
      <c r="Q161" s="77"/>
      <c r="R161" s="89"/>
      <c r="S161" s="49">
        <v>0</v>
      </c>
      <c r="T161" s="49">
        <v>1</v>
      </c>
      <c r="U161" s="50">
        <v>0</v>
      </c>
      <c r="V161" s="50">
        <v>0.111111</v>
      </c>
      <c r="W161" s="50">
        <v>0</v>
      </c>
      <c r="X161" s="50">
        <v>0.585364</v>
      </c>
      <c r="Y161" s="50">
        <v>0</v>
      </c>
      <c r="Z161" s="50">
        <v>0</v>
      </c>
      <c r="AA161" s="72">
        <v>161</v>
      </c>
      <c r="AB161" s="72"/>
      <c r="AC161" s="73"/>
      <c r="AD161" s="79" t="s">
        <v>1084</v>
      </c>
      <c r="AE161" s="84" t="s">
        <v>1243</v>
      </c>
      <c r="AF161" s="79">
        <v>818</v>
      </c>
      <c r="AG161" s="79">
        <v>181</v>
      </c>
      <c r="AH161" s="79">
        <v>3816</v>
      </c>
      <c r="AI161" s="79">
        <v>3439</v>
      </c>
      <c r="AJ161" s="79"/>
      <c r="AK161" s="79" t="s">
        <v>1381</v>
      </c>
      <c r="AL161" s="79"/>
      <c r="AM161" s="86" t="str">
        <f>HYPERLINK("https://t.co/QPDhK5ikZb")</f>
        <v>https://t.co/QPDhK5ikZb</v>
      </c>
      <c r="AN161" s="79"/>
      <c r="AO161" s="81">
        <v>44257.330925925926</v>
      </c>
      <c r="AP161" s="86" t="str">
        <f>HYPERLINK("https://pbs.twimg.com/profile_banners/1366658602606465025/1628381134")</f>
        <v>https://pbs.twimg.com/profile_banners/1366658602606465025/1628381134</v>
      </c>
      <c r="AQ161" s="79" t="b">
        <v>1</v>
      </c>
      <c r="AR161" s="79" t="b">
        <v>0</v>
      </c>
      <c r="AS161" s="79" t="b">
        <v>0</v>
      </c>
      <c r="AT161" s="79"/>
      <c r="AU161" s="79">
        <v>1</v>
      </c>
      <c r="AV161" s="79"/>
      <c r="AW161" s="79" t="b">
        <v>0</v>
      </c>
      <c r="AX161" s="79" t="s">
        <v>1458</v>
      </c>
      <c r="AY161" s="86" t="str">
        <f>HYPERLINK("https://twitter.com/adrianoespa")</f>
        <v>https://twitter.com/adrianoespa</v>
      </c>
      <c r="AZ161" s="79" t="s">
        <v>66</v>
      </c>
      <c r="BA161" s="79" t="str">
        <f>REPLACE(INDEX(GroupVertices[Group],MATCH(Vertices[[#This Row],[Vertex]],GroupVertices[Vertex],0)),1,1,"")</f>
        <v>8</v>
      </c>
      <c r="BB161" s="49">
        <v>0</v>
      </c>
      <c r="BC161" s="50">
        <v>0</v>
      </c>
      <c r="BD161" s="49">
        <v>0</v>
      </c>
      <c r="BE161" s="50">
        <v>0</v>
      </c>
      <c r="BF161" s="49">
        <v>0</v>
      </c>
      <c r="BG161" s="50">
        <v>0</v>
      </c>
      <c r="BH161" s="49">
        <v>34</v>
      </c>
      <c r="BI161" s="50">
        <v>100</v>
      </c>
      <c r="BJ161" s="49">
        <v>34</v>
      </c>
      <c r="BK161" s="49" t="s">
        <v>2148</v>
      </c>
      <c r="BL161" s="49" t="s">
        <v>2148</v>
      </c>
      <c r="BM161" s="49" t="s">
        <v>463</v>
      </c>
      <c r="BN161" s="49" t="s">
        <v>463</v>
      </c>
      <c r="BO161" s="49" t="s">
        <v>504</v>
      </c>
      <c r="BP161" s="49" t="s">
        <v>504</v>
      </c>
      <c r="BQ161" s="115" t="s">
        <v>2284</v>
      </c>
      <c r="BR161" s="115" t="s">
        <v>2284</v>
      </c>
      <c r="BS161" s="115" t="s">
        <v>2398</v>
      </c>
      <c r="BT161" s="115" t="s">
        <v>2398</v>
      </c>
      <c r="BU161" s="2"/>
      <c r="BV161" s="3"/>
      <c r="BW161" s="3"/>
      <c r="BX161" s="3"/>
      <c r="BY161" s="3"/>
    </row>
    <row r="162" spans="1:77" ht="15">
      <c r="A162" s="65" t="s">
        <v>352</v>
      </c>
      <c r="B162" s="66"/>
      <c r="C162" s="66"/>
      <c r="D162" s="67">
        <v>100</v>
      </c>
      <c r="E162" s="69"/>
      <c r="F162" s="103" t="str">
        <f>HYPERLINK("https://pbs.twimg.com/profile_images/1049916694708346880/6Ey78GLB_normal.jpg")</f>
        <v>https://pbs.twimg.com/profile_images/1049916694708346880/6Ey78GLB_normal.jpg</v>
      </c>
      <c r="G162" s="66"/>
      <c r="H162" s="70" t="s">
        <v>352</v>
      </c>
      <c r="I162" s="71"/>
      <c r="J162" s="71" t="s">
        <v>159</v>
      </c>
      <c r="K162" s="70" t="s">
        <v>1617</v>
      </c>
      <c r="L162" s="74">
        <v>1</v>
      </c>
      <c r="M162" s="75">
        <v>3910.223388671875</v>
      </c>
      <c r="N162" s="75">
        <v>4667.423828125</v>
      </c>
      <c r="O162" s="76"/>
      <c r="P162" s="77"/>
      <c r="Q162" s="77"/>
      <c r="R162" s="89"/>
      <c r="S162" s="49">
        <v>0</v>
      </c>
      <c r="T162" s="49">
        <v>1</v>
      </c>
      <c r="U162" s="50">
        <v>0</v>
      </c>
      <c r="V162" s="50">
        <v>0.111111</v>
      </c>
      <c r="W162" s="50">
        <v>0</v>
      </c>
      <c r="X162" s="50">
        <v>0.585364</v>
      </c>
      <c r="Y162" s="50">
        <v>0</v>
      </c>
      <c r="Z162" s="50">
        <v>0</v>
      </c>
      <c r="AA162" s="72">
        <v>162</v>
      </c>
      <c r="AB162" s="72"/>
      <c r="AC162" s="73"/>
      <c r="AD162" s="79" t="s">
        <v>1085</v>
      </c>
      <c r="AE162" s="84" t="s">
        <v>1244</v>
      </c>
      <c r="AF162" s="79">
        <v>536</v>
      </c>
      <c r="AG162" s="79">
        <v>405</v>
      </c>
      <c r="AH162" s="79">
        <v>2846</v>
      </c>
      <c r="AI162" s="79">
        <v>2302</v>
      </c>
      <c r="AJ162" s="79"/>
      <c r="AK162" s="79" t="s">
        <v>1382</v>
      </c>
      <c r="AL162" s="79" t="s">
        <v>1456</v>
      </c>
      <c r="AM162" s="86" t="str">
        <f>HYPERLINK("https://t.co/if9wo3Ay4U")</f>
        <v>https://t.co/if9wo3Ay4U</v>
      </c>
      <c r="AN162" s="79"/>
      <c r="AO162" s="81">
        <v>43383.279074074075</v>
      </c>
      <c r="AP162" s="86" t="str">
        <f>HYPERLINK("https://pbs.twimg.com/profile_banners/1049912881007996929/1539154144")</f>
        <v>https://pbs.twimg.com/profile_banners/1049912881007996929/1539154144</v>
      </c>
      <c r="AQ162" s="79" t="b">
        <v>1</v>
      </c>
      <c r="AR162" s="79" t="b">
        <v>0</v>
      </c>
      <c r="AS162" s="79" t="b">
        <v>0</v>
      </c>
      <c r="AT162" s="79"/>
      <c r="AU162" s="79">
        <v>1</v>
      </c>
      <c r="AV162" s="79"/>
      <c r="AW162" s="79" t="b">
        <v>0</v>
      </c>
      <c r="AX162" s="79" t="s">
        <v>1458</v>
      </c>
      <c r="AY162" s="86" t="str">
        <f>HYPERLINK("https://twitter.com/miradsalmargen1")</f>
        <v>https://twitter.com/miradsalmargen1</v>
      </c>
      <c r="AZ162" s="79" t="s">
        <v>66</v>
      </c>
      <c r="BA162" s="79" t="str">
        <f>REPLACE(INDEX(GroupVertices[Group],MATCH(Vertices[[#This Row],[Vertex]],GroupVertices[Vertex],0)),1,1,"")</f>
        <v>8</v>
      </c>
      <c r="BB162" s="49">
        <v>0</v>
      </c>
      <c r="BC162" s="50">
        <v>0</v>
      </c>
      <c r="BD162" s="49">
        <v>0</v>
      </c>
      <c r="BE162" s="50">
        <v>0</v>
      </c>
      <c r="BF162" s="49">
        <v>0</v>
      </c>
      <c r="BG162" s="50">
        <v>0</v>
      </c>
      <c r="BH162" s="49">
        <v>34</v>
      </c>
      <c r="BI162" s="50">
        <v>100</v>
      </c>
      <c r="BJ162" s="49">
        <v>34</v>
      </c>
      <c r="BK162" s="49" t="s">
        <v>2148</v>
      </c>
      <c r="BL162" s="49" t="s">
        <v>2148</v>
      </c>
      <c r="BM162" s="49" t="s">
        <v>463</v>
      </c>
      <c r="BN162" s="49" t="s">
        <v>463</v>
      </c>
      <c r="BO162" s="49" t="s">
        <v>504</v>
      </c>
      <c r="BP162" s="49" t="s">
        <v>504</v>
      </c>
      <c r="BQ162" s="115" t="s">
        <v>2284</v>
      </c>
      <c r="BR162" s="115" t="s">
        <v>2284</v>
      </c>
      <c r="BS162" s="115" t="s">
        <v>2398</v>
      </c>
      <c r="BT162" s="115" t="s">
        <v>2398</v>
      </c>
      <c r="BU162" s="2"/>
      <c r="BV162" s="3"/>
      <c r="BW162" s="3"/>
      <c r="BX162" s="3"/>
      <c r="BY162" s="3"/>
    </row>
    <row r="163" spans="1:77" ht="15">
      <c r="A163" s="65" t="s">
        <v>353</v>
      </c>
      <c r="B163" s="66"/>
      <c r="C163" s="66"/>
      <c r="D163" s="67">
        <v>100</v>
      </c>
      <c r="E163" s="69"/>
      <c r="F163" s="103" t="str">
        <f>HYPERLINK("https://pbs.twimg.com/profile_images/1273677951603744772/CJQe1t08_normal.jpg")</f>
        <v>https://pbs.twimg.com/profile_images/1273677951603744772/CJQe1t08_normal.jpg</v>
      </c>
      <c r="G163" s="66"/>
      <c r="H163" s="70" t="s">
        <v>353</v>
      </c>
      <c r="I163" s="71"/>
      <c r="J163" s="71" t="s">
        <v>159</v>
      </c>
      <c r="K163" s="70" t="s">
        <v>1618</v>
      </c>
      <c r="L163" s="74">
        <v>1</v>
      </c>
      <c r="M163" s="75">
        <v>8379.0498046875</v>
      </c>
      <c r="N163" s="75">
        <v>2238.7001953125</v>
      </c>
      <c r="O163" s="76"/>
      <c r="P163" s="77"/>
      <c r="Q163" s="77"/>
      <c r="R163" s="89"/>
      <c r="S163" s="49">
        <v>0</v>
      </c>
      <c r="T163" s="49">
        <v>1</v>
      </c>
      <c r="U163" s="50">
        <v>0</v>
      </c>
      <c r="V163" s="50">
        <v>1</v>
      </c>
      <c r="W163" s="50">
        <v>0</v>
      </c>
      <c r="X163" s="50">
        <v>0.999997</v>
      </c>
      <c r="Y163" s="50">
        <v>0</v>
      </c>
      <c r="Z163" s="50">
        <v>0</v>
      </c>
      <c r="AA163" s="72">
        <v>163</v>
      </c>
      <c r="AB163" s="72"/>
      <c r="AC163" s="73"/>
      <c r="AD163" s="79" t="s">
        <v>1086</v>
      </c>
      <c r="AE163" s="84" t="s">
        <v>1245</v>
      </c>
      <c r="AF163" s="79">
        <v>940</v>
      </c>
      <c r="AG163" s="79">
        <v>815</v>
      </c>
      <c r="AH163" s="79">
        <v>25757</v>
      </c>
      <c r="AI163" s="79">
        <v>33355</v>
      </c>
      <c r="AJ163" s="79"/>
      <c r="AK163" s="79" t="s">
        <v>1383</v>
      </c>
      <c r="AL163" s="79"/>
      <c r="AM163" s="79"/>
      <c r="AN163" s="79"/>
      <c r="AO163" s="81">
        <v>43481.99422453704</v>
      </c>
      <c r="AP163" s="86" t="str">
        <f>HYPERLINK("https://pbs.twimg.com/profile_banners/1085686055506980864/1632445214")</f>
        <v>https://pbs.twimg.com/profile_banners/1085686055506980864/1632445214</v>
      </c>
      <c r="AQ163" s="79" t="b">
        <v>1</v>
      </c>
      <c r="AR163" s="79" t="b">
        <v>0</v>
      </c>
      <c r="AS163" s="79" t="b">
        <v>0</v>
      </c>
      <c r="AT163" s="79"/>
      <c r="AU163" s="79">
        <v>2</v>
      </c>
      <c r="AV163" s="79"/>
      <c r="AW163" s="79" t="b">
        <v>0</v>
      </c>
      <c r="AX163" s="79" t="s">
        <v>1458</v>
      </c>
      <c r="AY163" s="86" t="str">
        <f>HYPERLINK("https://twitter.com/the_watcher_man")</f>
        <v>https://twitter.com/the_watcher_man</v>
      </c>
      <c r="AZ163" s="79" t="s">
        <v>66</v>
      </c>
      <c r="BA163" s="79" t="str">
        <f>REPLACE(INDEX(GroupVertices[Group],MATCH(Vertices[[#This Row],[Vertex]],GroupVertices[Vertex],0)),1,1,"")</f>
        <v>19</v>
      </c>
      <c r="BB163" s="49">
        <v>0</v>
      </c>
      <c r="BC163" s="50">
        <v>0</v>
      </c>
      <c r="BD163" s="49">
        <v>0</v>
      </c>
      <c r="BE163" s="50">
        <v>0</v>
      </c>
      <c r="BF163" s="49">
        <v>0</v>
      </c>
      <c r="BG163" s="50">
        <v>0</v>
      </c>
      <c r="BH163" s="49">
        <v>8</v>
      </c>
      <c r="BI163" s="50">
        <v>100</v>
      </c>
      <c r="BJ163" s="49">
        <v>8</v>
      </c>
      <c r="BK163" s="49"/>
      <c r="BL163" s="49"/>
      <c r="BM163" s="49"/>
      <c r="BN163" s="49"/>
      <c r="BO163" s="49" t="s">
        <v>510</v>
      </c>
      <c r="BP163" s="49" t="s">
        <v>510</v>
      </c>
      <c r="BQ163" s="115" t="s">
        <v>2565</v>
      </c>
      <c r="BR163" s="115" t="s">
        <v>2565</v>
      </c>
      <c r="BS163" s="115" t="s">
        <v>2611</v>
      </c>
      <c r="BT163" s="115" t="s">
        <v>2611</v>
      </c>
      <c r="BU163" s="2"/>
      <c r="BV163" s="3"/>
      <c r="BW163" s="3"/>
      <c r="BX163" s="3"/>
      <c r="BY163" s="3"/>
    </row>
    <row r="164" spans="1:77" ht="15">
      <c r="A164" s="65" t="s">
        <v>380</v>
      </c>
      <c r="B164" s="66"/>
      <c r="C164" s="66"/>
      <c r="D164" s="67">
        <v>100</v>
      </c>
      <c r="E164" s="69"/>
      <c r="F164" s="103" t="str">
        <f>HYPERLINK("https://pbs.twimg.com/profile_images/1267497856778240001/npUcyqTx_normal.jpg")</f>
        <v>https://pbs.twimg.com/profile_images/1267497856778240001/npUcyqTx_normal.jpg</v>
      </c>
      <c r="G164" s="66"/>
      <c r="H164" s="70" t="s">
        <v>380</v>
      </c>
      <c r="I164" s="71"/>
      <c r="J164" s="71" t="s">
        <v>159</v>
      </c>
      <c r="K164" s="70" t="s">
        <v>1619</v>
      </c>
      <c r="L164" s="74">
        <v>1</v>
      </c>
      <c r="M164" s="75">
        <v>8379.0498046875</v>
      </c>
      <c r="N164" s="75">
        <v>2665.87255859375</v>
      </c>
      <c r="O164" s="76"/>
      <c r="P164" s="77"/>
      <c r="Q164" s="77"/>
      <c r="R164" s="89"/>
      <c r="S164" s="49">
        <v>1</v>
      </c>
      <c r="T164" s="49">
        <v>0</v>
      </c>
      <c r="U164" s="50">
        <v>0</v>
      </c>
      <c r="V164" s="50">
        <v>1</v>
      </c>
      <c r="W164" s="50">
        <v>0</v>
      </c>
      <c r="X164" s="50">
        <v>0.999997</v>
      </c>
      <c r="Y164" s="50">
        <v>0</v>
      </c>
      <c r="Z164" s="50">
        <v>0</v>
      </c>
      <c r="AA164" s="72">
        <v>164</v>
      </c>
      <c r="AB164" s="72"/>
      <c r="AC164" s="73"/>
      <c r="AD164" s="79" t="s">
        <v>1087</v>
      </c>
      <c r="AE164" s="84" t="s">
        <v>879</v>
      </c>
      <c r="AF164" s="79">
        <v>67</v>
      </c>
      <c r="AG164" s="79">
        <v>3497083</v>
      </c>
      <c r="AH164" s="79">
        <v>726969</v>
      </c>
      <c r="AI164" s="79">
        <v>214</v>
      </c>
      <c r="AJ164" s="79"/>
      <c r="AK164" s="79" t="s">
        <v>1384</v>
      </c>
      <c r="AL164" s="79"/>
      <c r="AM164" s="86" t="str">
        <f>HYPERLINK("https://t.co/lo2KB3neoz")</f>
        <v>https://t.co/lo2KB3neoz</v>
      </c>
      <c r="AN164" s="79"/>
      <c r="AO164" s="81">
        <v>40178.39810185185</v>
      </c>
      <c r="AP164" s="86" t="str">
        <f>HYPERLINK("https://pbs.twimg.com/profile_banners/100731315/1613041761")</f>
        <v>https://pbs.twimg.com/profile_banners/100731315/1613041761</v>
      </c>
      <c r="AQ164" s="79" t="b">
        <v>0</v>
      </c>
      <c r="AR164" s="79" t="b">
        <v>0</v>
      </c>
      <c r="AS164" s="79" t="b">
        <v>1</v>
      </c>
      <c r="AT164" s="79"/>
      <c r="AU164" s="79">
        <v>12212</v>
      </c>
      <c r="AV164" s="86" t="str">
        <f>HYPERLINK("https://abs.twimg.com/images/themes/theme1/bg.png")</f>
        <v>https://abs.twimg.com/images/themes/theme1/bg.png</v>
      </c>
      <c r="AW164" s="79" t="b">
        <v>1</v>
      </c>
      <c r="AX164" s="79" t="s">
        <v>1458</v>
      </c>
      <c r="AY164" s="86" t="str">
        <f>HYPERLINK("https://twitter.com/actualidadrt")</f>
        <v>https://twitter.com/actualidadrt</v>
      </c>
      <c r="AZ164" s="79" t="s">
        <v>65</v>
      </c>
      <c r="BA164" s="79" t="str">
        <f>REPLACE(INDEX(GroupVertices[Group],MATCH(Vertices[[#This Row],[Vertex]],GroupVertices[Vertex],0)),1,1,"")</f>
        <v>19</v>
      </c>
      <c r="BB164" s="49"/>
      <c r="BC164" s="50"/>
      <c r="BD164" s="49"/>
      <c r="BE164" s="50"/>
      <c r="BF164" s="49"/>
      <c r="BG164" s="50"/>
      <c r="BH164" s="49"/>
      <c r="BI164" s="50"/>
      <c r="BJ164" s="49"/>
      <c r="BK164" s="49"/>
      <c r="BL164" s="49"/>
      <c r="BM164" s="49"/>
      <c r="BN164" s="49"/>
      <c r="BO164" s="49"/>
      <c r="BP164" s="49"/>
      <c r="BQ164" s="49"/>
      <c r="BR164" s="49"/>
      <c r="BS164" s="49"/>
      <c r="BT164" s="49"/>
      <c r="BU164" s="2"/>
      <c r="BV164" s="3"/>
      <c r="BW164" s="3"/>
      <c r="BX164" s="3"/>
      <c r="BY164" s="3"/>
    </row>
    <row r="165" spans="1:77" ht="15">
      <c r="A165" s="65" t="s">
        <v>354</v>
      </c>
      <c r="B165" s="66"/>
      <c r="C165" s="66"/>
      <c r="D165" s="67">
        <v>100</v>
      </c>
      <c r="E165" s="69"/>
      <c r="F165" s="103" t="str">
        <f>HYPERLINK("https://pbs.twimg.com/profile_images/1215046605746966531/qsWJeXQy_normal.jpg")</f>
        <v>https://pbs.twimg.com/profile_images/1215046605746966531/qsWJeXQy_normal.jpg</v>
      </c>
      <c r="G165" s="66"/>
      <c r="H165" s="70" t="s">
        <v>354</v>
      </c>
      <c r="I165" s="71"/>
      <c r="J165" s="71" t="s">
        <v>159</v>
      </c>
      <c r="K165" s="70" t="s">
        <v>1620</v>
      </c>
      <c r="L165" s="74">
        <v>1</v>
      </c>
      <c r="M165" s="75">
        <v>9391.5185546875</v>
      </c>
      <c r="N165" s="75">
        <v>9376.69921875</v>
      </c>
      <c r="O165" s="76"/>
      <c r="P165" s="77"/>
      <c r="Q165" s="77"/>
      <c r="R165" s="89"/>
      <c r="S165" s="49">
        <v>1</v>
      </c>
      <c r="T165" s="49">
        <v>1</v>
      </c>
      <c r="U165" s="50">
        <v>0</v>
      </c>
      <c r="V165" s="50">
        <v>0</v>
      </c>
      <c r="W165" s="50">
        <v>0</v>
      </c>
      <c r="X165" s="50">
        <v>0.999997</v>
      </c>
      <c r="Y165" s="50">
        <v>0</v>
      </c>
      <c r="Z165" s="50">
        <v>0</v>
      </c>
      <c r="AA165" s="72">
        <v>165</v>
      </c>
      <c r="AB165" s="72"/>
      <c r="AC165" s="73"/>
      <c r="AD165" s="79" t="s">
        <v>1088</v>
      </c>
      <c r="AE165" s="84" t="s">
        <v>1246</v>
      </c>
      <c r="AF165" s="79">
        <v>711</v>
      </c>
      <c r="AG165" s="79">
        <v>542</v>
      </c>
      <c r="AH165" s="79">
        <v>10049</v>
      </c>
      <c r="AI165" s="79">
        <v>41523</v>
      </c>
      <c r="AJ165" s="79"/>
      <c r="AK165" s="79" t="s">
        <v>1385</v>
      </c>
      <c r="AL165" s="79"/>
      <c r="AM165" s="79"/>
      <c r="AN165" s="79"/>
      <c r="AO165" s="81">
        <v>40923.19384259259</v>
      </c>
      <c r="AP165" s="79"/>
      <c r="AQ165" s="79" t="b">
        <v>0</v>
      </c>
      <c r="AR165" s="79" t="b">
        <v>0</v>
      </c>
      <c r="AS165" s="79" t="b">
        <v>0</v>
      </c>
      <c r="AT165" s="79"/>
      <c r="AU165" s="79">
        <v>13</v>
      </c>
      <c r="AV165" s="86" t="str">
        <f>HYPERLINK("https://abs.twimg.com/images/themes/theme1/bg.png")</f>
        <v>https://abs.twimg.com/images/themes/theme1/bg.png</v>
      </c>
      <c r="AW165" s="79" t="b">
        <v>0</v>
      </c>
      <c r="AX165" s="79" t="s">
        <v>1458</v>
      </c>
      <c r="AY165" s="86" t="str">
        <f>HYPERLINK("https://twitter.com/atenea_cb")</f>
        <v>https://twitter.com/atenea_cb</v>
      </c>
      <c r="AZ165" s="79" t="s">
        <v>66</v>
      </c>
      <c r="BA165" s="79" t="str">
        <f>REPLACE(INDEX(GroupVertices[Group],MATCH(Vertices[[#This Row],[Vertex]],GroupVertices[Vertex],0)),1,1,"")</f>
        <v>4</v>
      </c>
      <c r="BB165" s="49">
        <v>0</v>
      </c>
      <c r="BC165" s="50">
        <v>0</v>
      </c>
      <c r="BD165" s="49">
        <v>0</v>
      </c>
      <c r="BE165" s="50">
        <v>0</v>
      </c>
      <c r="BF165" s="49">
        <v>0</v>
      </c>
      <c r="BG165" s="50">
        <v>0</v>
      </c>
      <c r="BH165" s="49">
        <v>25</v>
      </c>
      <c r="BI165" s="50">
        <v>100</v>
      </c>
      <c r="BJ165" s="49">
        <v>25</v>
      </c>
      <c r="BK165" s="49" t="s">
        <v>2171</v>
      </c>
      <c r="BL165" s="49" t="s">
        <v>2171</v>
      </c>
      <c r="BM165" s="49" t="s">
        <v>460</v>
      </c>
      <c r="BN165" s="49" t="s">
        <v>460</v>
      </c>
      <c r="BO165" s="49" t="s">
        <v>511</v>
      </c>
      <c r="BP165" s="49" t="s">
        <v>511</v>
      </c>
      <c r="BQ165" s="115" t="s">
        <v>2566</v>
      </c>
      <c r="BR165" s="115" t="s">
        <v>2566</v>
      </c>
      <c r="BS165" s="115" t="s">
        <v>2612</v>
      </c>
      <c r="BT165" s="115" t="s">
        <v>2612</v>
      </c>
      <c r="BU165" s="2"/>
      <c r="BV165" s="3"/>
      <c r="BW165" s="3"/>
      <c r="BX165" s="3"/>
      <c r="BY165" s="3"/>
    </row>
    <row r="166" spans="1:77" ht="15">
      <c r="A166" s="65" t="s">
        <v>381</v>
      </c>
      <c r="B166" s="66"/>
      <c r="C166" s="66"/>
      <c r="D166" s="67">
        <v>100</v>
      </c>
      <c r="E166" s="69"/>
      <c r="F166" s="103" t="str">
        <f>HYPERLINK("https://pbs.twimg.com/profile_images/1161503345892311042/IJnlb46o_normal.jpg")</f>
        <v>https://pbs.twimg.com/profile_images/1161503345892311042/IJnlb46o_normal.jpg</v>
      </c>
      <c r="G166" s="66"/>
      <c r="H166" s="70" t="s">
        <v>381</v>
      </c>
      <c r="I166" s="71"/>
      <c r="J166" s="71" t="s">
        <v>159</v>
      </c>
      <c r="K166" s="70" t="s">
        <v>1621</v>
      </c>
      <c r="L166" s="74">
        <v>1</v>
      </c>
      <c r="M166" s="75">
        <v>4792.65380859375</v>
      </c>
      <c r="N166" s="75">
        <v>1993.4715576171875</v>
      </c>
      <c r="O166" s="76"/>
      <c r="P166" s="77"/>
      <c r="Q166" s="77"/>
      <c r="R166" s="89"/>
      <c r="S166" s="49">
        <v>1</v>
      </c>
      <c r="T166" s="49">
        <v>0</v>
      </c>
      <c r="U166" s="50">
        <v>0</v>
      </c>
      <c r="V166" s="50">
        <v>0.111111</v>
      </c>
      <c r="W166" s="50">
        <v>0</v>
      </c>
      <c r="X166" s="50">
        <v>0.436576</v>
      </c>
      <c r="Y166" s="50">
        <v>0</v>
      </c>
      <c r="Z166" s="50">
        <v>0</v>
      </c>
      <c r="AA166" s="72">
        <v>166</v>
      </c>
      <c r="AB166" s="72"/>
      <c r="AC166" s="73"/>
      <c r="AD166" s="79" t="s">
        <v>1089</v>
      </c>
      <c r="AE166" s="84" t="s">
        <v>1247</v>
      </c>
      <c r="AF166" s="79">
        <v>2648</v>
      </c>
      <c r="AG166" s="79">
        <v>3781</v>
      </c>
      <c r="AH166" s="79">
        <v>78615</v>
      </c>
      <c r="AI166" s="79">
        <v>1209</v>
      </c>
      <c r="AJ166" s="79"/>
      <c r="AK166" s="79" t="s">
        <v>1386</v>
      </c>
      <c r="AL166" s="79" t="s">
        <v>1393</v>
      </c>
      <c r="AM166" s="86" t="str">
        <f>HYPERLINK("https://t.co/4ZIZMYGekk")</f>
        <v>https://t.co/4ZIZMYGekk</v>
      </c>
      <c r="AN166" s="79"/>
      <c r="AO166" s="81">
        <v>41129.7934375</v>
      </c>
      <c r="AP166" s="86" t="str">
        <f>HYPERLINK("https://pbs.twimg.com/profile_banners/745756154/1565759178")</f>
        <v>https://pbs.twimg.com/profile_banners/745756154/1565759178</v>
      </c>
      <c r="AQ166" s="79" t="b">
        <v>0</v>
      </c>
      <c r="AR166" s="79" t="b">
        <v>0</v>
      </c>
      <c r="AS166" s="79" t="b">
        <v>1</v>
      </c>
      <c r="AT166" s="79"/>
      <c r="AU166" s="79">
        <v>51</v>
      </c>
      <c r="AV166" s="86" t="str">
        <f>HYPERLINK("https://abs.twimg.com/images/themes/theme14/bg.gif")</f>
        <v>https://abs.twimg.com/images/themes/theme14/bg.gif</v>
      </c>
      <c r="AW166" s="79" t="b">
        <v>0</v>
      </c>
      <c r="AX166" s="79" t="s">
        <v>1458</v>
      </c>
      <c r="AY166" s="86" t="str">
        <f>HYPERLINK("https://twitter.com/versusmex")</f>
        <v>https://twitter.com/versusmex</v>
      </c>
      <c r="AZ166" s="79" t="s">
        <v>65</v>
      </c>
      <c r="BA166" s="79" t="str">
        <f>REPLACE(INDEX(GroupVertices[Group],MATCH(Vertices[[#This Row],[Vertex]],GroupVertices[Vertex],0)),1,1,"")</f>
        <v>7</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5" t="s">
        <v>356</v>
      </c>
      <c r="B167" s="66"/>
      <c r="C167" s="66"/>
      <c r="D167" s="67">
        <v>100</v>
      </c>
      <c r="E167" s="69"/>
      <c r="F167" s="103" t="str">
        <f>HYPERLINK("https://pbs.twimg.com/profile_images/1190664336181800960/q0hSqNrB_normal.jpg")</f>
        <v>https://pbs.twimg.com/profile_images/1190664336181800960/q0hSqNrB_normal.jpg</v>
      </c>
      <c r="G167" s="66"/>
      <c r="H167" s="70" t="s">
        <v>356</v>
      </c>
      <c r="I167" s="71"/>
      <c r="J167" s="71" t="s">
        <v>159</v>
      </c>
      <c r="K167" s="70" t="s">
        <v>1622</v>
      </c>
      <c r="L167" s="74">
        <v>1</v>
      </c>
      <c r="M167" s="75">
        <v>9370.5712890625</v>
      </c>
      <c r="N167" s="75">
        <v>2665.87255859375</v>
      </c>
      <c r="O167" s="76"/>
      <c r="P167" s="77"/>
      <c r="Q167" s="77"/>
      <c r="R167" s="89"/>
      <c r="S167" s="49">
        <v>2</v>
      </c>
      <c r="T167" s="49">
        <v>1</v>
      </c>
      <c r="U167" s="50">
        <v>0</v>
      </c>
      <c r="V167" s="50">
        <v>1</v>
      </c>
      <c r="W167" s="50">
        <v>0</v>
      </c>
      <c r="X167" s="50">
        <v>1.298241</v>
      </c>
      <c r="Y167" s="50">
        <v>0</v>
      </c>
      <c r="Z167" s="50">
        <v>0</v>
      </c>
      <c r="AA167" s="72">
        <v>167</v>
      </c>
      <c r="AB167" s="72"/>
      <c r="AC167" s="73"/>
      <c r="AD167" s="79" t="s">
        <v>1090</v>
      </c>
      <c r="AE167" s="84" t="s">
        <v>1248</v>
      </c>
      <c r="AF167" s="79">
        <v>382</v>
      </c>
      <c r="AG167" s="79">
        <v>373</v>
      </c>
      <c r="AH167" s="79">
        <v>22030</v>
      </c>
      <c r="AI167" s="79">
        <v>11554</v>
      </c>
      <c r="AJ167" s="79"/>
      <c r="AK167" s="79" t="s">
        <v>1387</v>
      </c>
      <c r="AL167" s="79"/>
      <c r="AM167" s="86" t="str">
        <f>HYPERLINK("https://t.co/NlHo2SoBaV")</f>
        <v>https://t.co/NlHo2SoBaV</v>
      </c>
      <c r="AN167" s="79"/>
      <c r="AO167" s="81">
        <v>40539.281956018516</v>
      </c>
      <c r="AP167" s="86" t="str">
        <f>HYPERLINK("https://pbs.twimg.com/profile_banners/230973760/1572711475")</f>
        <v>https://pbs.twimg.com/profile_banners/230973760/1572711475</v>
      </c>
      <c r="AQ167" s="79" t="b">
        <v>0</v>
      </c>
      <c r="AR167" s="79" t="b">
        <v>0</v>
      </c>
      <c r="AS167" s="79" t="b">
        <v>1</v>
      </c>
      <c r="AT167" s="79"/>
      <c r="AU167" s="79">
        <v>60</v>
      </c>
      <c r="AV167" s="86" t="str">
        <f>HYPERLINK("https://abs.twimg.com/images/themes/theme4/bg.gif")</f>
        <v>https://abs.twimg.com/images/themes/theme4/bg.gif</v>
      </c>
      <c r="AW167" s="79" t="b">
        <v>0</v>
      </c>
      <c r="AX167" s="79" t="s">
        <v>1458</v>
      </c>
      <c r="AY167" s="86" t="str">
        <f>HYPERLINK("https://twitter.com/vrodriguezphd")</f>
        <v>https://twitter.com/vrodriguezphd</v>
      </c>
      <c r="AZ167" s="79" t="s">
        <v>66</v>
      </c>
      <c r="BA167" s="79" t="str">
        <f>REPLACE(INDEX(GroupVertices[Group],MATCH(Vertices[[#This Row],[Vertex]],GroupVertices[Vertex],0)),1,1,"")</f>
        <v>18</v>
      </c>
      <c r="BB167" s="49">
        <v>0</v>
      </c>
      <c r="BC167" s="50">
        <v>0</v>
      </c>
      <c r="BD167" s="49">
        <v>0</v>
      </c>
      <c r="BE167" s="50">
        <v>0</v>
      </c>
      <c r="BF167" s="49">
        <v>0</v>
      </c>
      <c r="BG167" s="50">
        <v>0</v>
      </c>
      <c r="BH167" s="49">
        <v>29</v>
      </c>
      <c r="BI167" s="50">
        <v>100</v>
      </c>
      <c r="BJ167" s="49">
        <v>29</v>
      </c>
      <c r="BK167" s="49" t="s">
        <v>2194</v>
      </c>
      <c r="BL167" s="49" t="s">
        <v>2194</v>
      </c>
      <c r="BM167" s="49" t="s">
        <v>466</v>
      </c>
      <c r="BN167" s="49" t="s">
        <v>466</v>
      </c>
      <c r="BO167" s="49" t="s">
        <v>516</v>
      </c>
      <c r="BP167" s="49" t="s">
        <v>516</v>
      </c>
      <c r="BQ167" s="115" t="s">
        <v>2291</v>
      </c>
      <c r="BR167" s="115" t="s">
        <v>2291</v>
      </c>
      <c r="BS167" s="115" t="s">
        <v>2405</v>
      </c>
      <c r="BT167" s="115" t="s">
        <v>2405</v>
      </c>
      <c r="BU167" s="2"/>
      <c r="BV167" s="3"/>
      <c r="BW167" s="3"/>
      <c r="BX167" s="3"/>
      <c r="BY167" s="3"/>
    </row>
    <row r="168" spans="1:77" ht="15">
      <c r="A168" s="90" t="s">
        <v>357</v>
      </c>
      <c r="B168" s="91"/>
      <c r="C168" s="91"/>
      <c r="D168" s="92">
        <v>100</v>
      </c>
      <c r="E168" s="93"/>
      <c r="F168" s="104" t="str">
        <f>HYPERLINK("https://pbs.twimg.com/profile_images/787265503828054016/kFUqcwx4_normal.jpg")</f>
        <v>https://pbs.twimg.com/profile_images/787265503828054016/kFUqcwx4_normal.jpg</v>
      </c>
      <c r="G168" s="91"/>
      <c r="H168" s="94" t="s">
        <v>357</v>
      </c>
      <c r="I168" s="95"/>
      <c r="J168" s="95" t="s">
        <v>159</v>
      </c>
      <c r="K168" s="94" t="s">
        <v>1623</v>
      </c>
      <c r="L168" s="96">
        <v>1</v>
      </c>
      <c r="M168" s="97">
        <v>9370.5712890625</v>
      </c>
      <c r="N168" s="97">
        <v>2238.7001953125</v>
      </c>
      <c r="O168" s="98"/>
      <c r="P168" s="99"/>
      <c r="Q168" s="99"/>
      <c r="R168" s="100"/>
      <c r="S168" s="49">
        <v>0</v>
      </c>
      <c r="T168" s="49">
        <v>1</v>
      </c>
      <c r="U168" s="50">
        <v>0</v>
      </c>
      <c r="V168" s="50">
        <v>1</v>
      </c>
      <c r="W168" s="50">
        <v>0</v>
      </c>
      <c r="X168" s="50">
        <v>0.701752</v>
      </c>
      <c r="Y168" s="50">
        <v>0</v>
      </c>
      <c r="Z168" s="50">
        <v>0</v>
      </c>
      <c r="AA168" s="101">
        <v>168</v>
      </c>
      <c r="AB168" s="101"/>
      <c r="AC168" s="102"/>
      <c r="AD168" s="79" t="s">
        <v>1091</v>
      </c>
      <c r="AE168" s="84" t="s">
        <v>1249</v>
      </c>
      <c r="AF168" s="79">
        <v>846</v>
      </c>
      <c r="AG168" s="79">
        <v>1496</v>
      </c>
      <c r="AH168" s="79">
        <v>33778</v>
      </c>
      <c r="AI168" s="79">
        <v>8546</v>
      </c>
      <c r="AJ168" s="79"/>
      <c r="AK168" s="79" t="s">
        <v>1388</v>
      </c>
      <c r="AL168" s="79" t="s">
        <v>1457</v>
      </c>
      <c r="AM168" s="86" t="str">
        <f>HYPERLINK("https://t.co/0wOIHbwDdB")</f>
        <v>https://t.co/0wOIHbwDdB</v>
      </c>
      <c r="AN168" s="79"/>
      <c r="AO168" s="81">
        <v>41360.23061342593</v>
      </c>
      <c r="AP168" s="86" t="str">
        <f>HYPERLINK("https://pbs.twimg.com/profile_banners/1306588182/1483407512")</f>
        <v>https://pbs.twimg.com/profile_banners/1306588182/1483407512</v>
      </c>
      <c r="AQ168" s="79" t="b">
        <v>0</v>
      </c>
      <c r="AR168" s="79" t="b">
        <v>0</v>
      </c>
      <c r="AS168" s="79" t="b">
        <v>1</v>
      </c>
      <c r="AT168" s="79"/>
      <c r="AU168" s="79">
        <v>9</v>
      </c>
      <c r="AV168" s="86" t="str">
        <f>HYPERLINK("https://abs.twimg.com/images/themes/theme18/bg.gif")</f>
        <v>https://abs.twimg.com/images/themes/theme18/bg.gif</v>
      </c>
      <c r="AW168" s="79" t="b">
        <v>0</v>
      </c>
      <c r="AX168" s="79" t="s">
        <v>1458</v>
      </c>
      <c r="AY168" s="86" t="str">
        <f>HYPERLINK("https://twitter.com/chefbaez")</f>
        <v>https://twitter.com/chefbaez</v>
      </c>
      <c r="AZ168" s="79" t="s">
        <v>66</v>
      </c>
      <c r="BA168" s="79" t="str">
        <f>REPLACE(INDEX(GroupVertices[Group],MATCH(Vertices[[#This Row],[Vertex]],GroupVertices[Vertex],0)),1,1,"")</f>
        <v>18</v>
      </c>
      <c r="BB168" s="49">
        <v>0</v>
      </c>
      <c r="BC168" s="50">
        <v>0</v>
      </c>
      <c r="BD168" s="49">
        <v>0</v>
      </c>
      <c r="BE168" s="50">
        <v>0</v>
      </c>
      <c r="BF168" s="49">
        <v>0</v>
      </c>
      <c r="BG168" s="50">
        <v>0</v>
      </c>
      <c r="BH168" s="49">
        <v>29</v>
      </c>
      <c r="BI168" s="50">
        <v>100</v>
      </c>
      <c r="BJ168" s="49">
        <v>29</v>
      </c>
      <c r="BK168" s="49" t="s">
        <v>2194</v>
      </c>
      <c r="BL168" s="49" t="s">
        <v>2194</v>
      </c>
      <c r="BM168" s="49" t="s">
        <v>466</v>
      </c>
      <c r="BN168" s="49" t="s">
        <v>466</v>
      </c>
      <c r="BO168" s="49" t="s">
        <v>516</v>
      </c>
      <c r="BP168" s="49" t="s">
        <v>516</v>
      </c>
      <c r="BQ168" s="115" t="s">
        <v>2291</v>
      </c>
      <c r="BR168" s="115" t="s">
        <v>2291</v>
      </c>
      <c r="BS168" s="115" t="s">
        <v>2405</v>
      </c>
      <c r="BT168" s="115" t="s">
        <v>2405</v>
      </c>
      <c r="BU168" s="2"/>
      <c r="BV168" s="3"/>
      <c r="BW168" s="3"/>
      <c r="BX168" s="3"/>
      <c r="BY16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8"/>
    <dataValidation allowBlank="1" showInputMessage="1" promptTitle="Vertex Tooltip" prompt="Enter optional text that will pop up when the mouse is hovered over the vertex." errorTitle="Invalid Vertex Image Key" sqref="K3:K16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8"/>
    <dataValidation allowBlank="1" showInputMessage="1" promptTitle="Vertex Label Fill Color" prompt="To select an optional fill color for the Label shape, right-click and select Select Color on the right-click menu." sqref="I3:I168"/>
    <dataValidation allowBlank="1" showInputMessage="1" promptTitle="Vertex Image File" prompt="Enter the path to an image file.  Hover over the column header for examples." errorTitle="Invalid Vertex Image Key" sqref="F3:F168"/>
    <dataValidation allowBlank="1" showInputMessage="1" promptTitle="Vertex Color" prompt="To select an optional vertex color, right-click and select Select Color on the right-click menu." sqref="B3:B168"/>
    <dataValidation allowBlank="1" showInputMessage="1" promptTitle="Vertex Opacity" prompt="Enter an optional vertex opacity between 0 (transparent) and 100 (opaque)." errorTitle="Invalid Vertex Opacity" error="The optional vertex opacity must be a whole number between 0 and 10." sqref="E3:E168"/>
    <dataValidation type="list" allowBlank="1" showInputMessage="1" showErrorMessage="1" promptTitle="Vertex Shape" prompt="Select an optional vertex shape." errorTitle="Invalid Vertex Shape" error="You have entered an invalid vertex shape.  Try selecting from the drop-down list instead." sqref="C3:C16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8">
      <formula1>ValidVertexLabelPositions</formula1>
    </dataValidation>
    <dataValidation allowBlank="1" showInputMessage="1" showErrorMessage="1" promptTitle="Vertex Name" prompt="Enter the name of the vertex." sqref="A3:A16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2098</v>
      </c>
      <c r="Z2" s="54" t="s">
        <v>2099</v>
      </c>
      <c r="AA2" s="54" t="s">
        <v>2100</v>
      </c>
      <c r="AB2" s="54" t="s">
        <v>2101</v>
      </c>
      <c r="AC2" s="54" t="s">
        <v>2102</v>
      </c>
      <c r="AD2" s="54" t="s">
        <v>2103</v>
      </c>
      <c r="AE2" s="54" t="s">
        <v>2104</v>
      </c>
      <c r="AF2" s="54" t="s">
        <v>2105</v>
      </c>
      <c r="AG2" s="54" t="s">
        <v>2108</v>
      </c>
      <c r="AH2" s="13" t="s">
        <v>2188</v>
      </c>
      <c r="AI2" s="13" t="s">
        <v>2211</v>
      </c>
      <c r="AJ2" s="13" t="s">
        <v>2253</v>
      </c>
      <c r="AK2" s="13" t="s">
        <v>2276</v>
      </c>
      <c r="AL2" s="13" t="s">
        <v>2391</v>
      </c>
      <c r="AM2" s="13" t="s">
        <v>2434</v>
      </c>
      <c r="AN2" s="13" t="s">
        <v>2435</v>
      </c>
      <c r="AO2" s="13" t="s">
        <v>2454</v>
      </c>
    </row>
    <row r="3" spans="1:41" ht="15">
      <c r="A3" s="65" t="s">
        <v>1651</v>
      </c>
      <c r="B3" s="66" t="s">
        <v>1678</v>
      </c>
      <c r="C3" s="66" t="s">
        <v>56</v>
      </c>
      <c r="D3" s="106"/>
      <c r="E3" s="14"/>
      <c r="F3" s="15" t="s">
        <v>2649</v>
      </c>
      <c r="G3" s="64"/>
      <c r="H3" s="64"/>
      <c r="I3" s="107">
        <v>3</v>
      </c>
      <c r="J3" s="51"/>
      <c r="K3" s="49">
        <v>37</v>
      </c>
      <c r="L3" s="49">
        <v>37</v>
      </c>
      <c r="M3" s="49">
        <v>0</v>
      </c>
      <c r="N3" s="49">
        <v>37</v>
      </c>
      <c r="O3" s="49">
        <v>1</v>
      </c>
      <c r="P3" s="50">
        <v>0</v>
      </c>
      <c r="Q3" s="50">
        <v>0</v>
      </c>
      <c r="R3" s="49">
        <v>1</v>
      </c>
      <c r="S3" s="49">
        <v>0</v>
      </c>
      <c r="T3" s="49">
        <v>37</v>
      </c>
      <c r="U3" s="49">
        <v>37</v>
      </c>
      <c r="V3" s="49">
        <v>2</v>
      </c>
      <c r="W3" s="50">
        <v>1.893353</v>
      </c>
      <c r="X3" s="50">
        <v>0.02702702702702703</v>
      </c>
      <c r="Y3" s="49">
        <v>0</v>
      </c>
      <c r="Z3" s="50">
        <v>0</v>
      </c>
      <c r="AA3" s="49">
        <v>0</v>
      </c>
      <c r="AB3" s="50">
        <v>0</v>
      </c>
      <c r="AC3" s="49">
        <v>0</v>
      </c>
      <c r="AD3" s="50">
        <v>0</v>
      </c>
      <c r="AE3" s="49">
        <v>1406</v>
      </c>
      <c r="AF3" s="50">
        <v>100</v>
      </c>
      <c r="AG3" s="49">
        <v>1406</v>
      </c>
      <c r="AH3" s="79"/>
      <c r="AI3" s="79"/>
      <c r="AJ3" s="79" t="s">
        <v>498</v>
      </c>
      <c r="AK3" s="84" t="s">
        <v>2277</v>
      </c>
      <c r="AL3" s="84" t="s">
        <v>2392</v>
      </c>
      <c r="AM3" s="84"/>
      <c r="AN3" s="84"/>
      <c r="AO3" s="84" t="s">
        <v>2455</v>
      </c>
    </row>
    <row r="4" spans="1:41" ht="15">
      <c r="A4" s="120" t="s">
        <v>1652</v>
      </c>
      <c r="B4" s="66" t="s">
        <v>1679</v>
      </c>
      <c r="C4" s="66" t="s">
        <v>56</v>
      </c>
      <c r="D4" s="121"/>
      <c r="E4" s="14"/>
      <c r="F4" s="15" t="s">
        <v>2650</v>
      </c>
      <c r="G4" s="64"/>
      <c r="H4" s="64"/>
      <c r="I4" s="107">
        <v>4</v>
      </c>
      <c r="J4" s="122"/>
      <c r="K4" s="49">
        <v>25</v>
      </c>
      <c r="L4" s="49">
        <v>56</v>
      </c>
      <c r="M4" s="49">
        <v>2</v>
      </c>
      <c r="N4" s="49">
        <v>58</v>
      </c>
      <c r="O4" s="49">
        <v>0</v>
      </c>
      <c r="P4" s="50">
        <v>0</v>
      </c>
      <c r="Q4" s="50">
        <v>0</v>
      </c>
      <c r="R4" s="49">
        <v>1</v>
      </c>
      <c r="S4" s="49">
        <v>0</v>
      </c>
      <c r="T4" s="49">
        <v>25</v>
      </c>
      <c r="U4" s="49">
        <v>58</v>
      </c>
      <c r="V4" s="49">
        <v>3</v>
      </c>
      <c r="W4" s="50">
        <v>1.7664</v>
      </c>
      <c r="X4" s="50">
        <v>0.095</v>
      </c>
      <c r="Y4" s="49">
        <v>0</v>
      </c>
      <c r="Z4" s="50">
        <v>0</v>
      </c>
      <c r="AA4" s="49">
        <v>0</v>
      </c>
      <c r="AB4" s="50">
        <v>0</v>
      </c>
      <c r="AC4" s="49">
        <v>0</v>
      </c>
      <c r="AD4" s="50">
        <v>0</v>
      </c>
      <c r="AE4" s="49">
        <v>682</v>
      </c>
      <c r="AF4" s="50">
        <v>100</v>
      </c>
      <c r="AG4" s="49">
        <v>682</v>
      </c>
      <c r="AH4" s="79" t="s">
        <v>2189</v>
      </c>
      <c r="AI4" s="79" t="s">
        <v>2212</v>
      </c>
      <c r="AJ4" s="79" t="s">
        <v>2254</v>
      </c>
      <c r="AK4" s="84" t="s">
        <v>2278</v>
      </c>
      <c r="AL4" s="84" t="s">
        <v>2393</v>
      </c>
      <c r="AM4" s="79"/>
      <c r="AN4" s="79" t="s">
        <v>2436</v>
      </c>
      <c r="AO4" s="79" t="s">
        <v>2456</v>
      </c>
    </row>
    <row r="5" spans="1:41" ht="15">
      <c r="A5" s="120" t="s">
        <v>1653</v>
      </c>
      <c r="B5" s="66" t="s">
        <v>1680</v>
      </c>
      <c r="C5" s="66" t="s">
        <v>56</v>
      </c>
      <c r="D5" s="121"/>
      <c r="E5" s="14"/>
      <c r="F5" s="15" t="s">
        <v>2651</v>
      </c>
      <c r="G5" s="64"/>
      <c r="H5" s="64"/>
      <c r="I5" s="107">
        <v>5</v>
      </c>
      <c r="J5" s="122"/>
      <c r="K5" s="49">
        <v>12</v>
      </c>
      <c r="L5" s="49">
        <v>12</v>
      </c>
      <c r="M5" s="49">
        <v>13</v>
      </c>
      <c r="N5" s="49">
        <v>25</v>
      </c>
      <c r="O5" s="49">
        <v>3</v>
      </c>
      <c r="P5" s="50">
        <v>0.06666666666666667</v>
      </c>
      <c r="Q5" s="50">
        <v>0.125</v>
      </c>
      <c r="R5" s="49">
        <v>1</v>
      </c>
      <c r="S5" s="49">
        <v>0</v>
      </c>
      <c r="T5" s="49">
        <v>12</v>
      </c>
      <c r="U5" s="49">
        <v>25</v>
      </c>
      <c r="V5" s="49">
        <v>2</v>
      </c>
      <c r="W5" s="50">
        <v>1.625</v>
      </c>
      <c r="X5" s="50">
        <v>0.12121212121212122</v>
      </c>
      <c r="Y5" s="49">
        <v>5</v>
      </c>
      <c r="Z5" s="50">
        <v>0.7407407407407407</v>
      </c>
      <c r="AA5" s="49">
        <v>0</v>
      </c>
      <c r="AB5" s="50">
        <v>0</v>
      </c>
      <c r="AC5" s="49">
        <v>0</v>
      </c>
      <c r="AD5" s="50">
        <v>0</v>
      </c>
      <c r="AE5" s="49">
        <v>670</v>
      </c>
      <c r="AF5" s="50">
        <v>99.25925925925925</v>
      </c>
      <c r="AG5" s="49">
        <v>675</v>
      </c>
      <c r="AH5" s="79" t="s">
        <v>2190</v>
      </c>
      <c r="AI5" s="79" t="s">
        <v>2213</v>
      </c>
      <c r="AJ5" s="79" t="s">
        <v>2255</v>
      </c>
      <c r="AK5" s="84" t="s">
        <v>2279</v>
      </c>
      <c r="AL5" s="84" t="s">
        <v>2394</v>
      </c>
      <c r="AM5" s="79"/>
      <c r="AN5" s="79" t="s">
        <v>268</v>
      </c>
      <c r="AO5" s="79" t="s">
        <v>2457</v>
      </c>
    </row>
    <row r="6" spans="1:41" ht="15">
      <c r="A6" s="120" t="s">
        <v>1654</v>
      </c>
      <c r="B6" s="66" t="s">
        <v>1681</v>
      </c>
      <c r="C6" s="66" t="s">
        <v>56</v>
      </c>
      <c r="D6" s="121"/>
      <c r="E6" s="14"/>
      <c r="F6" s="15" t="s">
        <v>2652</v>
      </c>
      <c r="G6" s="64"/>
      <c r="H6" s="64"/>
      <c r="I6" s="107">
        <v>6</v>
      </c>
      <c r="J6" s="122"/>
      <c r="K6" s="49">
        <v>11</v>
      </c>
      <c r="L6" s="49">
        <v>9</v>
      </c>
      <c r="M6" s="49">
        <v>6</v>
      </c>
      <c r="N6" s="49">
        <v>15</v>
      </c>
      <c r="O6" s="49">
        <v>15</v>
      </c>
      <c r="P6" s="50" t="s">
        <v>1693</v>
      </c>
      <c r="Q6" s="50" t="s">
        <v>1693</v>
      </c>
      <c r="R6" s="49">
        <v>11</v>
      </c>
      <c r="S6" s="49">
        <v>11</v>
      </c>
      <c r="T6" s="49">
        <v>1</v>
      </c>
      <c r="U6" s="49">
        <v>4</v>
      </c>
      <c r="V6" s="49">
        <v>0</v>
      </c>
      <c r="W6" s="50">
        <v>0</v>
      </c>
      <c r="X6" s="50">
        <v>0</v>
      </c>
      <c r="Y6" s="49">
        <v>0</v>
      </c>
      <c r="Z6" s="50">
        <v>0</v>
      </c>
      <c r="AA6" s="49">
        <v>0</v>
      </c>
      <c r="AB6" s="50">
        <v>0</v>
      </c>
      <c r="AC6" s="49">
        <v>0</v>
      </c>
      <c r="AD6" s="50">
        <v>0</v>
      </c>
      <c r="AE6" s="49">
        <v>310</v>
      </c>
      <c r="AF6" s="50">
        <v>100</v>
      </c>
      <c r="AG6" s="49">
        <v>310</v>
      </c>
      <c r="AH6" s="79" t="s">
        <v>2191</v>
      </c>
      <c r="AI6" s="79" t="s">
        <v>2214</v>
      </c>
      <c r="AJ6" s="79" t="s">
        <v>2256</v>
      </c>
      <c r="AK6" s="84" t="s">
        <v>2280</v>
      </c>
      <c r="AL6" s="84" t="s">
        <v>2334</v>
      </c>
      <c r="AM6" s="79"/>
      <c r="AN6" s="79"/>
      <c r="AO6" s="79" t="s">
        <v>2458</v>
      </c>
    </row>
    <row r="7" spans="1:41" ht="15">
      <c r="A7" s="120" t="s">
        <v>1655</v>
      </c>
      <c r="B7" s="66" t="s">
        <v>1682</v>
      </c>
      <c r="C7" s="66" t="s">
        <v>56</v>
      </c>
      <c r="D7" s="121"/>
      <c r="E7" s="14"/>
      <c r="F7" s="15" t="s">
        <v>2653</v>
      </c>
      <c r="G7" s="64"/>
      <c r="H7" s="64"/>
      <c r="I7" s="107">
        <v>7</v>
      </c>
      <c r="J7" s="122"/>
      <c r="K7" s="49">
        <v>7</v>
      </c>
      <c r="L7" s="49">
        <v>10</v>
      </c>
      <c r="M7" s="49">
        <v>0</v>
      </c>
      <c r="N7" s="49">
        <v>10</v>
      </c>
      <c r="O7" s="49">
        <v>1</v>
      </c>
      <c r="P7" s="50">
        <v>0</v>
      </c>
      <c r="Q7" s="50">
        <v>0</v>
      </c>
      <c r="R7" s="49">
        <v>1</v>
      </c>
      <c r="S7" s="49">
        <v>0</v>
      </c>
      <c r="T7" s="49">
        <v>7</v>
      </c>
      <c r="U7" s="49">
        <v>10</v>
      </c>
      <c r="V7" s="49">
        <v>3</v>
      </c>
      <c r="W7" s="50">
        <v>1.510204</v>
      </c>
      <c r="X7" s="50">
        <v>0.21428571428571427</v>
      </c>
      <c r="Y7" s="49">
        <v>0</v>
      </c>
      <c r="Z7" s="50">
        <v>0</v>
      </c>
      <c r="AA7" s="49">
        <v>4</v>
      </c>
      <c r="AB7" s="50">
        <v>2.4096385542168677</v>
      </c>
      <c r="AC7" s="49">
        <v>0</v>
      </c>
      <c r="AD7" s="50">
        <v>0</v>
      </c>
      <c r="AE7" s="49">
        <v>162</v>
      </c>
      <c r="AF7" s="50">
        <v>97.59036144578313</v>
      </c>
      <c r="AG7" s="49">
        <v>166</v>
      </c>
      <c r="AH7" s="79" t="s">
        <v>2174</v>
      </c>
      <c r="AI7" s="79" t="s">
        <v>457</v>
      </c>
      <c r="AJ7" s="79" t="s">
        <v>2257</v>
      </c>
      <c r="AK7" s="84" t="s">
        <v>2281</v>
      </c>
      <c r="AL7" s="84" t="s">
        <v>2395</v>
      </c>
      <c r="AM7" s="79"/>
      <c r="AN7" s="79" t="s">
        <v>2437</v>
      </c>
      <c r="AO7" s="79" t="s">
        <v>2459</v>
      </c>
    </row>
    <row r="8" spans="1:41" ht="15">
      <c r="A8" s="120" t="s">
        <v>1656</v>
      </c>
      <c r="B8" s="66" t="s">
        <v>1683</v>
      </c>
      <c r="C8" s="66" t="s">
        <v>56</v>
      </c>
      <c r="D8" s="121"/>
      <c r="E8" s="14"/>
      <c r="F8" s="15" t="s">
        <v>2654</v>
      </c>
      <c r="G8" s="64"/>
      <c r="H8" s="64"/>
      <c r="I8" s="107">
        <v>8</v>
      </c>
      <c r="J8" s="122"/>
      <c r="K8" s="49">
        <v>7</v>
      </c>
      <c r="L8" s="49">
        <v>23</v>
      </c>
      <c r="M8" s="49">
        <v>8</v>
      </c>
      <c r="N8" s="49">
        <v>31</v>
      </c>
      <c r="O8" s="49">
        <v>1</v>
      </c>
      <c r="P8" s="50">
        <v>0.3</v>
      </c>
      <c r="Q8" s="50">
        <v>0.46153846153846156</v>
      </c>
      <c r="R8" s="49">
        <v>1</v>
      </c>
      <c r="S8" s="49">
        <v>0</v>
      </c>
      <c r="T8" s="49">
        <v>7</v>
      </c>
      <c r="U8" s="49">
        <v>31</v>
      </c>
      <c r="V8" s="49">
        <v>2</v>
      </c>
      <c r="W8" s="50">
        <v>0.897959</v>
      </c>
      <c r="X8" s="50">
        <v>0.6190476190476191</v>
      </c>
      <c r="Y8" s="49">
        <v>0</v>
      </c>
      <c r="Z8" s="50">
        <v>0</v>
      </c>
      <c r="AA8" s="49">
        <v>0</v>
      </c>
      <c r="AB8" s="50">
        <v>0</v>
      </c>
      <c r="AC8" s="49">
        <v>0</v>
      </c>
      <c r="AD8" s="50">
        <v>0</v>
      </c>
      <c r="AE8" s="49">
        <v>168</v>
      </c>
      <c r="AF8" s="50">
        <v>100</v>
      </c>
      <c r="AG8" s="49">
        <v>168</v>
      </c>
      <c r="AH8" s="79" t="s">
        <v>448</v>
      </c>
      <c r="AI8" s="79" t="s">
        <v>2215</v>
      </c>
      <c r="AJ8" s="79" t="s">
        <v>467</v>
      </c>
      <c r="AK8" s="84" t="s">
        <v>2282</v>
      </c>
      <c r="AL8" s="84" t="s">
        <v>2396</v>
      </c>
      <c r="AM8" s="79"/>
      <c r="AN8" s="79" t="s">
        <v>2438</v>
      </c>
      <c r="AO8" s="79" t="s">
        <v>2460</v>
      </c>
    </row>
    <row r="9" spans="1:41" ht="15">
      <c r="A9" s="120" t="s">
        <v>1657</v>
      </c>
      <c r="B9" s="66" t="s">
        <v>1684</v>
      </c>
      <c r="C9" s="66" t="s">
        <v>56</v>
      </c>
      <c r="D9" s="121"/>
      <c r="E9" s="14"/>
      <c r="F9" s="15" t="s">
        <v>2655</v>
      </c>
      <c r="G9" s="64"/>
      <c r="H9" s="64"/>
      <c r="I9" s="107">
        <v>9</v>
      </c>
      <c r="J9" s="122"/>
      <c r="K9" s="49">
        <v>6</v>
      </c>
      <c r="L9" s="49">
        <v>7</v>
      </c>
      <c r="M9" s="49">
        <v>5</v>
      </c>
      <c r="N9" s="49">
        <v>12</v>
      </c>
      <c r="O9" s="49">
        <v>2</v>
      </c>
      <c r="P9" s="50">
        <v>0</v>
      </c>
      <c r="Q9" s="50">
        <v>0</v>
      </c>
      <c r="R9" s="49">
        <v>1</v>
      </c>
      <c r="S9" s="49">
        <v>0</v>
      </c>
      <c r="T9" s="49">
        <v>6</v>
      </c>
      <c r="U9" s="49">
        <v>12</v>
      </c>
      <c r="V9" s="49">
        <v>2</v>
      </c>
      <c r="W9" s="50">
        <v>1.222222</v>
      </c>
      <c r="X9" s="50">
        <v>0.26666666666666666</v>
      </c>
      <c r="Y9" s="49">
        <v>1</v>
      </c>
      <c r="Z9" s="50">
        <v>0.5263157894736842</v>
      </c>
      <c r="AA9" s="49">
        <v>0</v>
      </c>
      <c r="AB9" s="50">
        <v>0</v>
      </c>
      <c r="AC9" s="49">
        <v>0</v>
      </c>
      <c r="AD9" s="50">
        <v>0</v>
      </c>
      <c r="AE9" s="49">
        <v>189</v>
      </c>
      <c r="AF9" s="50">
        <v>99.47368421052632</v>
      </c>
      <c r="AG9" s="49">
        <v>190</v>
      </c>
      <c r="AH9" s="79" t="s">
        <v>2192</v>
      </c>
      <c r="AI9" s="79" t="s">
        <v>2216</v>
      </c>
      <c r="AJ9" s="79" t="s">
        <v>2258</v>
      </c>
      <c r="AK9" s="84" t="s">
        <v>2283</v>
      </c>
      <c r="AL9" s="84" t="s">
        <v>2397</v>
      </c>
      <c r="AM9" s="79"/>
      <c r="AN9" s="79" t="s">
        <v>2439</v>
      </c>
      <c r="AO9" s="79" t="s">
        <v>2461</v>
      </c>
    </row>
    <row r="10" spans="1:41" ht="14.25" customHeight="1">
      <c r="A10" s="120" t="s">
        <v>1658</v>
      </c>
      <c r="B10" s="66" t="s">
        <v>1685</v>
      </c>
      <c r="C10" s="66" t="s">
        <v>56</v>
      </c>
      <c r="D10" s="121"/>
      <c r="E10" s="14"/>
      <c r="F10" s="15" t="s">
        <v>2656</v>
      </c>
      <c r="G10" s="64"/>
      <c r="H10" s="64"/>
      <c r="I10" s="107">
        <v>10</v>
      </c>
      <c r="J10" s="122"/>
      <c r="K10" s="49">
        <v>6</v>
      </c>
      <c r="L10" s="49">
        <v>6</v>
      </c>
      <c r="M10" s="49">
        <v>0</v>
      </c>
      <c r="N10" s="49">
        <v>6</v>
      </c>
      <c r="O10" s="49">
        <v>1</v>
      </c>
      <c r="P10" s="50">
        <v>0</v>
      </c>
      <c r="Q10" s="50">
        <v>0</v>
      </c>
      <c r="R10" s="49">
        <v>1</v>
      </c>
      <c r="S10" s="49">
        <v>0</v>
      </c>
      <c r="T10" s="49">
        <v>6</v>
      </c>
      <c r="U10" s="49">
        <v>6</v>
      </c>
      <c r="V10" s="49">
        <v>2</v>
      </c>
      <c r="W10" s="50">
        <v>1.388889</v>
      </c>
      <c r="X10" s="50">
        <v>0.16666666666666666</v>
      </c>
      <c r="Y10" s="49">
        <v>0</v>
      </c>
      <c r="Z10" s="50">
        <v>0</v>
      </c>
      <c r="AA10" s="49">
        <v>0</v>
      </c>
      <c r="AB10" s="50">
        <v>0</v>
      </c>
      <c r="AC10" s="49">
        <v>0</v>
      </c>
      <c r="AD10" s="50">
        <v>0</v>
      </c>
      <c r="AE10" s="49">
        <v>204</v>
      </c>
      <c r="AF10" s="50">
        <v>100</v>
      </c>
      <c r="AG10" s="49">
        <v>204</v>
      </c>
      <c r="AH10" s="79" t="s">
        <v>2148</v>
      </c>
      <c r="AI10" s="79" t="s">
        <v>463</v>
      </c>
      <c r="AJ10" s="79" t="s">
        <v>504</v>
      </c>
      <c r="AK10" s="84" t="s">
        <v>2284</v>
      </c>
      <c r="AL10" s="84" t="s">
        <v>2398</v>
      </c>
      <c r="AM10" s="79"/>
      <c r="AN10" s="79"/>
      <c r="AO10" s="79" t="s">
        <v>2462</v>
      </c>
    </row>
    <row r="11" spans="1:41" ht="15">
      <c r="A11" s="120" t="s">
        <v>1659</v>
      </c>
      <c r="B11" s="66" t="s">
        <v>1686</v>
      </c>
      <c r="C11" s="66" t="s">
        <v>56</v>
      </c>
      <c r="D11" s="121"/>
      <c r="E11" s="14"/>
      <c r="F11" s="15" t="s">
        <v>2657</v>
      </c>
      <c r="G11" s="64"/>
      <c r="H11" s="64"/>
      <c r="I11" s="107">
        <v>11</v>
      </c>
      <c r="J11" s="122"/>
      <c r="K11" s="49">
        <v>6</v>
      </c>
      <c r="L11" s="49">
        <v>5</v>
      </c>
      <c r="M11" s="49">
        <v>0</v>
      </c>
      <c r="N11" s="49">
        <v>5</v>
      </c>
      <c r="O11" s="49">
        <v>0</v>
      </c>
      <c r="P11" s="50">
        <v>0</v>
      </c>
      <c r="Q11" s="50">
        <v>0</v>
      </c>
      <c r="R11" s="49">
        <v>1</v>
      </c>
      <c r="S11" s="49">
        <v>0</v>
      </c>
      <c r="T11" s="49">
        <v>6</v>
      </c>
      <c r="U11" s="49">
        <v>5</v>
      </c>
      <c r="V11" s="49">
        <v>2</v>
      </c>
      <c r="W11" s="50">
        <v>1.388889</v>
      </c>
      <c r="X11" s="50">
        <v>0.16666666666666666</v>
      </c>
      <c r="Y11" s="49">
        <v>0</v>
      </c>
      <c r="Z11" s="50">
        <v>0</v>
      </c>
      <c r="AA11" s="49">
        <v>3</v>
      </c>
      <c r="AB11" s="50">
        <v>8.333333333333334</v>
      </c>
      <c r="AC11" s="49">
        <v>0</v>
      </c>
      <c r="AD11" s="50">
        <v>0</v>
      </c>
      <c r="AE11" s="49">
        <v>33</v>
      </c>
      <c r="AF11" s="50">
        <v>91.66666666666667</v>
      </c>
      <c r="AG11" s="49">
        <v>36</v>
      </c>
      <c r="AH11" s="79"/>
      <c r="AI11" s="79"/>
      <c r="AJ11" s="79" t="s">
        <v>497</v>
      </c>
      <c r="AK11" s="84" t="s">
        <v>871</v>
      </c>
      <c r="AL11" s="84" t="s">
        <v>871</v>
      </c>
      <c r="AM11" s="79" t="s">
        <v>375</v>
      </c>
      <c r="AN11" s="79" t="s">
        <v>2440</v>
      </c>
      <c r="AO11" s="79" t="s">
        <v>2463</v>
      </c>
    </row>
    <row r="12" spans="1:41" ht="15">
      <c r="A12" s="120" t="s">
        <v>1660</v>
      </c>
      <c r="B12" s="66" t="s">
        <v>1687</v>
      </c>
      <c r="C12" s="66" t="s">
        <v>56</v>
      </c>
      <c r="D12" s="121"/>
      <c r="E12" s="14"/>
      <c r="F12" s="15" t="s">
        <v>2658</v>
      </c>
      <c r="G12" s="64"/>
      <c r="H12" s="64"/>
      <c r="I12" s="107">
        <v>12</v>
      </c>
      <c r="J12" s="122"/>
      <c r="K12" s="49">
        <v>5</v>
      </c>
      <c r="L12" s="49">
        <v>4</v>
      </c>
      <c r="M12" s="49">
        <v>2</v>
      </c>
      <c r="N12" s="49">
        <v>6</v>
      </c>
      <c r="O12" s="49">
        <v>2</v>
      </c>
      <c r="P12" s="50">
        <v>0</v>
      </c>
      <c r="Q12" s="50">
        <v>0</v>
      </c>
      <c r="R12" s="49">
        <v>1</v>
      </c>
      <c r="S12" s="49">
        <v>0</v>
      </c>
      <c r="T12" s="49">
        <v>5</v>
      </c>
      <c r="U12" s="49">
        <v>6</v>
      </c>
      <c r="V12" s="49">
        <v>2</v>
      </c>
      <c r="W12" s="50">
        <v>1.28</v>
      </c>
      <c r="X12" s="50">
        <v>0.2</v>
      </c>
      <c r="Y12" s="49">
        <v>0</v>
      </c>
      <c r="Z12" s="50">
        <v>0</v>
      </c>
      <c r="AA12" s="49">
        <v>0</v>
      </c>
      <c r="AB12" s="50">
        <v>0</v>
      </c>
      <c r="AC12" s="49">
        <v>0</v>
      </c>
      <c r="AD12" s="50">
        <v>0</v>
      </c>
      <c r="AE12" s="49">
        <v>246</v>
      </c>
      <c r="AF12" s="50">
        <v>100</v>
      </c>
      <c r="AG12" s="49">
        <v>246</v>
      </c>
      <c r="AH12" s="79"/>
      <c r="AI12" s="79"/>
      <c r="AJ12" s="79" t="s">
        <v>2259</v>
      </c>
      <c r="AK12" s="84" t="s">
        <v>2285</v>
      </c>
      <c r="AL12" s="84" t="s">
        <v>2399</v>
      </c>
      <c r="AM12" s="79"/>
      <c r="AN12" s="79"/>
      <c r="AO12" s="79" t="s">
        <v>2464</v>
      </c>
    </row>
    <row r="13" spans="1:41" ht="15">
      <c r="A13" s="120" t="s">
        <v>1661</v>
      </c>
      <c r="B13" s="66" t="s">
        <v>1688</v>
      </c>
      <c r="C13" s="66" t="s">
        <v>56</v>
      </c>
      <c r="D13" s="121"/>
      <c r="E13" s="14"/>
      <c r="F13" s="15" t="s">
        <v>2659</v>
      </c>
      <c r="G13" s="64"/>
      <c r="H13" s="64"/>
      <c r="I13" s="107">
        <v>13</v>
      </c>
      <c r="J13" s="122"/>
      <c r="K13" s="49">
        <v>4</v>
      </c>
      <c r="L13" s="49">
        <v>1</v>
      </c>
      <c r="M13" s="49">
        <v>10</v>
      </c>
      <c r="N13" s="49">
        <v>11</v>
      </c>
      <c r="O13" s="49">
        <v>4</v>
      </c>
      <c r="P13" s="50">
        <v>0</v>
      </c>
      <c r="Q13" s="50">
        <v>0</v>
      </c>
      <c r="R13" s="49">
        <v>1</v>
      </c>
      <c r="S13" s="49">
        <v>0</v>
      </c>
      <c r="T13" s="49">
        <v>4</v>
      </c>
      <c r="U13" s="49">
        <v>11</v>
      </c>
      <c r="V13" s="49">
        <v>2</v>
      </c>
      <c r="W13" s="50">
        <v>1.125</v>
      </c>
      <c r="X13" s="50">
        <v>0.25</v>
      </c>
      <c r="Y13" s="49">
        <v>0</v>
      </c>
      <c r="Z13" s="50">
        <v>0</v>
      </c>
      <c r="AA13" s="49">
        <v>0</v>
      </c>
      <c r="AB13" s="50">
        <v>0</v>
      </c>
      <c r="AC13" s="49">
        <v>0</v>
      </c>
      <c r="AD13" s="50">
        <v>0</v>
      </c>
      <c r="AE13" s="49">
        <v>208</v>
      </c>
      <c r="AF13" s="50">
        <v>100</v>
      </c>
      <c r="AG13" s="49">
        <v>208</v>
      </c>
      <c r="AH13" s="79" t="s">
        <v>2142</v>
      </c>
      <c r="AI13" s="79" t="s">
        <v>459</v>
      </c>
      <c r="AJ13" s="79" t="s">
        <v>472</v>
      </c>
      <c r="AK13" s="84" t="s">
        <v>2286</v>
      </c>
      <c r="AL13" s="84" t="s">
        <v>2400</v>
      </c>
      <c r="AM13" s="79"/>
      <c r="AN13" s="79"/>
      <c r="AO13" s="79" t="s">
        <v>2465</v>
      </c>
    </row>
    <row r="14" spans="1:41" ht="15">
      <c r="A14" s="120" t="s">
        <v>1662</v>
      </c>
      <c r="B14" s="66" t="s">
        <v>1689</v>
      </c>
      <c r="C14" s="66" t="s">
        <v>56</v>
      </c>
      <c r="D14" s="121"/>
      <c r="E14" s="14"/>
      <c r="F14" s="15" t="s">
        <v>2660</v>
      </c>
      <c r="G14" s="64"/>
      <c r="H14" s="64"/>
      <c r="I14" s="107">
        <v>14</v>
      </c>
      <c r="J14" s="122"/>
      <c r="K14" s="49">
        <v>4</v>
      </c>
      <c r="L14" s="49">
        <v>1</v>
      </c>
      <c r="M14" s="49">
        <v>6</v>
      </c>
      <c r="N14" s="49">
        <v>7</v>
      </c>
      <c r="O14" s="49">
        <v>1</v>
      </c>
      <c r="P14" s="50">
        <v>0</v>
      </c>
      <c r="Q14" s="50">
        <v>0</v>
      </c>
      <c r="R14" s="49">
        <v>1</v>
      </c>
      <c r="S14" s="49">
        <v>0</v>
      </c>
      <c r="T14" s="49">
        <v>4</v>
      </c>
      <c r="U14" s="49">
        <v>7</v>
      </c>
      <c r="V14" s="49">
        <v>2</v>
      </c>
      <c r="W14" s="50">
        <v>1.125</v>
      </c>
      <c r="X14" s="50">
        <v>0.25</v>
      </c>
      <c r="Y14" s="49">
        <v>0</v>
      </c>
      <c r="Z14" s="50">
        <v>0</v>
      </c>
      <c r="AA14" s="49">
        <v>0</v>
      </c>
      <c r="AB14" s="50">
        <v>0</v>
      </c>
      <c r="AC14" s="49">
        <v>0</v>
      </c>
      <c r="AD14" s="50">
        <v>0</v>
      </c>
      <c r="AE14" s="49">
        <v>66</v>
      </c>
      <c r="AF14" s="50">
        <v>100</v>
      </c>
      <c r="AG14" s="49">
        <v>66</v>
      </c>
      <c r="AH14" s="79" t="s">
        <v>2193</v>
      </c>
      <c r="AI14" s="79" t="s">
        <v>451</v>
      </c>
      <c r="AJ14" s="79" t="s">
        <v>484</v>
      </c>
      <c r="AK14" s="84" t="s">
        <v>2287</v>
      </c>
      <c r="AL14" s="84" t="s">
        <v>2401</v>
      </c>
      <c r="AM14" s="79"/>
      <c r="AN14" s="79" t="s">
        <v>2441</v>
      </c>
      <c r="AO14" s="79" t="s">
        <v>2466</v>
      </c>
    </row>
    <row r="15" spans="1:41" ht="15">
      <c r="A15" s="120" t="s">
        <v>1663</v>
      </c>
      <c r="B15" s="66" t="s">
        <v>1678</v>
      </c>
      <c r="C15" s="66" t="s">
        <v>59</v>
      </c>
      <c r="D15" s="121"/>
      <c r="E15" s="14"/>
      <c r="F15" s="15" t="s">
        <v>2661</v>
      </c>
      <c r="G15" s="64"/>
      <c r="H15" s="64"/>
      <c r="I15" s="107">
        <v>15</v>
      </c>
      <c r="J15" s="122"/>
      <c r="K15" s="49">
        <v>4</v>
      </c>
      <c r="L15" s="49">
        <v>4</v>
      </c>
      <c r="M15" s="49">
        <v>0</v>
      </c>
      <c r="N15" s="49">
        <v>4</v>
      </c>
      <c r="O15" s="49">
        <v>0</v>
      </c>
      <c r="P15" s="50">
        <v>0</v>
      </c>
      <c r="Q15" s="50">
        <v>0</v>
      </c>
      <c r="R15" s="49">
        <v>1</v>
      </c>
      <c r="S15" s="49">
        <v>0</v>
      </c>
      <c r="T15" s="49">
        <v>4</v>
      </c>
      <c r="U15" s="49">
        <v>4</v>
      </c>
      <c r="V15" s="49">
        <v>2</v>
      </c>
      <c r="W15" s="50">
        <v>1</v>
      </c>
      <c r="X15" s="50">
        <v>0.3333333333333333</v>
      </c>
      <c r="Y15" s="49">
        <v>0</v>
      </c>
      <c r="Z15" s="50">
        <v>0</v>
      </c>
      <c r="AA15" s="49">
        <v>2</v>
      </c>
      <c r="AB15" s="50">
        <v>3.4482758620689653</v>
      </c>
      <c r="AC15" s="49">
        <v>0</v>
      </c>
      <c r="AD15" s="50">
        <v>0</v>
      </c>
      <c r="AE15" s="49">
        <v>56</v>
      </c>
      <c r="AF15" s="50">
        <v>96.55172413793103</v>
      </c>
      <c r="AG15" s="49">
        <v>58</v>
      </c>
      <c r="AH15" s="79"/>
      <c r="AI15" s="79"/>
      <c r="AJ15" s="79" t="s">
        <v>2260</v>
      </c>
      <c r="AK15" s="84" t="s">
        <v>2288</v>
      </c>
      <c r="AL15" s="84" t="s">
        <v>2402</v>
      </c>
      <c r="AM15" s="79"/>
      <c r="AN15" s="79" t="s">
        <v>2442</v>
      </c>
      <c r="AO15" s="79" t="s">
        <v>2467</v>
      </c>
    </row>
    <row r="16" spans="1:41" ht="15">
      <c r="A16" s="120" t="s">
        <v>1664</v>
      </c>
      <c r="B16" s="66" t="s">
        <v>1679</v>
      </c>
      <c r="C16" s="66" t="s">
        <v>59</v>
      </c>
      <c r="D16" s="121"/>
      <c r="E16" s="14"/>
      <c r="F16" s="15" t="s">
        <v>2662</v>
      </c>
      <c r="G16" s="64"/>
      <c r="H16" s="64"/>
      <c r="I16" s="107">
        <v>16</v>
      </c>
      <c r="J16" s="122"/>
      <c r="K16" s="49">
        <v>3</v>
      </c>
      <c r="L16" s="49">
        <v>3</v>
      </c>
      <c r="M16" s="49">
        <v>0</v>
      </c>
      <c r="N16" s="49">
        <v>3</v>
      </c>
      <c r="O16" s="49">
        <v>1</v>
      </c>
      <c r="P16" s="50">
        <v>0</v>
      </c>
      <c r="Q16" s="50">
        <v>0</v>
      </c>
      <c r="R16" s="49">
        <v>1</v>
      </c>
      <c r="S16" s="49">
        <v>0</v>
      </c>
      <c r="T16" s="49">
        <v>3</v>
      </c>
      <c r="U16" s="49">
        <v>3</v>
      </c>
      <c r="V16" s="49">
        <v>2</v>
      </c>
      <c r="W16" s="50">
        <v>0.888889</v>
      </c>
      <c r="X16" s="50">
        <v>0.3333333333333333</v>
      </c>
      <c r="Y16" s="49">
        <v>0</v>
      </c>
      <c r="Z16" s="50">
        <v>0</v>
      </c>
      <c r="AA16" s="49">
        <v>0</v>
      </c>
      <c r="AB16" s="50">
        <v>0</v>
      </c>
      <c r="AC16" s="49">
        <v>0</v>
      </c>
      <c r="AD16" s="50">
        <v>0</v>
      </c>
      <c r="AE16" s="49">
        <v>93</v>
      </c>
      <c r="AF16" s="50">
        <v>100</v>
      </c>
      <c r="AG16" s="49">
        <v>93</v>
      </c>
      <c r="AH16" s="79"/>
      <c r="AI16" s="79"/>
      <c r="AJ16" s="79" t="s">
        <v>472</v>
      </c>
      <c r="AK16" s="84" t="s">
        <v>2289</v>
      </c>
      <c r="AL16" s="84" t="s">
        <v>2403</v>
      </c>
      <c r="AM16" s="79"/>
      <c r="AN16" s="79"/>
      <c r="AO16" s="79" t="s">
        <v>2468</v>
      </c>
    </row>
    <row r="17" spans="1:41" ht="15">
      <c r="A17" s="120" t="s">
        <v>1665</v>
      </c>
      <c r="B17" s="66" t="s">
        <v>1680</v>
      </c>
      <c r="C17" s="66" t="s">
        <v>59</v>
      </c>
      <c r="D17" s="121"/>
      <c r="E17" s="14"/>
      <c r="F17" s="15" t="s">
        <v>2663</v>
      </c>
      <c r="G17" s="64"/>
      <c r="H17" s="64"/>
      <c r="I17" s="107">
        <v>17</v>
      </c>
      <c r="J17" s="122"/>
      <c r="K17" s="49">
        <v>3</v>
      </c>
      <c r="L17" s="49">
        <v>2</v>
      </c>
      <c r="M17" s="49">
        <v>0</v>
      </c>
      <c r="N17" s="49">
        <v>2</v>
      </c>
      <c r="O17" s="49">
        <v>0</v>
      </c>
      <c r="P17" s="50">
        <v>0</v>
      </c>
      <c r="Q17" s="50">
        <v>0</v>
      </c>
      <c r="R17" s="49">
        <v>1</v>
      </c>
      <c r="S17" s="49">
        <v>0</v>
      </c>
      <c r="T17" s="49">
        <v>3</v>
      </c>
      <c r="U17" s="49">
        <v>2</v>
      </c>
      <c r="V17" s="49">
        <v>2</v>
      </c>
      <c r="W17" s="50">
        <v>0.888889</v>
      </c>
      <c r="X17" s="50">
        <v>0.3333333333333333</v>
      </c>
      <c r="Y17" s="49">
        <v>0</v>
      </c>
      <c r="Z17" s="50">
        <v>0</v>
      </c>
      <c r="AA17" s="49">
        <v>1</v>
      </c>
      <c r="AB17" s="50">
        <v>2.0833333333333335</v>
      </c>
      <c r="AC17" s="49">
        <v>0</v>
      </c>
      <c r="AD17" s="50">
        <v>0</v>
      </c>
      <c r="AE17" s="49">
        <v>47</v>
      </c>
      <c r="AF17" s="50">
        <v>97.91666666666667</v>
      </c>
      <c r="AG17" s="49">
        <v>48</v>
      </c>
      <c r="AH17" s="79"/>
      <c r="AI17" s="79"/>
      <c r="AJ17" s="79" t="s">
        <v>2261</v>
      </c>
      <c r="AK17" s="84" t="s">
        <v>1733</v>
      </c>
      <c r="AL17" s="84" t="s">
        <v>871</v>
      </c>
      <c r="AM17" s="79" t="s">
        <v>378</v>
      </c>
      <c r="AN17" s="79" t="s">
        <v>377</v>
      </c>
      <c r="AO17" s="79" t="s">
        <v>2469</v>
      </c>
    </row>
    <row r="18" spans="1:41" ht="15">
      <c r="A18" s="120" t="s">
        <v>1666</v>
      </c>
      <c r="B18" s="66" t="s">
        <v>1681</v>
      </c>
      <c r="C18" s="66" t="s">
        <v>59</v>
      </c>
      <c r="D18" s="121"/>
      <c r="E18" s="14"/>
      <c r="F18" s="15" t="s">
        <v>2664</v>
      </c>
      <c r="G18" s="64"/>
      <c r="H18" s="64"/>
      <c r="I18" s="107">
        <v>18</v>
      </c>
      <c r="J18" s="122"/>
      <c r="K18" s="49">
        <v>3</v>
      </c>
      <c r="L18" s="49">
        <v>3</v>
      </c>
      <c r="M18" s="49">
        <v>0</v>
      </c>
      <c r="N18" s="49">
        <v>3</v>
      </c>
      <c r="O18" s="49">
        <v>0</v>
      </c>
      <c r="P18" s="50">
        <v>0</v>
      </c>
      <c r="Q18" s="50">
        <v>0</v>
      </c>
      <c r="R18" s="49">
        <v>1</v>
      </c>
      <c r="S18" s="49">
        <v>0</v>
      </c>
      <c r="T18" s="49">
        <v>3</v>
      </c>
      <c r="U18" s="49">
        <v>3</v>
      </c>
      <c r="V18" s="49">
        <v>1</v>
      </c>
      <c r="W18" s="50">
        <v>0.666667</v>
      </c>
      <c r="X18" s="50">
        <v>0.5</v>
      </c>
      <c r="Y18" s="49">
        <v>0</v>
      </c>
      <c r="Z18" s="50">
        <v>0</v>
      </c>
      <c r="AA18" s="49">
        <v>0</v>
      </c>
      <c r="AB18" s="50">
        <v>0</v>
      </c>
      <c r="AC18" s="49">
        <v>0</v>
      </c>
      <c r="AD18" s="50">
        <v>0</v>
      </c>
      <c r="AE18" s="49">
        <v>76</v>
      </c>
      <c r="AF18" s="50">
        <v>100</v>
      </c>
      <c r="AG18" s="49">
        <v>76</v>
      </c>
      <c r="AH18" s="79"/>
      <c r="AI18" s="79"/>
      <c r="AJ18" s="79" t="s">
        <v>472</v>
      </c>
      <c r="AK18" s="84" t="s">
        <v>2290</v>
      </c>
      <c r="AL18" s="84" t="s">
        <v>2404</v>
      </c>
      <c r="AM18" s="79"/>
      <c r="AN18" s="79" t="s">
        <v>369</v>
      </c>
      <c r="AO18" s="79" t="s">
        <v>2470</v>
      </c>
    </row>
    <row r="19" spans="1:41" ht="15">
      <c r="A19" s="120" t="s">
        <v>1667</v>
      </c>
      <c r="B19" s="66" t="s">
        <v>1682</v>
      </c>
      <c r="C19" s="66" t="s">
        <v>59</v>
      </c>
      <c r="D19" s="121"/>
      <c r="E19" s="14"/>
      <c r="F19" s="15" t="s">
        <v>2665</v>
      </c>
      <c r="G19" s="64"/>
      <c r="H19" s="64"/>
      <c r="I19" s="107">
        <v>19</v>
      </c>
      <c r="J19" s="122"/>
      <c r="K19" s="49">
        <v>3</v>
      </c>
      <c r="L19" s="49">
        <v>3</v>
      </c>
      <c r="M19" s="49">
        <v>0</v>
      </c>
      <c r="N19" s="49">
        <v>3</v>
      </c>
      <c r="O19" s="49">
        <v>0</v>
      </c>
      <c r="P19" s="50">
        <v>0</v>
      </c>
      <c r="Q19" s="50">
        <v>0</v>
      </c>
      <c r="R19" s="49">
        <v>1</v>
      </c>
      <c r="S19" s="49">
        <v>0</v>
      </c>
      <c r="T19" s="49">
        <v>3</v>
      </c>
      <c r="U19" s="49">
        <v>3</v>
      </c>
      <c r="V19" s="49">
        <v>1</v>
      </c>
      <c r="W19" s="50">
        <v>0.666667</v>
      </c>
      <c r="X19" s="50">
        <v>0.5</v>
      </c>
      <c r="Y19" s="49">
        <v>2</v>
      </c>
      <c r="Z19" s="50">
        <v>2.7777777777777777</v>
      </c>
      <c r="AA19" s="49">
        <v>0</v>
      </c>
      <c r="AB19" s="50">
        <v>0</v>
      </c>
      <c r="AC19" s="49">
        <v>0</v>
      </c>
      <c r="AD19" s="50">
        <v>0</v>
      </c>
      <c r="AE19" s="49">
        <v>70</v>
      </c>
      <c r="AF19" s="50">
        <v>97.22222222222223</v>
      </c>
      <c r="AG19" s="49">
        <v>72</v>
      </c>
      <c r="AH19" s="79"/>
      <c r="AI19" s="79"/>
      <c r="AJ19" s="79" t="s">
        <v>468</v>
      </c>
      <c r="AK19" s="84" t="s">
        <v>2696</v>
      </c>
      <c r="AL19" s="84" t="s">
        <v>2697</v>
      </c>
      <c r="AM19" s="79"/>
      <c r="AN19" s="79" t="s">
        <v>359</v>
      </c>
      <c r="AO19" s="79" t="s">
        <v>2471</v>
      </c>
    </row>
    <row r="20" spans="1:41" ht="15">
      <c r="A20" s="120" t="s">
        <v>1668</v>
      </c>
      <c r="B20" s="66" t="s">
        <v>1683</v>
      </c>
      <c r="C20" s="66" t="s">
        <v>59</v>
      </c>
      <c r="D20" s="121"/>
      <c r="E20" s="14"/>
      <c r="F20" s="15" t="s">
        <v>2666</v>
      </c>
      <c r="G20" s="64"/>
      <c r="H20" s="64"/>
      <c r="I20" s="107">
        <v>20</v>
      </c>
      <c r="J20" s="122"/>
      <c r="K20" s="49">
        <v>2</v>
      </c>
      <c r="L20" s="49">
        <v>2</v>
      </c>
      <c r="M20" s="49">
        <v>0</v>
      </c>
      <c r="N20" s="49">
        <v>2</v>
      </c>
      <c r="O20" s="49">
        <v>1</v>
      </c>
      <c r="P20" s="50">
        <v>0</v>
      </c>
      <c r="Q20" s="50">
        <v>0</v>
      </c>
      <c r="R20" s="49">
        <v>1</v>
      </c>
      <c r="S20" s="49">
        <v>0</v>
      </c>
      <c r="T20" s="49">
        <v>2</v>
      </c>
      <c r="U20" s="49">
        <v>2</v>
      </c>
      <c r="V20" s="49">
        <v>1</v>
      </c>
      <c r="W20" s="50">
        <v>0.5</v>
      </c>
      <c r="X20" s="50">
        <v>0.5</v>
      </c>
      <c r="Y20" s="49">
        <v>0</v>
      </c>
      <c r="Z20" s="50">
        <v>0</v>
      </c>
      <c r="AA20" s="49">
        <v>0</v>
      </c>
      <c r="AB20" s="50">
        <v>0</v>
      </c>
      <c r="AC20" s="49">
        <v>0</v>
      </c>
      <c r="AD20" s="50">
        <v>0</v>
      </c>
      <c r="AE20" s="49">
        <v>58</v>
      </c>
      <c r="AF20" s="50">
        <v>100</v>
      </c>
      <c r="AG20" s="49">
        <v>58</v>
      </c>
      <c r="AH20" s="79" t="s">
        <v>2194</v>
      </c>
      <c r="AI20" s="79" t="s">
        <v>466</v>
      </c>
      <c r="AJ20" s="79" t="s">
        <v>516</v>
      </c>
      <c r="AK20" s="84" t="s">
        <v>2291</v>
      </c>
      <c r="AL20" s="84" t="s">
        <v>2405</v>
      </c>
      <c r="AM20" s="79"/>
      <c r="AN20" s="79"/>
      <c r="AO20" s="79" t="s">
        <v>2472</v>
      </c>
    </row>
    <row r="21" spans="1:41" ht="15">
      <c r="A21" s="120" t="s">
        <v>1669</v>
      </c>
      <c r="B21" s="66" t="s">
        <v>1684</v>
      </c>
      <c r="C21" s="66" t="s">
        <v>59</v>
      </c>
      <c r="D21" s="121"/>
      <c r="E21" s="14"/>
      <c r="F21" s="15" t="s">
        <v>2667</v>
      </c>
      <c r="G21" s="64"/>
      <c r="H21" s="64"/>
      <c r="I21" s="107">
        <v>21</v>
      </c>
      <c r="J21" s="122"/>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8</v>
      </c>
      <c r="AF21" s="50">
        <v>100</v>
      </c>
      <c r="AG21" s="49">
        <v>8</v>
      </c>
      <c r="AH21" s="79"/>
      <c r="AI21" s="79"/>
      <c r="AJ21" s="79" t="s">
        <v>510</v>
      </c>
      <c r="AK21" s="84" t="s">
        <v>871</v>
      </c>
      <c r="AL21" s="84" t="s">
        <v>871</v>
      </c>
      <c r="AM21" s="79" t="s">
        <v>380</v>
      </c>
      <c r="AN21" s="79"/>
      <c r="AO21" s="79" t="s">
        <v>2473</v>
      </c>
    </row>
    <row r="22" spans="1:41" ht="15">
      <c r="A22" s="120" t="s">
        <v>1670</v>
      </c>
      <c r="B22" s="66" t="s">
        <v>1685</v>
      </c>
      <c r="C22" s="66" t="s">
        <v>59</v>
      </c>
      <c r="D22" s="121"/>
      <c r="E22" s="14"/>
      <c r="F22" s="15" t="s">
        <v>2668</v>
      </c>
      <c r="G22" s="64"/>
      <c r="H22" s="64"/>
      <c r="I22" s="107">
        <v>22</v>
      </c>
      <c r="J22" s="122"/>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27</v>
      </c>
      <c r="AF22" s="50">
        <v>100</v>
      </c>
      <c r="AG22" s="49">
        <v>27</v>
      </c>
      <c r="AH22" s="79"/>
      <c r="AI22" s="79"/>
      <c r="AJ22" s="79" t="s">
        <v>509</v>
      </c>
      <c r="AK22" s="84" t="s">
        <v>871</v>
      </c>
      <c r="AL22" s="84" t="s">
        <v>871</v>
      </c>
      <c r="AM22" s="79" t="s">
        <v>379</v>
      </c>
      <c r="AN22" s="79"/>
      <c r="AO22" s="79" t="s">
        <v>2474</v>
      </c>
    </row>
    <row r="23" spans="1:41" ht="15">
      <c r="A23" s="120" t="s">
        <v>1671</v>
      </c>
      <c r="B23" s="66" t="s">
        <v>1686</v>
      </c>
      <c r="C23" s="66" t="s">
        <v>59</v>
      </c>
      <c r="D23" s="121"/>
      <c r="E23" s="14"/>
      <c r="F23" s="15" t="s">
        <v>2669</v>
      </c>
      <c r="G23" s="64"/>
      <c r="H23" s="64"/>
      <c r="I23" s="107">
        <v>23</v>
      </c>
      <c r="J23" s="122"/>
      <c r="K23" s="49">
        <v>2</v>
      </c>
      <c r="L23" s="49">
        <v>2</v>
      </c>
      <c r="M23" s="49">
        <v>0</v>
      </c>
      <c r="N23" s="49">
        <v>2</v>
      </c>
      <c r="O23" s="49">
        <v>1</v>
      </c>
      <c r="P23" s="50">
        <v>0</v>
      </c>
      <c r="Q23" s="50">
        <v>0</v>
      </c>
      <c r="R23" s="49">
        <v>1</v>
      </c>
      <c r="S23" s="49">
        <v>0</v>
      </c>
      <c r="T23" s="49">
        <v>2</v>
      </c>
      <c r="U23" s="49">
        <v>2</v>
      </c>
      <c r="V23" s="49">
        <v>1</v>
      </c>
      <c r="W23" s="50">
        <v>0.5</v>
      </c>
      <c r="X23" s="50">
        <v>0.5</v>
      </c>
      <c r="Y23" s="49">
        <v>0</v>
      </c>
      <c r="Z23" s="50">
        <v>0</v>
      </c>
      <c r="AA23" s="49">
        <v>0</v>
      </c>
      <c r="AB23" s="50">
        <v>0</v>
      </c>
      <c r="AC23" s="49">
        <v>0</v>
      </c>
      <c r="AD23" s="50">
        <v>0</v>
      </c>
      <c r="AE23" s="49">
        <v>30</v>
      </c>
      <c r="AF23" s="50">
        <v>100</v>
      </c>
      <c r="AG23" s="49">
        <v>30</v>
      </c>
      <c r="AH23" s="79" t="s">
        <v>2195</v>
      </c>
      <c r="AI23" s="79" t="s">
        <v>464</v>
      </c>
      <c r="AJ23" s="79" t="s">
        <v>472</v>
      </c>
      <c r="AK23" s="84" t="s">
        <v>2292</v>
      </c>
      <c r="AL23" s="84" t="s">
        <v>2406</v>
      </c>
      <c r="AM23" s="79"/>
      <c r="AN23" s="79"/>
      <c r="AO23" s="79" t="s">
        <v>2475</v>
      </c>
    </row>
    <row r="24" spans="1:41" ht="15">
      <c r="A24" s="120" t="s">
        <v>1672</v>
      </c>
      <c r="B24" s="66" t="s">
        <v>1687</v>
      </c>
      <c r="C24" s="66" t="s">
        <v>59</v>
      </c>
      <c r="D24" s="121"/>
      <c r="E24" s="14"/>
      <c r="F24" s="15" t="s">
        <v>2670</v>
      </c>
      <c r="G24" s="64"/>
      <c r="H24" s="64"/>
      <c r="I24" s="107">
        <v>24</v>
      </c>
      <c r="J24" s="122"/>
      <c r="K24" s="49">
        <v>2</v>
      </c>
      <c r="L24" s="49">
        <v>1</v>
      </c>
      <c r="M24" s="49">
        <v>2</v>
      </c>
      <c r="N24" s="49">
        <v>3</v>
      </c>
      <c r="O24" s="49">
        <v>2</v>
      </c>
      <c r="P24" s="50">
        <v>0</v>
      </c>
      <c r="Q24" s="50">
        <v>0</v>
      </c>
      <c r="R24" s="49">
        <v>1</v>
      </c>
      <c r="S24" s="49">
        <v>0</v>
      </c>
      <c r="T24" s="49">
        <v>2</v>
      </c>
      <c r="U24" s="49">
        <v>3</v>
      </c>
      <c r="V24" s="49">
        <v>1</v>
      </c>
      <c r="W24" s="50">
        <v>0.5</v>
      </c>
      <c r="X24" s="50">
        <v>0.5</v>
      </c>
      <c r="Y24" s="49">
        <v>0</v>
      </c>
      <c r="Z24" s="50">
        <v>0</v>
      </c>
      <c r="AA24" s="49">
        <v>0</v>
      </c>
      <c r="AB24" s="50">
        <v>0</v>
      </c>
      <c r="AC24" s="49">
        <v>0</v>
      </c>
      <c r="AD24" s="50">
        <v>0</v>
      </c>
      <c r="AE24" s="49">
        <v>19</v>
      </c>
      <c r="AF24" s="50">
        <v>100</v>
      </c>
      <c r="AG24" s="49">
        <v>19</v>
      </c>
      <c r="AH24" s="79" t="s">
        <v>2196</v>
      </c>
      <c r="AI24" s="79" t="s">
        <v>460</v>
      </c>
      <c r="AJ24" s="79" t="s">
        <v>2262</v>
      </c>
      <c r="AK24" s="84" t="s">
        <v>2293</v>
      </c>
      <c r="AL24" s="84" t="s">
        <v>2407</v>
      </c>
      <c r="AM24" s="79"/>
      <c r="AN24" s="79"/>
      <c r="AO24" s="79" t="s">
        <v>2476</v>
      </c>
    </row>
    <row r="25" spans="1:41" ht="15">
      <c r="A25" s="120" t="s">
        <v>1673</v>
      </c>
      <c r="B25" s="66" t="s">
        <v>1688</v>
      </c>
      <c r="C25" s="66" t="s">
        <v>59</v>
      </c>
      <c r="D25" s="121"/>
      <c r="E25" s="14"/>
      <c r="F25" s="15" t="s">
        <v>2671</v>
      </c>
      <c r="G25" s="64"/>
      <c r="H25" s="64"/>
      <c r="I25" s="107">
        <v>25</v>
      </c>
      <c r="J25" s="122"/>
      <c r="K25" s="49">
        <v>2</v>
      </c>
      <c r="L25" s="49">
        <v>2</v>
      </c>
      <c r="M25" s="49">
        <v>0</v>
      </c>
      <c r="N25" s="49">
        <v>2</v>
      </c>
      <c r="O25" s="49">
        <v>1</v>
      </c>
      <c r="P25" s="50">
        <v>0</v>
      </c>
      <c r="Q25" s="50">
        <v>0</v>
      </c>
      <c r="R25" s="49">
        <v>1</v>
      </c>
      <c r="S25" s="49">
        <v>0</v>
      </c>
      <c r="T25" s="49">
        <v>2</v>
      </c>
      <c r="U25" s="49">
        <v>2</v>
      </c>
      <c r="V25" s="49">
        <v>1</v>
      </c>
      <c r="W25" s="50">
        <v>0.5</v>
      </c>
      <c r="X25" s="50">
        <v>0.5</v>
      </c>
      <c r="Y25" s="49">
        <v>0</v>
      </c>
      <c r="Z25" s="50">
        <v>0</v>
      </c>
      <c r="AA25" s="49">
        <v>0</v>
      </c>
      <c r="AB25" s="50">
        <v>0</v>
      </c>
      <c r="AC25" s="49">
        <v>0</v>
      </c>
      <c r="AD25" s="50">
        <v>0</v>
      </c>
      <c r="AE25" s="49">
        <v>34</v>
      </c>
      <c r="AF25" s="50">
        <v>100</v>
      </c>
      <c r="AG25" s="49">
        <v>34</v>
      </c>
      <c r="AH25" s="79"/>
      <c r="AI25" s="79"/>
      <c r="AJ25" s="79" t="s">
        <v>485</v>
      </c>
      <c r="AK25" s="84" t="s">
        <v>2294</v>
      </c>
      <c r="AL25" s="84" t="s">
        <v>2408</v>
      </c>
      <c r="AM25" s="79"/>
      <c r="AN25" s="79"/>
      <c r="AO25" s="79" t="s">
        <v>2477</v>
      </c>
    </row>
    <row r="26" spans="1:41" ht="15">
      <c r="A26" s="120" t="s">
        <v>1674</v>
      </c>
      <c r="B26" s="66" t="s">
        <v>1689</v>
      </c>
      <c r="C26" s="66" t="s">
        <v>59</v>
      </c>
      <c r="D26" s="121"/>
      <c r="E26" s="14"/>
      <c r="F26" s="15" t="s">
        <v>2672</v>
      </c>
      <c r="G26" s="64"/>
      <c r="H26" s="64"/>
      <c r="I26" s="107">
        <v>26</v>
      </c>
      <c r="J26" s="122"/>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20</v>
      </c>
      <c r="AF26" s="50">
        <v>100</v>
      </c>
      <c r="AG26" s="49">
        <v>20</v>
      </c>
      <c r="AH26" s="79" t="s">
        <v>2197</v>
      </c>
      <c r="AI26" s="79" t="s">
        <v>458</v>
      </c>
      <c r="AJ26" s="79" t="s">
        <v>483</v>
      </c>
      <c r="AK26" s="84" t="s">
        <v>871</v>
      </c>
      <c r="AL26" s="84" t="s">
        <v>871</v>
      </c>
      <c r="AM26" s="79"/>
      <c r="AN26" s="79" t="s">
        <v>364</v>
      </c>
      <c r="AO26" s="79" t="s">
        <v>2478</v>
      </c>
    </row>
    <row r="27" spans="1:41" ht="15">
      <c r="A27" s="120" t="s">
        <v>1675</v>
      </c>
      <c r="B27" s="66" t="s">
        <v>1678</v>
      </c>
      <c r="C27" s="66" t="s">
        <v>61</v>
      </c>
      <c r="D27" s="121"/>
      <c r="E27" s="14"/>
      <c r="F27" s="15" t="s">
        <v>2673</v>
      </c>
      <c r="G27" s="64"/>
      <c r="H27" s="64"/>
      <c r="I27" s="107">
        <v>27</v>
      </c>
      <c r="J27" s="122"/>
      <c r="K27" s="49">
        <v>2</v>
      </c>
      <c r="L27" s="49">
        <v>2</v>
      </c>
      <c r="M27" s="49">
        <v>0</v>
      </c>
      <c r="N27" s="49">
        <v>2</v>
      </c>
      <c r="O27" s="49">
        <v>1</v>
      </c>
      <c r="P27" s="50">
        <v>0</v>
      </c>
      <c r="Q27" s="50">
        <v>0</v>
      </c>
      <c r="R27" s="49">
        <v>1</v>
      </c>
      <c r="S27" s="49">
        <v>0</v>
      </c>
      <c r="T27" s="49">
        <v>2</v>
      </c>
      <c r="U27" s="49">
        <v>2</v>
      </c>
      <c r="V27" s="49">
        <v>1</v>
      </c>
      <c r="W27" s="50">
        <v>0.5</v>
      </c>
      <c r="X27" s="50">
        <v>0.5</v>
      </c>
      <c r="Y27" s="49">
        <v>0</v>
      </c>
      <c r="Z27" s="50">
        <v>0</v>
      </c>
      <c r="AA27" s="49">
        <v>0</v>
      </c>
      <c r="AB27" s="50">
        <v>0</v>
      </c>
      <c r="AC27" s="49">
        <v>0</v>
      </c>
      <c r="AD27" s="50">
        <v>0</v>
      </c>
      <c r="AE27" s="49">
        <v>44</v>
      </c>
      <c r="AF27" s="50">
        <v>100</v>
      </c>
      <c r="AG27" s="49">
        <v>44</v>
      </c>
      <c r="AH27" s="79" t="s">
        <v>2198</v>
      </c>
      <c r="AI27" s="79" t="s">
        <v>456</v>
      </c>
      <c r="AJ27" s="79" t="s">
        <v>472</v>
      </c>
      <c r="AK27" s="84" t="s">
        <v>2295</v>
      </c>
      <c r="AL27" s="84" t="s">
        <v>2409</v>
      </c>
      <c r="AM27" s="79"/>
      <c r="AN27" s="79"/>
      <c r="AO27" s="79" t="s">
        <v>2479</v>
      </c>
    </row>
    <row r="28" spans="1:41" ht="15">
      <c r="A28" s="120" t="s">
        <v>1676</v>
      </c>
      <c r="B28" s="66" t="s">
        <v>1679</v>
      </c>
      <c r="C28" s="66" t="s">
        <v>61</v>
      </c>
      <c r="D28" s="121"/>
      <c r="E28" s="14"/>
      <c r="F28" s="15" t="s">
        <v>2674</v>
      </c>
      <c r="G28" s="64"/>
      <c r="H28" s="64"/>
      <c r="I28" s="107">
        <v>28</v>
      </c>
      <c r="J28" s="122"/>
      <c r="K28" s="49">
        <v>2</v>
      </c>
      <c r="L28" s="49">
        <v>1</v>
      </c>
      <c r="M28" s="49">
        <v>2</v>
      </c>
      <c r="N28" s="49">
        <v>3</v>
      </c>
      <c r="O28" s="49">
        <v>2</v>
      </c>
      <c r="P28" s="50">
        <v>0</v>
      </c>
      <c r="Q28" s="50">
        <v>0</v>
      </c>
      <c r="R28" s="49">
        <v>1</v>
      </c>
      <c r="S28" s="49">
        <v>0</v>
      </c>
      <c r="T28" s="49">
        <v>2</v>
      </c>
      <c r="U28" s="49">
        <v>3</v>
      </c>
      <c r="V28" s="49">
        <v>1</v>
      </c>
      <c r="W28" s="50">
        <v>0.5</v>
      </c>
      <c r="X28" s="50">
        <v>0.5</v>
      </c>
      <c r="Y28" s="49">
        <v>0</v>
      </c>
      <c r="Z28" s="50">
        <v>0</v>
      </c>
      <c r="AA28" s="49">
        <v>0</v>
      </c>
      <c r="AB28" s="50">
        <v>0</v>
      </c>
      <c r="AC28" s="49">
        <v>0</v>
      </c>
      <c r="AD28" s="50">
        <v>0</v>
      </c>
      <c r="AE28" s="49">
        <v>43</v>
      </c>
      <c r="AF28" s="50">
        <v>100</v>
      </c>
      <c r="AG28" s="49">
        <v>43</v>
      </c>
      <c r="AH28" s="79" t="s">
        <v>2199</v>
      </c>
      <c r="AI28" s="79" t="s">
        <v>452</v>
      </c>
      <c r="AJ28" s="79" t="s">
        <v>2263</v>
      </c>
      <c r="AK28" s="84" t="s">
        <v>2296</v>
      </c>
      <c r="AL28" s="84" t="s">
        <v>2410</v>
      </c>
      <c r="AM28" s="79"/>
      <c r="AN28" s="79"/>
      <c r="AO28" s="79" t="s">
        <v>2480</v>
      </c>
    </row>
    <row r="29" spans="1:41" ht="15">
      <c r="A29" s="120" t="s">
        <v>1677</v>
      </c>
      <c r="B29" s="66" t="s">
        <v>1680</v>
      </c>
      <c r="C29" s="66" t="s">
        <v>61</v>
      </c>
      <c r="D29" s="123"/>
      <c r="E29" s="124"/>
      <c r="F29" s="125" t="s">
        <v>2675</v>
      </c>
      <c r="G29" s="126"/>
      <c r="H29" s="126"/>
      <c r="I29" s="127">
        <v>29</v>
      </c>
      <c r="J29" s="128"/>
      <c r="K29" s="49">
        <v>2</v>
      </c>
      <c r="L29" s="49">
        <v>2</v>
      </c>
      <c r="M29" s="49">
        <v>0</v>
      </c>
      <c r="N29" s="49">
        <v>2</v>
      </c>
      <c r="O29" s="49">
        <v>1</v>
      </c>
      <c r="P29" s="50">
        <v>0</v>
      </c>
      <c r="Q29" s="50">
        <v>0</v>
      </c>
      <c r="R29" s="49">
        <v>1</v>
      </c>
      <c r="S29" s="49">
        <v>0</v>
      </c>
      <c r="T29" s="49">
        <v>2</v>
      </c>
      <c r="U29" s="49">
        <v>2</v>
      </c>
      <c r="V29" s="49">
        <v>1</v>
      </c>
      <c r="W29" s="50">
        <v>0.5</v>
      </c>
      <c r="X29" s="50">
        <v>0.5</v>
      </c>
      <c r="Y29" s="49">
        <v>0</v>
      </c>
      <c r="Z29" s="50">
        <v>0</v>
      </c>
      <c r="AA29" s="49">
        <v>0</v>
      </c>
      <c r="AB29" s="50">
        <v>0</v>
      </c>
      <c r="AC29" s="49">
        <v>0</v>
      </c>
      <c r="AD29" s="50">
        <v>0</v>
      </c>
      <c r="AE29" s="49">
        <v>56</v>
      </c>
      <c r="AF29" s="50">
        <v>100</v>
      </c>
      <c r="AG29" s="49">
        <v>56</v>
      </c>
      <c r="AH29" s="79"/>
      <c r="AI29" s="79"/>
      <c r="AJ29" s="79" t="s">
        <v>2264</v>
      </c>
      <c r="AK29" s="84" t="s">
        <v>2297</v>
      </c>
      <c r="AL29" s="84" t="s">
        <v>2411</v>
      </c>
      <c r="AM29" s="79"/>
      <c r="AN29" s="79"/>
      <c r="AO29" s="79" t="s">
        <v>2481</v>
      </c>
    </row>
  </sheetData>
  <dataValidations count="8">
    <dataValidation allowBlank="1" showInputMessage="1" promptTitle="Group Vertex Color" prompt="To select a color to use for all vertices in the group, right-click and select Select Color on the right-click menu." sqref="B3:B2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9">
      <formula1>ValidGroupShapes</formula1>
    </dataValidation>
    <dataValidation allowBlank="1" showInputMessage="1" showErrorMessage="1" promptTitle="Group Name" prompt="Enter the name of the group." sqref="A3:A2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9">
      <formula1>ValidBooleansDefaultFalse</formula1>
    </dataValidation>
    <dataValidation allowBlank="1" sqref="K3:K29"/>
    <dataValidation allowBlank="1" showInputMessage="1" showErrorMessage="1" promptTitle="Group Label" prompt="Enter an optional group label." errorTitle="Invalid Group Collapsed" error="You have entered an unrecognized &quot;group collapsed.&quot;  Try selecting from the drop-down list instead." sqref="F3:F2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1651</v>
      </c>
      <c r="B2" s="84" t="s">
        <v>333</v>
      </c>
      <c r="C2" s="79">
        <f>VLOOKUP(GroupVertices[[#This Row],[Vertex]],Vertices[],MATCH("ID",Vertices[[#Headers],[Vertex]:[Top Word Pairs in Tweet by Salience]],0),FALSE)</f>
        <v>141</v>
      </c>
    </row>
    <row r="3" spans="1:3" ht="15">
      <c r="A3" s="80" t="s">
        <v>1651</v>
      </c>
      <c r="B3" s="84" t="s">
        <v>332</v>
      </c>
      <c r="C3" s="79">
        <f>VLOOKUP(GroupVertices[[#This Row],[Vertex]],Vertices[],MATCH("ID",Vertices[[#Headers],[Vertex]:[Top Word Pairs in Tweet by Salience]],0),FALSE)</f>
        <v>89</v>
      </c>
    </row>
    <row r="4" spans="1:3" ht="15">
      <c r="A4" s="80" t="s">
        <v>1651</v>
      </c>
      <c r="B4" s="84" t="s">
        <v>324</v>
      </c>
      <c r="C4" s="79">
        <f>VLOOKUP(GroupVertices[[#This Row],[Vertex]],Vertices[],MATCH("ID",Vertices[[#Headers],[Vertex]:[Top Word Pairs in Tweet by Salience]],0),FALSE)</f>
        <v>134</v>
      </c>
    </row>
    <row r="5" spans="1:3" ht="15">
      <c r="A5" s="80" t="s">
        <v>1651</v>
      </c>
      <c r="B5" s="84" t="s">
        <v>323</v>
      </c>
      <c r="C5" s="79">
        <f>VLOOKUP(GroupVertices[[#This Row],[Vertex]],Vertices[],MATCH("ID",Vertices[[#Headers],[Vertex]:[Top Word Pairs in Tweet by Salience]],0),FALSE)</f>
        <v>133</v>
      </c>
    </row>
    <row r="6" spans="1:3" ht="15">
      <c r="A6" s="80" t="s">
        <v>1651</v>
      </c>
      <c r="B6" s="84" t="s">
        <v>322</v>
      </c>
      <c r="C6" s="79">
        <f>VLOOKUP(GroupVertices[[#This Row],[Vertex]],Vertices[],MATCH("ID",Vertices[[#Headers],[Vertex]:[Top Word Pairs in Tweet by Salience]],0),FALSE)</f>
        <v>132</v>
      </c>
    </row>
    <row r="7" spans="1:3" ht="15">
      <c r="A7" s="80" t="s">
        <v>1651</v>
      </c>
      <c r="B7" s="84" t="s">
        <v>321</v>
      </c>
      <c r="C7" s="79">
        <f>VLOOKUP(GroupVertices[[#This Row],[Vertex]],Vertices[],MATCH("ID",Vertices[[#Headers],[Vertex]:[Top Word Pairs in Tweet by Salience]],0),FALSE)</f>
        <v>131</v>
      </c>
    </row>
    <row r="8" spans="1:3" ht="15">
      <c r="A8" s="80" t="s">
        <v>1651</v>
      </c>
      <c r="B8" s="84" t="s">
        <v>320</v>
      </c>
      <c r="C8" s="79">
        <f>VLOOKUP(GroupVertices[[#This Row],[Vertex]],Vertices[],MATCH("ID",Vertices[[#Headers],[Vertex]:[Top Word Pairs in Tweet by Salience]],0),FALSE)</f>
        <v>130</v>
      </c>
    </row>
    <row r="9" spans="1:3" ht="15">
      <c r="A9" s="80" t="s">
        <v>1651</v>
      </c>
      <c r="B9" s="84" t="s">
        <v>318</v>
      </c>
      <c r="C9" s="79">
        <f>VLOOKUP(GroupVertices[[#This Row],[Vertex]],Vertices[],MATCH("ID",Vertices[[#Headers],[Vertex]:[Top Word Pairs in Tweet by Salience]],0),FALSE)</f>
        <v>128</v>
      </c>
    </row>
    <row r="10" spans="1:3" ht="15">
      <c r="A10" s="80" t="s">
        <v>1651</v>
      </c>
      <c r="B10" s="84" t="s">
        <v>317</v>
      </c>
      <c r="C10" s="79">
        <f>VLOOKUP(GroupVertices[[#This Row],[Vertex]],Vertices[],MATCH("ID",Vertices[[#Headers],[Vertex]:[Top Word Pairs in Tweet by Salience]],0),FALSE)</f>
        <v>127</v>
      </c>
    </row>
    <row r="11" spans="1:3" ht="15">
      <c r="A11" s="80" t="s">
        <v>1651</v>
      </c>
      <c r="B11" s="84" t="s">
        <v>316</v>
      </c>
      <c r="C11" s="79">
        <f>VLOOKUP(GroupVertices[[#This Row],[Vertex]],Vertices[],MATCH("ID",Vertices[[#Headers],[Vertex]:[Top Word Pairs in Tweet by Salience]],0),FALSE)</f>
        <v>126</v>
      </c>
    </row>
    <row r="12" spans="1:3" ht="15">
      <c r="A12" s="80" t="s">
        <v>1651</v>
      </c>
      <c r="B12" s="84" t="s">
        <v>312</v>
      </c>
      <c r="C12" s="79">
        <f>VLOOKUP(GroupVertices[[#This Row],[Vertex]],Vertices[],MATCH("ID",Vertices[[#Headers],[Vertex]:[Top Word Pairs in Tweet by Salience]],0),FALSE)</f>
        <v>123</v>
      </c>
    </row>
    <row r="13" spans="1:3" ht="15">
      <c r="A13" s="80" t="s">
        <v>1651</v>
      </c>
      <c r="B13" s="84" t="s">
        <v>311</v>
      </c>
      <c r="C13" s="79">
        <f>VLOOKUP(GroupVertices[[#This Row],[Vertex]],Vertices[],MATCH("ID",Vertices[[#Headers],[Vertex]:[Top Word Pairs in Tweet by Salience]],0),FALSE)</f>
        <v>122</v>
      </c>
    </row>
    <row r="14" spans="1:3" ht="15">
      <c r="A14" s="80" t="s">
        <v>1651</v>
      </c>
      <c r="B14" s="84" t="s">
        <v>310</v>
      </c>
      <c r="C14" s="79">
        <f>VLOOKUP(GroupVertices[[#This Row],[Vertex]],Vertices[],MATCH("ID",Vertices[[#Headers],[Vertex]:[Top Word Pairs in Tweet by Salience]],0),FALSE)</f>
        <v>121</v>
      </c>
    </row>
    <row r="15" spans="1:3" ht="15">
      <c r="A15" s="80" t="s">
        <v>1651</v>
      </c>
      <c r="B15" s="84" t="s">
        <v>309</v>
      </c>
      <c r="C15" s="79">
        <f>VLOOKUP(GroupVertices[[#This Row],[Vertex]],Vertices[],MATCH("ID",Vertices[[#Headers],[Vertex]:[Top Word Pairs in Tweet by Salience]],0),FALSE)</f>
        <v>120</v>
      </c>
    </row>
    <row r="16" spans="1:3" ht="15">
      <c r="A16" s="80" t="s">
        <v>1651</v>
      </c>
      <c r="B16" s="84" t="s">
        <v>308</v>
      </c>
      <c r="C16" s="79">
        <f>VLOOKUP(GroupVertices[[#This Row],[Vertex]],Vertices[],MATCH("ID",Vertices[[#Headers],[Vertex]:[Top Word Pairs in Tweet by Salience]],0),FALSE)</f>
        <v>119</v>
      </c>
    </row>
    <row r="17" spans="1:3" ht="15">
      <c r="A17" s="80" t="s">
        <v>1651</v>
      </c>
      <c r="B17" s="84" t="s">
        <v>306</v>
      </c>
      <c r="C17" s="79">
        <f>VLOOKUP(GroupVertices[[#This Row],[Vertex]],Vertices[],MATCH("ID",Vertices[[#Headers],[Vertex]:[Top Word Pairs in Tweet by Salience]],0),FALSE)</f>
        <v>116</v>
      </c>
    </row>
    <row r="18" spans="1:3" ht="15">
      <c r="A18" s="80" t="s">
        <v>1651</v>
      </c>
      <c r="B18" s="84" t="s">
        <v>305</v>
      </c>
      <c r="C18" s="79">
        <f>VLOOKUP(GroupVertices[[#This Row],[Vertex]],Vertices[],MATCH("ID",Vertices[[#Headers],[Vertex]:[Top Word Pairs in Tweet by Salience]],0),FALSE)</f>
        <v>115</v>
      </c>
    </row>
    <row r="19" spans="1:3" ht="15">
      <c r="A19" s="80" t="s">
        <v>1651</v>
      </c>
      <c r="B19" s="84" t="s">
        <v>304</v>
      </c>
      <c r="C19" s="79">
        <f>VLOOKUP(GroupVertices[[#This Row],[Vertex]],Vertices[],MATCH("ID",Vertices[[#Headers],[Vertex]:[Top Word Pairs in Tweet by Salience]],0),FALSE)</f>
        <v>114</v>
      </c>
    </row>
    <row r="20" spans="1:3" ht="15">
      <c r="A20" s="80" t="s">
        <v>1651</v>
      </c>
      <c r="B20" s="84" t="s">
        <v>303</v>
      </c>
      <c r="C20" s="79">
        <f>VLOOKUP(GroupVertices[[#This Row],[Vertex]],Vertices[],MATCH("ID",Vertices[[#Headers],[Vertex]:[Top Word Pairs in Tweet by Salience]],0),FALSE)</f>
        <v>113</v>
      </c>
    </row>
    <row r="21" spans="1:3" ht="15">
      <c r="A21" s="80" t="s">
        <v>1651</v>
      </c>
      <c r="B21" s="84" t="s">
        <v>302</v>
      </c>
      <c r="C21" s="79">
        <f>VLOOKUP(GroupVertices[[#This Row],[Vertex]],Vertices[],MATCH("ID",Vertices[[#Headers],[Vertex]:[Top Word Pairs in Tweet by Salience]],0),FALSE)</f>
        <v>112</v>
      </c>
    </row>
    <row r="22" spans="1:3" ht="15">
      <c r="A22" s="80" t="s">
        <v>1651</v>
      </c>
      <c r="B22" s="84" t="s">
        <v>301</v>
      </c>
      <c r="C22" s="79">
        <f>VLOOKUP(GroupVertices[[#This Row],[Vertex]],Vertices[],MATCH("ID",Vertices[[#Headers],[Vertex]:[Top Word Pairs in Tweet by Salience]],0),FALSE)</f>
        <v>111</v>
      </c>
    </row>
    <row r="23" spans="1:3" ht="15">
      <c r="A23" s="80" t="s">
        <v>1651</v>
      </c>
      <c r="B23" s="84" t="s">
        <v>300</v>
      </c>
      <c r="C23" s="79">
        <f>VLOOKUP(GroupVertices[[#This Row],[Vertex]],Vertices[],MATCH("ID",Vertices[[#Headers],[Vertex]:[Top Word Pairs in Tweet by Salience]],0),FALSE)</f>
        <v>110</v>
      </c>
    </row>
    <row r="24" spans="1:3" ht="15">
      <c r="A24" s="80" t="s">
        <v>1651</v>
      </c>
      <c r="B24" s="84" t="s">
        <v>298</v>
      </c>
      <c r="C24" s="79">
        <f>VLOOKUP(GroupVertices[[#This Row],[Vertex]],Vertices[],MATCH("ID",Vertices[[#Headers],[Vertex]:[Top Word Pairs in Tweet by Salience]],0),FALSE)</f>
        <v>108</v>
      </c>
    </row>
    <row r="25" spans="1:3" ht="15">
      <c r="A25" s="80" t="s">
        <v>1651</v>
      </c>
      <c r="B25" s="84" t="s">
        <v>297</v>
      </c>
      <c r="C25" s="79">
        <f>VLOOKUP(GroupVertices[[#This Row],[Vertex]],Vertices[],MATCH("ID",Vertices[[#Headers],[Vertex]:[Top Word Pairs in Tweet by Salience]],0),FALSE)</f>
        <v>107</v>
      </c>
    </row>
    <row r="26" spans="1:3" ht="15">
      <c r="A26" s="80" t="s">
        <v>1651</v>
      </c>
      <c r="B26" s="84" t="s">
        <v>294</v>
      </c>
      <c r="C26" s="79">
        <f>VLOOKUP(GroupVertices[[#This Row],[Vertex]],Vertices[],MATCH("ID",Vertices[[#Headers],[Vertex]:[Top Word Pairs in Tweet by Salience]],0),FALSE)</f>
        <v>104</v>
      </c>
    </row>
    <row r="27" spans="1:3" ht="15">
      <c r="A27" s="80" t="s">
        <v>1651</v>
      </c>
      <c r="B27" s="84" t="s">
        <v>293</v>
      </c>
      <c r="C27" s="79">
        <f>VLOOKUP(GroupVertices[[#This Row],[Vertex]],Vertices[],MATCH("ID",Vertices[[#Headers],[Vertex]:[Top Word Pairs in Tweet by Salience]],0),FALSE)</f>
        <v>103</v>
      </c>
    </row>
    <row r="28" spans="1:3" ht="15">
      <c r="A28" s="80" t="s">
        <v>1651</v>
      </c>
      <c r="B28" s="84" t="s">
        <v>292</v>
      </c>
      <c r="C28" s="79">
        <f>VLOOKUP(GroupVertices[[#This Row],[Vertex]],Vertices[],MATCH("ID",Vertices[[#Headers],[Vertex]:[Top Word Pairs in Tweet by Salience]],0),FALSE)</f>
        <v>102</v>
      </c>
    </row>
    <row r="29" spans="1:3" ht="15">
      <c r="A29" s="80" t="s">
        <v>1651</v>
      </c>
      <c r="B29" s="84" t="s">
        <v>291</v>
      </c>
      <c r="C29" s="79">
        <f>VLOOKUP(GroupVertices[[#This Row],[Vertex]],Vertices[],MATCH("ID",Vertices[[#Headers],[Vertex]:[Top Word Pairs in Tweet by Salience]],0),FALSE)</f>
        <v>101</v>
      </c>
    </row>
    <row r="30" spans="1:3" ht="15">
      <c r="A30" s="80" t="s">
        <v>1651</v>
      </c>
      <c r="B30" s="84" t="s">
        <v>290</v>
      </c>
      <c r="C30" s="79">
        <f>VLOOKUP(GroupVertices[[#This Row],[Vertex]],Vertices[],MATCH("ID",Vertices[[#Headers],[Vertex]:[Top Word Pairs in Tweet by Salience]],0),FALSE)</f>
        <v>100</v>
      </c>
    </row>
    <row r="31" spans="1:3" ht="15">
      <c r="A31" s="80" t="s">
        <v>1651</v>
      </c>
      <c r="B31" s="84" t="s">
        <v>289</v>
      </c>
      <c r="C31" s="79">
        <f>VLOOKUP(GroupVertices[[#This Row],[Vertex]],Vertices[],MATCH("ID",Vertices[[#Headers],[Vertex]:[Top Word Pairs in Tweet by Salience]],0),FALSE)</f>
        <v>99</v>
      </c>
    </row>
    <row r="32" spans="1:3" ht="15">
      <c r="A32" s="80" t="s">
        <v>1651</v>
      </c>
      <c r="B32" s="84" t="s">
        <v>288</v>
      </c>
      <c r="C32" s="79">
        <f>VLOOKUP(GroupVertices[[#This Row],[Vertex]],Vertices[],MATCH("ID",Vertices[[#Headers],[Vertex]:[Top Word Pairs in Tweet by Salience]],0),FALSE)</f>
        <v>98</v>
      </c>
    </row>
    <row r="33" spans="1:3" ht="15">
      <c r="A33" s="80" t="s">
        <v>1651</v>
      </c>
      <c r="B33" s="84" t="s">
        <v>287</v>
      </c>
      <c r="C33" s="79">
        <f>VLOOKUP(GroupVertices[[#This Row],[Vertex]],Vertices[],MATCH("ID",Vertices[[#Headers],[Vertex]:[Top Word Pairs in Tweet by Salience]],0),FALSE)</f>
        <v>97</v>
      </c>
    </row>
    <row r="34" spans="1:3" ht="15">
      <c r="A34" s="80" t="s">
        <v>1651</v>
      </c>
      <c r="B34" s="84" t="s">
        <v>286</v>
      </c>
      <c r="C34" s="79">
        <f>VLOOKUP(GroupVertices[[#This Row],[Vertex]],Vertices[],MATCH("ID",Vertices[[#Headers],[Vertex]:[Top Word Pairs in Tweet by Salience]],0),FALSE)</f>
        <v>96</v>
      </c>
    </row>
    <row r="35" spans="1:3" ht="15">
      <c r="A35" s="80" t="s">
        <v>1651</v>
      </c>
      <c r="B35" s="84" t="s">
        <v>285</v>
      </c>
      <c r="C35" s="79">
        <f>VLOOKUP(GroupVertices[[#This Row],[Vertex]],Vertices[],MATCH("ID",Vertices[[#Headers],[Vertex]:[Top Word Pairs in Tweet by Salience]],0),FALSE)</f>
        <v>95</v>
      </c>
    </row>
    <row r="36" spans="1:3" ht="15">
      <c r="A36" s="80" t="s">
        <v>1651</v>
      </c>
      <c r="B36" s="84" t="s">
        <v>284</v>
      </c>
      <c r="C36" s="79">
        <f>VLOOKUP(GroupVertices[[#This Row],[Vertex]],Vertices[],MATCH("ID",Vertices[[#Headers],[Vertex]:[Top Word Pairs in Tweet by Salience]],0),FALSE)</f>
        <v>94</v>
      </c>
    </row>
    <row r="37" spans="1:3" ht="15">
      <c r="A37" s="80" t="s">
        <v>1651</v>
      </c>
      <c r="B37" s="84" t="s">
        <v>283</v>
      </c>
      <c r="C37" s="79">
        <f>VLOOKUP(GroupVertices[[#This Row],[Vertex]],Vertices[],MATCH("ID",Vertices[[#Headers],[Vertex]:[Top Word Pairs in Tweet by Salience]],0),FALSE)</f>
        <v>93</v>
      </c>
    </row>
    <row r="38" spans="1:3" ht="15">
      <c r="A38" s="80" t="s">
        <v>1651</v>
      </c>
      <c r="B38" s="84" t="s">
        <v>281</v>
      </c>
      <c r="C38" s="79">
        <f>VLOOKUP(GroupVertices[[#This Row],[Vertex]],Vertices[],MATCH("ID",Vertices[[#Headers],[Vertex]:[Top Word Pairs in Tweet by Salience]],0),FALSE)</f>
        <v>88</v>
      </c>
    </row>
    <row r="39" spans="1:3" ht="15">
      <c r="A39" s="80" t="s">
        <v>1652</v>
      </c>
      <c r="B39" s="84" t="s">
        <v>368</v>
      </c>
      <c r="C39" s="79">
        <f>VLOOKUP(GroupVertices[[#This Row],[Vertex]],Vertices[],MATCH("ID",Vertices[[#Headers],[Vertex]:[Top Word Pairs in Tweet by Salience]],0),FALSE)</f>
        <v>49</v>
      </c>
    </row>
    <row r="40" spans="1:3" ht="15">
      <c r="A40" s="80" t="s">
        <v>1652</v>
      </c>
      <c r="B40" s="84" t="s">
        <v>338</v>
      </c>
      <c r="C40" s="79">
        <f>VLOOKUP(GroupVertices[[#This Row],[Vertex]],Vertices[],MATCH("ID",Vertices[[#Headers],[Vertex]:[Top Word Pairs in Tweet by Salience]],0),FALSE)</f>
        <v>148</v>
      </c>
    </row>
    <row r="41" spans="1:3" ht="15">
      <c r="A41" s="80" t="s">
        <v>1652</v>
      </c>
      <c r="B41" s="84" t="s">
        <v>337</v>
      </c>
      <c r="C41" s="79">
        <f>VLOOKUP(GroupVertices[[#This Row],[Vertex]],Vertices[],MATCH("ID",Vertices[[#Headers],[Vertex]:[Top Word Pairs in Tweet by Salience]],0),FALSE)</f>
        <v>67</v>
      </c>
    </row>
    <row r="42" spans="1:3" ht="15">
      <c r="A42" s="80" t="s">
        <v>1652</v>
      </c>
      <c r="B42" s="84" t="s">
        <v>370</v>
      </c>
      <c r="C42" s="79">
        <f>VLOOKUP(GroupVertices[[#This Row],[Vertex]],Vertices[],MATCH("ID",Vertices[[#Headers],[Vertex]:[Top Word Pairs in Tweet by Salience]],0),FALSE)</f>
        <v>66</v>
      </c>
    </row>
    <row r="43" spans="1:3" ht="15">
      <c r="A43" s="80" t="s">
        <v>1652</v>
      </c>
      <c r="B43" s="84" t="s">
        <v>335</v>
      </c>
      <c r="C43" s="79">
        <f>VLOOKUP(GroupVertices[[#This Row],[Vertex]],Vertices[],MATCH("ID",Vertices[[#Headers],[Vertex]:[Top Word Pairs in Tweet by Salience]],0),FALSE)</f>
        <v>144</v>
      </c>
    </row>
    <row r="44" spans="1:3" ht="15">
      <c r="A44" s="80" t="s">
        <v>1652</v>
      </c>
      <c r="B44" s="84" t="s">
        <v>331</v>
      </c>
      <c r="C44" s="79">
        <f>VLOOKUP(GroupVertices[[#This Row],[Vertex]],Vertices[],MATCH("ID",Vertices[[#Headers],[Vertex]:[Top Word Pairs in Tweet by Salience]],0),FALSE)</f>
        <v>140</v>
      </c>
    </row>
    <row r="45" spans="1:3" ht="15">
      <c r="A45" s="80" t="s">
        <v>1652</v>
      </c>
      <c r="B45" s="84" t="s">
        <v>330</v>
      </c>
      <c r="C45" s="79">
        <f>VLOOKUP(GroupVertices[[#This Row],[Vertex]],Vertices[],MATCH("ID",Vertices[[#Headers],[Vertex]:[Top Word Pairs in Tweet by Salience]],0),FALSE)</f>
        <v>139</v>
      </c>
    </row>
    <row r="46" spans="1:3" ht="15">
      <c r="A46" s="80" t="s">
        <v>1652</v>
      </c>
      <c r="B46" s="84" t="s">
        <v>329</v>
      </c>
      <c r="C46" s="79">
        <f>VLOOKUP(GroupVertices[[#This Row],[Vertex]],Vertices[],MATCH("ID",Vertices[[#Headers],[Vertex]:[Top Word Pairs in Tweet by Salience]],0),FALSE)</f>
        <v>138</v>
      </c>
    </row>
    <row r="47" spans="1:3" ht="15">
      <c r="A47" s="80" t="s">
        <v>1652</v>
      </c>
      <c r="B47" s="84" t="s">
        <v>328</v>
      </c>
      <c r="C47" s="79">
        <f>VLOOKUP(GroupVertices[[#This Row],[Vertex]],Vertices[],MATCH("ID",Vertices[[#Headers],[Vertex]:[Top Word Pairs in Tweet by Salience]],0),FALSE)</f>
        <v>137</v>
      </c>
    </row>
    <row r="48" spans="1:3" ht="15">
      <c r="A48" s="80" t="s">
        <v>1652</v>
      </c>
      <c r="B48" s="84" t="s">
        <v>327</v>
      </c>
      <c r="C48" s="79">
        <f>VLOOKUP(GroupVertices[[#This Row],[Vertex]],Vertices[],MATCH("ID",Vertices[[#Headers],[Vertex]:[Top Word Pairs in Tweet by Salience]],0),FALSE)</f>
        <v>136</v>
      </c>
    </row>
    <row r="49" spans="1:3" ht="15">
      <c r="A49" s="80" t="s">
        <v>1652</v>
      </c>
      <c r="B49" s="84" t="s">
        <v>326</v>
      </c>
      <c r="C49" s="79">
        <f>VLOOKUP(GroupVertices[[#This Row],[Vertex]],Vertices[],MATCH("ID",Vertices[[#Headers],[Vertex]:[Top Word Pairs in Tweet by Salience]],0),FALSE)</f>
        <v>135</v>
      </c>
    </row>
    <row r="50" spans="1:3" ht="15">
      <c r="A50" s="80" t="s">
        <v>1652</v>
      </c>
      <c r="B50" s="84" t="s">
        <v>315</v>
      </c>
      <c r="C50" s="79">
        <f>VLOOKUP(GroupVertices[[#This Row],[Vertex]],Vertices[],MATCH("ID",Vertices[[#Headers],[Vertex]:[Top Word Pairs in Tweet by Salience]],0),FALSE)</f>
        <v>125</v>
      </c>
    </row>
    <row r="51" spans="1:3" ht="15">
      <c r="A51" s="80" t="s">
        <v>1652</v>
      </c>
      <c r="B51" s="84" t="s">
        <v>314</v>
      </c>
      <c r="C51" s="79">
        <f>VLOOKUP(GroupVertices[[#This Row],[Vertex]],Vertices[],MATCH("ID",Vertices[[#Headers],[Vertex]:[Top Word Pairs in Tweet by Salience]],0),FALSE)</f>
        <v>77</v>
      </c>
    </row>
    <row r="52" spans="1:3" ht="15">
      <c r="A52" s="80" t="s">
        <v>1652</v>
      </c>
      <c r="B52" s="84" t="s">
        <v>313</v>
      </c>
      <c r="C52" s="79">
        <f>VLOOKUP(GroupVertices[[#This Row],[Vertex]],Vertices[],MATCH("ID",Vertices[[#Headers],[Vertex]:[Top Word Pairs in Tweet by Salience]],0),FALSE)</f>
        <v>124</v>
      </c>
    </row>
    <row r="53" spans="1:3" ht="15">
      <c r="A53" s="80" t="s">
        <v>1652</v>
      </c>
      <c r="B53" s="84" t="s">
        <v>325</v>
      </c>
      <c r="C53" s="79">
        <f>VLOOKUP(GroupVertices[[#This Row],[Vertex]],Vertices[],MATCH("ID",Vertices[[#Headers],[Vertex]:[Top Word Pairs in Tweet by Salience]],0),FALSE)</f>
        <v>118</v>
      </c>
    </row>
    <row r="54" spans="1:3" ht="15">
      <c r="A54" s="80" t="s">
        <v>1652</v>
      </c>
      <c r="B54" s="84" t="s">
        <v>307</v>
      </c>
      <c r="C54" s="79">
        <f>VLOOKUP(GroupVertices[[#This Row],[Vertex]],Vertices[],MATCH("ID",Vertices[[#Headers],[Vertex]:[Top Word Pairs in Tweet by Salience]],0),FALSE)</f>
        <v>117</v>
      </c>
    </row>
    <row r="55" spans="1:3" ht="15">
      <c r="A55" s="80" t="s">
        <v>1652</v>
      </c>
      <c r="B55" s="84" t="s">
        <v>278</v>
      </c>
      <c r="C55" s="79">
        <f>VLOOKUP(GroupVertices[[#This Row],[Vertex]],Vertices[],MATCH("ID",Vertices[[#Headers],[Vertex]:[Top Word Pairs in Tweet by Salience]],0),FALSE)</f>
        <v>80</v>
      </c>
    </row>
    <row r="56" spans="1:3" ht="15">
      <c r="A56" s="80" t="s">
        <v>1652</v>
      </c>
      <c r="B56" s="84" t="s">
        <v>277</v>
      </c>
      <c r="C56" s="79">
        <f>VLOOKUP(GroupVertices[[#This Row],[Vertex]],Vertices[],MATCH("ID",Vertices[[#Headers],[Vertex]:[Top Word Pairs in Tweet by Salience]],0),FALSE)</f>
        <v>79</v>
      </c>
    </row>
    <row r="57" spans="1:3" ht="15">
      <c r="A57" s="80" t="s">
        <v>1652</v>
      </c>
      <c r="B57" s="84" t="s">
        <v>276</v>
      </c>
      <c r="C57" s="79">
        <f>VLOOKUP(GroupVertices[[#This Row],[Vertex]],Vertices[],MATCH("ID",Vertices[[#Headers],[Vertex]:[Top Word Pairs in Tweet by Salience]],0),FALSE)</f>
        <v>78</v>
      </c>
    </row>
    <row r="58" spans="1:3" ht="15">
      <c r="A58" s="80" t="s">
        <v>1652</v>
      </c>
      <c r="B58" s="84" t="s">
        <v>275</v>
      </c>
      <c r="C58" s="79">
        <f>VLOOKUP(GroupVertices[[#This Row],[Vertex]],Vertices[],MATCH("ID",Vertices[[#Headers],[Vertex]:[Top Word Pairs in Tweet by Salience]],0),FALSE)</f>
        <v>76</v>
      </c>
    </row>
    <row r="59" spans="1:3" ht="15">
      <c r="A59" s="80" t="s">
        <v>1652</v>
      </c>
      <c r="B59" s="84" t="s">
        <v>273</v>
      </c>
      <c r="C59" s="79">
        <f>VLOOKUP(GroupVertices[[#This Row],[Vertex]],Vertices[],MATCH("ID",Vertices[[#Headers],[Vertex]:[Top Word Pairs in Tweet by Salience]],0),FALSE)</f>
        <v>74</v>
      </c>
    </row>
    <row r="60" spans="1:3" ht="15">
      <c r="A60" s="80" t="s">
        <v>1652</v>
      </c>
      <c r="B60" s="84" t="s">
        <v>271</v>
      </c>
      <c r="C60" s="79">
        <f>VLOOKUP(GroupVertices[[#This Row],[Vertex]],Vertices[],MATCH("ID",Vertices[[#Headers],[Vertex]:[Top Word Pairs in Tweet by Salience]],0),FALSE)</f>
        <v>72</v>
      </c>
    </row>
    <row r="61" spans="1:3" ht="15">
      <c r="A61" s="80" t="s">
        <v>1652</v>
      </c>
      <c r="B61" s="84" t="s">
        <v>266</v>
      </c>
      <c r="C61" s="79">
        <f>VLOOKUP(GroupVertices[[#This Row],[Vertex]],Vertices[],MATCH("ID",Vertices[[#Headers],[Vertex]:[Top Word Pairs in Tweet by Salience]],0),FALSE)</f>
        <v>69</v>
      </c>
    </row>
    <row r="62" spans="1:3" ht="15">
      <c r="A62" s="80" t="s">
        <v>1652</v>
      </c>
      <c r="B62" s="84" t="s">
        <v>265</v>
      </c>
      <c r="C62" s="79">
        <f>VLOOKUP(GroupVertices[[#This Row],[Vertex]],Vertices[],MATCH("ID",Vertices[[#Headers],[Vertex]:[Top Word Pairs in Tweet by Salience]],0),FALSE)</f>
        <v>68</v>
      </c>
    </row>
    <row r="63" spans="1:3" ht="15">
      <c r="A63" s="80" t="s">
        <v>1652</v>
      </c>
      <c r="B63" s="84" t="s">
        <v>264</v>
      </c>
      <c r="C63" s="79">
        <f>VLOOKUP(GroupVertices[[#This Row],[Vertex]],Vertices[],MATCH("ID",Vertices[[#Headers],[Vertex]:[Top Word Pairs in Tweet by Salience]],0),FALSE)</f>
        <v>65</v>
      </c>
    </row>
    <row r="64" spans="1:3" ht="15">
      <c r="A64" s="80" t="s">
        <v>1653</v>
      </c>
      <c r="B64" s="84" t="s">
        <v>299</v>
      </c>
      <c r="C64" s="79">
        <f>VLOOKUP(GroupVertices[[#This Row],[Vertex]],Vertices[],MATCH("ID",Vertices[[#Headers],[Vertex]:[Top Word Pairs in Tweet by Salience]],0),FALSE)</f>
        <v>109</v>
      </c>
    </row>
    <row r="65" spans="1:3" ht="15">
      <c r="A65" s="80" t="s">
        <v>1653</v>
      </c>
      <c r="B65" s="84" t="s">
        <v>269</v>
      </c>
      <c r="C65" s="79">
        <f>VLOOKUP(GroupVertices[[#This Row],[Vertex]],Vertices[],MATCH("ID",Vertices[[#Headers],[Vertex]:[Top Word Pairs in Tweet by Salience]],0),FALSE)</f>
        <v>15</v>
      </c>
    </row>
    <row r="66" spans="1:3" ht="15">
      <c r="A66" s="80" t="s">
        <v>1653</v>
      </c>
      <c r="B66" s="84" t="s">
        <v>279</v>
      </c>
      <c r="C66" s="79">
        <f>VLOOKUP(GroupVertices[[#This Row],[Vertex]],Vertices[],MATCH("ID",Vertices[[#Headers],[Vertex]:[Top Word Pairs in Tweet by Salience]],0),FALSE)</f>
        <v>81</v>
      </c>
    </row>
    <row r="67" spans="1:3" ht="15">
      <c r="A67" s="80" t="s">
        <v>1653</v>
      </c>
      <c r="B67" s="84" t="s">
        <v>270</v>
      </c>
      <c r="C67" s="79">
        <f>VLOOKUP(GroupVertices[[#This Row],[Vertex]],Vertices[],MATCH("ID",Vertices[[#Headers],[Vertex]:[Top Word Pairs in Tweet by Salience]],0),FALSE)</f>
        <v>71</v>
      </c>
    </row>
    <row r="68" spans="1:3" ht="15">
      <c r="A68" s="80" t="s">
        <v>1653</v>
      </c>
      <c r="B68" s="84" t="s">
        <v>251</v>
      </c>
      <c r="C68" s="79">
        <f>VLOOKUP(GroupVertices[[#This Row],[Vertex]],Vertices[],MATCH("ID",Vertices[[#Headers],[Vertex]:[Top Word Pairs in Tweet by Salience]],0),FALSE)</f>
        <v>52</v>
      </c>
    </row>
    <row r="69" spans="1:3" ht="15">
      <c r="A69" s="80" t="s">
        <v>1653</v>
      </c>
      <c r="B69" s="84" t="s">
        <v>268</v>
      </c>
      <c r="C69" s="79">
        <f>VLOOKUP(GroupVertices[[#This Row],[Vertex]],Vertices[],MATCH("ID",Vertices[[#Headers],[Vertex]:[Top Word Pairs in Tweet by Salience]],0),FALSE)</f>
        <v>33</v>
      </c>
    </row>
    <row r="70" spans="1:3" ht="15">
      <c r="A70" s="80" t="s">
        <v>1653</v>
      </c>
      <c r="B70" s="84" t="s">
        <v>250</v>
      </c>
      <c r="C70" s="79">
        <f>VLOOKUP(GroupVertices[[#This Row],[Vertex]],Vertices[],MATCH("ID",Vertices[[#Headers],[Vertex]:[Top Word Pairs in Tweet by Salience]],0),FALSE)</f>
        <v>51</v>
      </c>
    </row>
    <row r="71" spans="1:3" ht="15">
      <c r="A71" s="80" t="s">
        <v>1653</v>
      </c>
      <c r="B71" s="84" t="s">
        <v>249</v>
      </c>
      <c r="C71" s="79">
        <f>VLOOKUP(GroupVertices[[#This Row],[Vertex]],Vertices[],MATCH("ID",Vertices[[#Headers],[Vertex]:[Top Word Pairs in Tweet by Salience]],0),FALSE)</f>
        <v>50</v>
      </c>
    </row>
    <row r="72" spans="1:3" ht="15">
      <c r="A72" s="80" t="s">
        <v>1653</v>
      </c>
      <c r="B72" s="84" t="s">
        <v>240</v>
      </c>
      <c r="C72" s="79">
        <f>VLOOKUP(GroupVertices[[#This Row],[Vertex]],Vertices[],MATCH("ID",Vertices[[#Headers],[Vertex]:[Top Word Pairs in Tweet by Salience]],0),FALSE)</f>
        <v>32</v>
      </c>
    </row>
    <row r="73" spans="1:3" ht="15">
      <c r="A73" s="80" t="s">
        <v>1653</v>
      </c>
      <c r="B73" s="84" t="s">
        <v>231</v>
      </c>
      <c r="C73" s="79">
        <f>VLOOKUP(GroupVertices[[#This Row],[Vertex]],Vertices[],MATCH("ID",Vertices[[#Headers],[Vertex]:[Top Word Pairs in Tweet by Salience]],0),FALSE)</f>
        <v>22</v>
      </c>
    </row>
    <row r="74" spans="1:3" ht="15">
      <c r="A74" s="80" t="s">
        <v>1653</v>
      </c>
      <c r="B74" s="84" t="s">
        <v>226</v>
      </c>
      <c r="C74" s="79">
        <f>VLOOKUP(GroupVertices[[#This Row],[Vertex]],Vertices[],MATCH("ID",Vertices[[#Headers],[Vertex]:[Top Word Pairs in Tweet by Salience]],0),FALSE)</f>
        <v>16</v>
      </c>
    </row>
    <row r="75" spans="1:3" ht="15">
      <c r="A75" s="80" t="s">
        <v>1653</v>
      </c>
      <c r="B75" s="84" t="s">
        <v>225</v>
      </c>
      <c r="C75" s="79">
        <f>VLOOKUP(GroupVertices[[#This Row],[Vertex]],Vertices[],MATCH("ID",Vertices[[#Headers],[Vertex]:[Top Word Pairs in Tweet by Salience]],0),FALSE)</f>
        <v>14</v>
      </c>
    </row>
    <row r="76" spans="1:3" ht="15">
      <c r="A76" s="80" t="s">
        <v>1654</v>
      </c>
      <c r="B76" s="84" t="s">
        <v>224</v>
      </c>
      <c r="C76" s="79">
        <f>VLOOKUP(GroupVertices[[#This Row],[Vertex]],Vertices[],MATCH("ID",Vertices[[#Headers],[Vertex]:[Top Word Pairs in Tweet by Salience]],0),FALSE)</f>
        <v>13</v>
      </c>
    </row>
    <row r="77" spans="1:3" ht="15">
      <c r="A77" s="80" t="s">
        <v>1654</v>
      </c>
      <c r="B77" s="84" t="s">
        <v>229</v>
      </c>
      <c r="C77" s="79">
        <f>VLOOKUP(GroupVertices[[#This Row],[Vertex]],Vertices[],MATCH("ID",Vertices[[#Headers],[Vertex]:[Top Word Pairs in Tweet by Salience]],0),FALSE)</f>
        <v>19</v>
      </c>
    </row>
    <row r="78" spans="1:3" ht="15">
      <c r="A78" s="80" t="s">
        <v>1654</v>
      </c>
      <c r="B78" s="84" t="s">
        <v>232</v>
      </c>
      <c r="C78" s="79">
        <f>VLOOKUP(GroupVertices[[#This Row],[Vertex]],Vertices[],MATCH("ID",Vertices[[#Headers],[Vertex]:[Top Word Pairs in Tweet by Salience]],0),FALSE)</f>
        <v>23</v>
      </c>
    </row>
    <row r="79" spans="1:3" ht="15">
      <c r="A79" s="80" t="s">
        <v>1654</v>
      </c>
      <c r="B79" s="84" t="s">
        <v>233</v>
      </c>
      <c r="C79" s="79">
        <f>VLOOKUP(GroupVertices[[#This Row],[Vertex]],Vertices[],MATCH("ID",Vertices[[#Headers],[Vertex]:[Top Word Pairs in Tweet by Salience]],0),FALSE)</f>
        <v>24</v>
      </c>
    </row>
    <row r="80" spans="1:3" ht="15">
      <c r="A80" s="80" t="s">
        <v>1654</v>
      </c>
      <c r="B80" s="84" t="s">
        <v>259</v>
      </c>
      <c r="C80" s="79">
        <f>VLOOKUP(GroupVertices[[#This Row],[Vertex]],Vertices[],MATCH("ID",Vertices[[#Headers],[Vertex]:[Top Word Pairs in Tweet by Salience]],0),FALSE)</f>
        <v>59</v>
      </c>
    </row>
    <row r="81" spans="1:3" ht="15">
      <c r="A81" s="80" t="s">
        <v>1654</v>
      </c>
      <c r="B81" s="84" t="s">
        <v>267</v>
      </c>
      <c r="C81" s="79">
        <f>VLOOKUP(GroupVertices[[#This Row],[Vertex]],Vertices[],MATCH("ID",Vertices[[#Headers],[Vertex]:[Top Word Pairs in Tweet by Salience]],0),FALSE)</f>
        <v>70</v>
      </c>
    </row>
    <row r="82" spans="1:3" ht="15">
      <c r="A82" s="80" t="s">
        <v>1654</v>
      </c>
      <c r="B82" s="84" t="s">
        <v>272</v>
      </c>
      <c r="C82" s="79">
        <f>VLOOKUP(GroupVertices[[#This Row],[Vertex]],Vertices[],MATCH("ID",Vertices[[#Headers],[Vertex]:[Top Word Pairs in Tweet by Salience]],0),FALSE)</f>
        <v>73</v>
      </c>
    </row>
    <row r="83" spans="1:3" ht="15">
      <c r="A83" s="80" t="s">
        <v>1654</v>
      </c>
      <c r="B83" s="84" t="s">
        <v>274</v>
      </c>
      <c r="C83" s="79">
        <f>VLOOKUP(GroupVertices[[#This Row],[Vertex]],Vertices[],MATCH("ID",Vertices[[#Headers],[Vertex]:[Top Word Pairs in Tweet by Salience]],0),FALSE)</f>
        <v>75</v>
      </c>
    </row>
    <row r="84" spans="1:3" ht="15">
      <c r="A84" s="80" t="s">
        <v>1654</v>
      </c>
      <c r="B84" s="84" t="s">
        <v>296</v>
      </c>
      <c r="C84" s="79">
        <f>VLOOKUP(GroupVertices[[#This Row],[Vertex]],Vertices[],MATCH("ID",Vertices[[#Headers],[Vertex]:[Top Word Pairs in Tweet by Salience]],0),FALSE)</f>
        <v>106</v>
      </c>
    </row>
    <row r="85" spans="1:3" ht="15">
      <c r="A85" s="80" t="s">
        <v>1654</v>
      </c>
      <c r="B85" s="84" t="s">
        <v>345</v>
      </c>
      <c r="C85" s="79">
        <f>VLOOKUP(GroupVertices[[#This Row],[Vertex]],Vertices[],MATCH("ID",Vertices[[#Headers],[Vertex]:[Top Word Pairs in Tweet by Salience]],0),FALSE)</f>
        <v>155</v>
      </c>
    </row>
    <row r="86" spans="1:3" ht="15">
      <c r="A86" s="80" t="s">
        <v>1654</v>
      </c>
      <c r="B86" s="84" t="s">
        <v>354</v>
      </c>
      <c r="C86" s="79">
        <f>VLOOKUP(GroupVertices[[#This Row],[Vertex]],Vertices[],MATCH("ID",Vertices[[#Headers],[Vertex]:[Top Word Pairs in Tweet by Salience]],0),FALSE)</f>
        <v>165</v>
      </c>
    </row>
    <row r="87" spans="1:3" ht="15">
      <c r="A87" s="80" t="s">
        <v>1655</v>
      </c>
      <c r="B87" s="84" t="s">
        <v>342</v>
      </c>
      <c r="C87" s="79">
        <f>VLOOKUP(GroupVertices[[#This Row],[Vertex]],Vertices[],MATCH("ID",Vertices[[#Headers],[Vertex]:[Top Word Pairs in Tweet by Salience]],0),FALSE)</f>
        <v>151</v>
      </c>
    </row>
    <row r="88" spans="1:3" ht="15">
      <c r="A88" s="80" t="s">
        <v>1655</v>
      </c>
      <c r="B88" s="84" t="s">
        <v>341</v>
      </c>
      <c r="C88" s="79">
        <f>VLOOKUP(GroupVertices[[#This Row],[Vertex]],Vertices[],MATCH("ID",Vertices[[#Headers],[Vertex]:[Top Word Pairs in Tweet by Salience]],0),FALSE)</f>
        <v>150</v>
      </c>
    </row>
    <row r="89" spans="1:3" ht="15">
      <c r="A89" s="80" t="s">
        <v>1655</v>
      </c>
      <c r="B89" s="84" t="s">
        <v>363</v>
      </c>
      <c r="C89" s="79">
        <f>VLOOKUP(GroupVertices[[#This Row],[Vertex]],Vertices[],MATCH("ID",Vertices[[#Headers],[Vertex]:[Top Word Pairs in Tweet by Salience]],0),FALSE)</f>
        <v>41</v>
      </c>
    </row>
    <row r="90" spans="1:3" ht="15">
      <c r="A90" s="80" t="s">
        <v>1655</v>
      </c>
      <c r="B90" s="84" t="s">
        <v>245</v>
      </c>
      <c r="C90" s="79">
        <f>VLOOKUP(GroupVertices[[#This Row],[Vertex]],Vertices[],MATCH("ID",Vertices[[#Headers],[Vertex]:[Top Word Pairs in Tweet by Salience]],0),FALSE)</f>
        <v>40</v>
      </c>
    </row>
    <row r="91" spans="1:3" ht="15">
      <c r="A91" s="80" t="s">
        <v>1655</v>
      </c>
      <c r="B91" s="84" t="s">
        <v>246</v>
      </c>
      <c r="C91" s="79">
        <f>VLOOKUP(GroupVertices[[#This Row],[Vertex]],Vertices[],MATCH("ID",Vertices[[#Headers],[Vertex]:[Top Word Pairs in Tweet by Salience]],0),FALSE)</f>
        <v>42</v>
      </c>
    </row>
    <row r="92" spans="1:3" ht="15">
      <c r="A92" s="80" t="s">
        <v>1655</v>
      </c>
      <c r="B92" s="84" t="s">
        <v>244</v>
      </c>
      <c r="C92" s="79">
        <f>VLOOKUP(GroupVertices[[#This Row],[Vertex]],Vertices[],MATCH("ID",Vertices[[#Headers],[Vertex]:[Top Word Pairs in Tweet by Salience]],0),FALSE)</f>
        <v>38</v>
      </c>
    </row>
    <row r="93" spans="1:3" ht="15">
      <c r="A93" s="80" t="s">
        <v>1655</v>
      </c>
      <c r="B93" s="84" t="s">
        <v>362</v>
      </c>
      <c r="C93" s="79">
        <f>VLOOKUP(GroupVertices[[#This Row],[Vertex]],Vertices[],MATCH("ID",Vertices[[#Headers],[Vertex]:[Top Word Pairs in Tweet by Salience]],0),FALSE)</f>
        <v>39</v>
      </c>
    </row>
    <row r="94" spans="1:3" ht="15">
      <c r="A94" s="80" t="s">
        <v>1656</v>
      </c>
      <c r="B94" s="84" t="s">
        <v>223</v>
      </c>
      <c r="C94" s="79">
        <f>VLOOKUP(GroupVertices[[#This Row],[Vertex]],Vertices[],MATCH("ID",Vertices[[#Headers],[Vertex]:[Top Word Pairs in Tweet by Salience]],0),FALSE)</f>
        <v>12</v>
      </c>
    </row>
    <row r="95" spans="1:3" ht="15">
      <c r="A95" s="80" t="s">
        <v>1656</v>
      </c>
      <c r="B95" s="84" t="s">
        <v>222</v>
      </c>
      <c r="C95" s="79">
        <f>VLOOKUP(GroupVertices[[#This Row],[Vertex]],Vertices[],MATCH("ID",Vertices[[#Headers],[Vertex]:[Top Word Pairs in Tweet by Salience]],0),FALSE)</f>
        <v>8</v>
      </c>
    </row>
    <row r="96" spans="1:3" ht="15">
      <c r="A96" s="80" t="s">
        <v>1656</v>
      </c>
      <c r="B96" s="84" t="s">
        <v>219</v>
      </c>
      <c r="C96" s="79">
        <f>VLOOKUP(GroupVertices[[#This Row],[Vertex]],Vertices[],MATCH("ID",Vertices[[#Headers],[Vertex]:[Top Word Pairs in Tweet by Salience]],0),FALSE)</f>
        <v>7</v>
      </c>
    </row>
    <row r="97" spans="1:3" ht="15">
      <c r="A97" s="80" t="s">
        <v>1656</v>
      </c>
      <c r="B97" s="84" t="s">
        <v>220</v>
      </c>
      <c r="C97" s="79">
        <f>VLOOKUP(GroupVertices[[#This Row],[Vertex]],Vertices[],MATCH("ID",Vertices[[#Headers],[Vertex]:[Top Word Pairs in Tweet by Salience]],0),FALSE)</f>
        <v>6</v>
      </c>
    </row>
    <row r="98" spans="1:3" ht="15">
      <c r="A98" s="80" t="s">
        <v>1656</v>
      </c>
      <c r="B98" s="84" t="s">
        <v>358</v>
      </c>
      <c r="C98" s="79">
        <f>VLOOKUP(GroupVertices[[#This Row],[Vertex]],Vertices[],MATCH("ID",Vertices[[#Headers],[Vertex]:[Top Word Pairs in Tweet by Salience]],0),FALSE)</f>
        <v>5</v>
      </c>
    </row>
    <row r="99" spans="1:3" ht="15">
      <c r="A99" s="80" t="s">
        <v>1656</v>
      </c>
      <c r="B99" s="84" t="s">
        <v>221</v>
      </c>
      <c r="C99" s="79">
        <f>VLOOKUP(GroupVertices[[#This Row],[Vertex]],Vertices[],MATCH("ID",Vertices[[#Headers],[Vertex]:[Top Word Pairs in Tweet by Salience]],0),FALSE)</f>
        <v>4</v>
      </c>
    </row>
    <row r="100" spans="1:3" ht="15">
      <c r="A100" s="80" t="s">
        <v>1656</v>
      </c>
      <c r="B100" s="84" t="s">
        <v>216</v>
      </c>
      <c r="C100" s="79">
        <f>VLOOKUP(GroupVertices[[#This Row],[Vertex]],Vertices[],MATCH("ID",Vertices[[#Headers],[Vertex]:[Top Word Pairs in Tweet by Salience]],0),FALSE)</f>
        <v>3</v>
      </c>
    </row>
    <row r="101" spans="1:3" ht="15">
      <c r="A101" s="80" t="s">
        <v>1657</v>
      </c>
      <c r="B101" s="84" t="s">
        <v>355</v>
      </c>
      <c r="C101" s="79">
        <f>VLOOKUP(GroupVertices[[#This Row],[Vertex]],Vertices[],MATCH("ID",Vertices[[#Headers],[Vertex]:[Top Word Pairs in Tweet by Salience]],0),FALSE)</f>
        <v>92</v>
      </c>
    </row>
    <row r="102" spans="1:3" ht="15">
      <c r="A102" s="80" t="s">
        <v>1657</v>
      </c>
      <c r="B102" s="84" t="s">
        <v>381</v>
      </c>
      <c r="C102" s="79">
        <f>VLOOKUP(GroupVertices[[#This Row],[Vertex]],Vertices[],MATCH("ID",Vertices[[#Headers],[Vertex]:[Top Word Pairs in Tweet by Salience]],0),FALSE)</f>
        <v>166</v>
      </c>
    </row>
    <row r="103" spans="1:3" ht="15">
      <c r="A103" s="80" t="s">
        <v>1657</v>
      </c>
      <c r="B103" s="84" t="s">
        <v>319</v>
      </c>
      <c r="C103" s="79">
        <f>VLOOKUP(GroupVertices[[#This Row],[Vertex]],Vertices[],MATCH("ID",Vertices[[#Headers],[Vertex]:[Top Word Pairs in Tweet by Salience]],0),FALSE)</f>
        <v>129</v>
      </c>
    </row>
    <row r="104" spans="1:3" ht="15">
      <c r="A104" s="80" t="s">
        <v>1657</v>
      </c>
      <c r="B104" s="84" t="s">
        <v>376</v>
      </c>
      <c r="C104" s="79">
        <f>VLOOKUP(GroupVertices[[#This Row],[Vertex]],Vertices[],MATCH("ID",Vertices[[#Headers],[Vertex]:[Top Word Pairs in Tweet by Salience]],0),FALSE)</f>
        <v>91</v>
      </c>
    </row>
    <row r="105" spans="1:3" ht="15">
      <c r="A105" s="80" t="s">
        <v>1657</v>
      </c>
      <c r="B105" s="84" t="s">
        <v>295</v>
      </c>
      <c r="C105" s="79">
        <f>VLOOKUP(GroupVertices[[#This Row],[Vertex]],Vertices[],MATCH("ID",Vertices[[#Headers],[Vertex]:[Top Word Pairs in Tweet by Salience]],0),FALSE)</f>
        <v>105</v>
      </c>
    </row>
    <row r="106" spans="1:3" ht="15">
      <c r="A106" s="80" t="s">
        <v>1657</v>
      </c>
      <c r="B106" s="84" t="s">
        <v>282</v>
      </c>
      <c r="C106" s="79">
        <f>VLOOKUP(GroupVertices[[#This Row],[Vertex]],Vertices[],MATCH("ID",Vertices[[#Headers],[Vertex]:[Top Word Pairs in Tweet by Salience]],0),FALSE)</f>
        <v>90</v>
      </c>
    </row>
    <row r="107" spans="1:3" ht="15">
      <c r="A107" s="80" t="s">
        <v>1658</v>
      </c>
      <c r="B107" s="84" t="s">
        <v>352</v>
      </c>
      <c r="C107" s="79">
        <f>VLOOKUP(GroupVertices[[#This Row],[Vertex]],Vertices[],MATCH("ID",Vertices[[#Headers],[Vertex]:[Top Word Pairs in Tweet by Salience]],0),FALSE)</f>
        <v>162</v>
      </c>
    </row>
    <row r="108" spans="1:3" ht="15">
      <c r="A108" s="80" t="s">
        <v>1658</v>
      </c>
      <c r="B108" s="84" t="s">
        <v>351</v>
      </c>
      <c r="C108" s="79">
        <f>VLOOKUP(GroupVertices[[#This Row],[Vertex]],Vertices[],MATCH("ID",Vertices[[#Headers],[Vertex]:[Top Word Pairs in Tweet by Salience]],0),FALSE)</f>
        <v>153</v>
      </c>
    </row>
    <row r="109" spans="1:3" ht="15">
      <c r="A109" s="80" t="s">
        <v>1658</v>
      </c>
      <c r="B109" s="84" t="s">
        <v>350</v>
      </c>
      <c r="C109" s="79">
        <f>VLOOKUP(GroupVertices[[#This Row],[Vertex]],Vertices[],MATCH("ID",Vertices[[#Headers],[Vertex]:[Top Word Pairs in Tweet by Salience]],0),FALSE)</f>
        <v>161</v>
      </c>
    </row>
    <row r="110" spans="1:3" ht="15">
      <c r="A110" s="80" t="s">
        <v>1658</v>
      </c>
      <c r="B110" s="84" t="s">
        <v>346</v>
      </c>
      <c r="C110" s="79">
        <f>VLOOKUP(GroupVertices[[#This Row],[Vertex]],Vertices[],MATCH("ID",Vertices[[#Headers],[Vertex]:[Top Word Pairs in Tweet by Salience]],0),FALSE)</f>
        <v>156</v>
      </c>
    </row>
    <row r="111" spans="1:3" ht="15">
      <c r="A111" s="80" t="s">
        <v>1658</v>
      </c>
      <c r="B111" s="84" t="s">
        <v>344</v>
      </c>
      <c r="C111" s="79">
        <f>VLOOKUP(GroupVertices[[#This Row],[Vertex]],Vertices[],MATCH("ID",Vertices[[#Headers],[Vertex]:[Top Word Pairs in Tweet by Salience]],0),FALSE)</f>
        <v>154</v>
      </c>
    </row>
    <row r="112" spans="1:3" ht="15">
      <c r="A112" s="80" t="s">
        <v>1658</v>
      </c>
      <c r="B112" s="84" t="s">
        <v>343</v>
      </c>
      <c r="C112" s="79">
        <f>VLOOKUP(GroupVertices[[#This Row],[Vertex]],Vertices[],MATCH("ID",Vertices[[#Headers],[Vertex]:[Top Word Pairs in Tweet by Salience]],0),FALSE)</f>
        <v>152</v>
      </c>
    </row>
    <row r="113" spans="1:3" ht="15">
      <c r="A113" s="80" t="s">
        <v>1659</v>
      </c>
      <c r="B113" s="84" t="s">
        <v>280</v>
      </c>
      <c r="C113" s="79">
        <f>VLOOKUP(GroupVertices[[#This Row],[Vertex]],Vertices[],MATCH("ID",Vertices[[#Headers],[Vertex]:[Top Word Pairs in Tweet by Salience]],0),FALSE)</f>
        <v>82</v>
      </c>
    </row>
    <row r="114" spans="1:3" ht="15">
      <c r="A114" s="80" t="s">
        <v>1659</v>
      </c>
      <c r="B114" s="84" t="s">
        <v>375</v>
      </c>
      <c r="C114" s="79">
        <f>VLOOKUP(GroupVertices[[#This Row],[Vertex]],Vertices[],MATCH("ID",Vertices[[#Headers],[Vertex]:[Top Word Pairs in Tweet by Salience]],0),FALSE)</f>
        <v>87</v>
      </c>
    </row>
    <row r="115" spans="1:3" ht="15">
      <c r="A115" s="80" t="s">
        <v>1659</v>
      </c>
      <c r="B115" s="84" t="s">
        <v>374</v>
      </c>
      <c r="C115" s="79">
        <f>VLOOKUP(GroupVertices[[#This Row],[Vertex]],Vertices[],MATCH("ID",Vertices[[#Headers],[Vertex]:[Top Word Pairs in Tweet by Salience]],0),FALSE)</f>
        <v>86</v>
      </c>
    </row>
    <row r="116" spans="1:3" ht="15">
      <c r="A116" s="80" t="s">
        <v>1659</v>
      </c>
      <c r="B116" s="84" t="s">
        <v>373</v>
      </c>
      <c r="C116" s="79">
        <f>VLOOKUP(GroupVertices[[#This Row],[Vertex]],Vertices[],MATCH("ID",Vertices[[#Headers],[Vertex]:[Top Word Pairs in Tweet by Salience]],0),FALSE)</f>
        <v>85</v>
      </c>
    </row>
    <row r="117" spans="1:3" ht="15">
      <c r="A117" s="80" t="s">
        <v>1659</v>
      </c>
      <c r="B117" s="84" t="s">
        <v>372</v>
      </c>
      <c r="C117" s="79">
        <f>VLOOKUP(GroupVertices[[#This Row],[Vertex]],Vertices[],MATCH("ID",Vertices[[#Headers],[Vertex]:[Top Word Pairs in Tweet by Salience]],0),FALSE)</f>
        <v>84</v>
      </c>
    </row>
    <row r="118" spans="1:3" ht="15">
      <c r="A118" s="80" t="s">
        <v>1659</v>
      </c>
      <c r="B118" s="84" t="s">
        <v>371</v>
      </c>
      <c r="C118" s="79">
        <f>VLOOKUP(GroupVertices[[#This Row],[Vertex]],Vertices[],MATCH("ID",Vertices[[#Headers],[Vertex]:[Top Word Pairs in Tweet by Salience]],0),FALSE)</f>
        <v>83</v>
      </c>
    </row>
    <row r="119" spans="1:3" ht="15">
      <c r="A119" s="80" t="s">
        <v>1660</v>
      </c>
      <c r="B119" s="84" t="s">
        <v>239</v>
      </c>
      <c r="C119" s="79">
        <f>VLOOKUP(GroupVertices[[#This Row],[Vertex]],Vertices[],MATCH("ID",Vertices[[#Headers],[Vertex]:[Top Word Pairs in Tweet by Salience]],0),FALSE)</f>
        <v>31</v>
      </c>
    </row>
    <row r="120" spans="1:3" ht="15">
      <c r="A120" s="80" t="s">
        <v>1660</v>
      </c>
      <c r="B120" s="84" t="s">
        <v>238</v>
      </c>
      <c r="C120" s="79">
        <f>VLOOKUP(GroupVertices[[#This Row],[Vertex]],Vertices[],MATCH("ID",Vertices[[#Headers],[Vertex]:[Top Word Pairs in Tweet by Salience]],0),FALSE)</f>
        <v>26</v>
      </c>
    </row>
    <row r="121" spans="1:3" ht="15">
      <c r="A121" s="80" t="s">
        <v>1660</v>
      </c>
      <c r="B121" s="84" t="s">
        <v>236</v>
      </c>
      <c r="C121" s="79">
        <f>VLOOKUP(GroupVertices[[#This Row],[Vertex]],Vertices[],MATCH("ID",Vertices[[#Headers],[Vertex]:[Top Word Pairs in Tweet by Salience]],0),FALSE)</f>
        <v>28</v>
      </c>
    </row>
    <row r="122" spans="1:3" ht="15">
      <c r="A122" s="80" t="s">
        <v>1660</v>
      </c>
      <c r="B122" s="84" t="s">
        <v>235</v>
      </c>
      <c r="C122" s="79">
        <f>VLOOKUP(GroupVertices[[#This Row],[Vertex]],Vertices[],MATCH("ID",Vertices[[#Headers],[Vertex]:[Top Word Pairs in Tweet by Salience]],0),FALSE)</f>
        <v>27</v>
      </c>
    </row>
    <row r="123" spans="1:3" ht="15">
      <c r="A123" s="80" t="s">
        <v>1660</v>
      </c>
      <c r="B123" s="84" t="s">
        <v>234</v>
      </c>
      <c r="C123" s="79">
        <f>VLOOKUP(GroupVertices[[#This Row],[Vertex]],Vertices[],MATCH("ID",Vertices[[#Headers],[Vertex]:[Top Word Pairs in Tweet by Salience]],0),FALSE)</f>
        <v>25</v>
      </c>
    </row>
    <row r="124" spans="1:3" ht="15">
      <c r="A124" s="80" t="s">
        <v>1661</v>
      </c>
      <c r="B124" s="84" t="s">
        <v>258</v>
      </c>
      <c r="C124" s="79">
        <f>VLOOKUP(GroupVertices[[#This Row],[Vertex]],Vertices[],MATCH("ID",Vertices[[#Headers],[Vertex]:[Top Word Pairs in Tweet by Salience]],0),FALSE)</f>
        <v>58</v>
      </c>
    </row>
    <row r="125" spans="1:3" ht="15">
      <c r="A125" s="80" t="s">
        <v>1661</v>
      </c>
      <c r="B125" s="84" t="s">
        <v>257</v>
      </c>
      <c r="C125" s="79">
        <f>VLOOKUP(GroupVertices[[#This Row],[Vertex]],Vertices[],MATCH("ID",Vertices[[#Headers],[Vertex]:[Top Word Pairs in Tweet by Salience]],0),FALSE)</f>
        <v>56</v>
      </c>
    </row>
    <row r="126" spans="1:3" ht="15">
      <c r="A126" s="80" t="s">
        <v>1661</v>
      </c>
      <c r="B126" s="84" t="s">
        <v>256</v>
      </c>
      <c r="C126" s="79">
        <f>VLOOKUP(GroupVertices[[#This Row],[Vertex]],Vertices[],MATCH("ID",Vertices[[#Headers],[Vertex]:[Top Word Pairs in Tweet by Salience]],0),FALSE)</f>
        <v>57</v>
      </c>
    </row>
    <row r="127" spans="1:3" ht="15">
      <c r="A127" s="80" t="s">
        <v>1661</v>
      </c>
      <c r="B127" s="84" t="s">
        <v>255</v>
      </c>
      <c r="C127" s="79">
        <f>VLOOKUP(GroupVertices[[#This Row],[Vertex]],Vertices[],MATCH("ID",Vertices[[#Headers],[Vertex]:[Top Word Pairs in Tweet by Salience]],0),FALSE)</f>
        <v>55</v>
      </c>
    </row>
    <row r="128" spans="1:3" ht="15">
      <c r="A128" s="80" t="s">
        <v>1662</v>
      </c>
      <c r="B128" s="84" t="s">
        <v>248</v>
      </c>
      <c r="C128" s="79">
        <f>VLOOKUP(GroupVertices[[#This Row],[Vertex]],Vertices[],MATCH("ID",Vertices[[#Headers],[Vertex]:[Top Word Pairs in Tweet by Salience]],0),FALSE)</f>
        <v>45</v>
      </c>
    </row>
    <row r="129" spans="1:3" ht="15">
      <c r="A129" s="80" t="s">
        <v>1662</v>
      </c>
      <c r="B129" s="84" t="s">
        <v>367</v>
      </c>
      <c r="C129" s="79">
        <f>VLOOKUP(GroupVertices[[#This Row],[Vertex]],Vertices[],MATCH("ID",Vertices[[#Headers],[Vertex]:[Top Word Pairs in Tweet by Salience]],0),FALSE)</f>
        <v>48</v>
      </c>
    </row>
    <row r="130" spans="1:3" ht="15">
      <c r="A130" s="80" t="s">
        <v>1662</v>
      </c>
      <c r="B130" s="84" t="s">
        <v>366</v>
      </c>
      <c r="C130" s="79">
        <f>VLOOKUP(GroupVertices[[#This Row],[Vertex]],Vertices[],MATCH("ID",Vertices[[#Headers],[Vertex]:[Top Word Pairs in Tweet by Salience]],0),FALSE)</f>
        <v>47</v>
      </c>
    </row>
    <row r="131" spans="1:3" ht="15">
      <c r="A131" s="80" t="s">
        <v>1662</v>
      </c>
      <c r="B131" s="84" t="s">
        <v>365</v>
      </c>
      <c r="C131" s="79">
        <f>VLOOKUP(GroupVertices[[#This Row],[Vertex]],Vertices[],MATCH("ID",Vertices[[#Headers],[Vertex]:[Top Word Pairs in Tweet by Salience]],0),FALSE)</f>
        <v>46</v>
      </c>
    </row>
    <row r="132" spans="1:3" ht="15">
      <c r="A132" s="80" t="s">
        <v>1663</v>
      </c>
      <c r="B132" s="84" t="s">
        <v>243</v>
      </c>
      <c r="C132" s="79">
        <f>VLOOKUP(GroupVertices[[#This Row],[Vertex]],Vertices[],MATCH("ID",Vertices[[#Headers],[Vertex]:[Top Word Pairs in Tweet by Salience]],0),FALSE)</f>
        <v>37</v>
      </c>
    </row>
    <row r="133" spans="1:3" ht="15">
      <c r="A133" s="80" t="s">
        <v>1663</v>
      </c>
      <c r="B133" s="84" t="s">
        <v>237</v>
      </c>
      <c r="C133" s="79">
        <f>VLOOKUP(GroupVertices[[#This Row],[Vertex]],Vertices[],MATCH("ID",Vertices[[#Headers],[Vertex]:[Top Word Pairs in Tweet by Salience]],0),FALSE)</f>
        <v>29</v>
      </c>
    </row>
    <row r="134" spans="1:3" ht="15">
      <c r="A134" s="80" t="s">
        <v>1663</v>
      </c>
      <c r="B134" s="84" t="s">
        <v>361</v>
      </c>
      <c r="C134" s="79">
        <f>VLOOKUP(GroupVertices[[#This Row],[Vertex]],Vertices[],MATCH("ID",Vertices[[#Headers],[Vertex]:[Top Word Pairs in Tweet by Salience]],0),FALSE)</f>
        <v>36</v>
      </c>
    </row>
    <row r="135" spans="1:3" ht="15">
      <c r="A135" s="80" t="s">
        <v>1663</v>
      </c>
      <c r="B135" s="84" t="s">
        <v>360</v>
      </c>
      <c r="C135" s="79">
        <f>VLOOKUP(GroupVertices[[#This Row],[Vertex]],Vertices[],MATCH("ID",Vertices[[#Headers],[Vertex]:[Top Word Pairs in Tweet by Salience]],0),FALSE)</f>
        <v>30</v>
      </c>
    </row>
    <row r="136" spans="1:3" ht="15">
      <c r="A136" s="80" t="s">
        <v>1664</v>
      </c>
      <c r="B136" s="84" t="s">
        <v>340</v>
      </c>
      <c r="C136" s="79">
        <f>VLOOKUP(GroupVertices[[#This Row],[Vertex]],Vertices[],MATCH("ID",Vertices[[#Headers],[Vertex]:[Top Word Pairs in Tweet by Salience]],0),FALSE)</f>
        <v>149</v>
      </c>
    </row>
    <row r="137" spans="1:3" ht="15">
      <c r="A137" s="80" t="s">
        <v>1664</v>
      </c>
      <c r="B137" s="84" t="s">
        <v>339</v>
      </c>
      <c r="C137" s="79">
        <f>VLOOKUP(GroupVertices[[#This Row],[Vertex]],Vertices[],MATCH("ID",Vertices[[#Headers],[Vertex]:[Top Word Pairs in Tweet by Salience]],0),FALSE)</f>
        <v>143</v>
      </c>
    </row>
    <row r="138" spans="1:3" ht="15">
      <c r="A138" s="80" t="s">
        <v>1664</v>
      </c>
      <c r="B138" s="84" t="s">
        <v>334</v>
      </c>
      <c r="C138" s="79">
        <f>VLOOKUP(GroupVertices[[#This Row],[Vertex]],Vertices[],MATCH("ID",Vertices[[#Headers],[Vertex]:[Top Word Pairs in Tweet by Salience]],0),FALSE)</f>
        <v>142</v>
      </c>
    </row>
    <row r="139" spans="1:3" ht="15">
      <c r="A139" s="80" t="s">
        <v>1665</v>
      </c>
      <c r="B139" s="84" t="s">
        <v>336</v>
      </c>
      <c r="C139" s="79">
        <f>VLOOKUP(GroupVertices[[#This Row],[Vertex]],Vertices[],MATCH("ID",Vertices[[#Headers],[Vertex]:[Top Word Pairs in Tweet by Salience]],0),FALSE)</f>
        <v>145</v>
      </c>
    </row>
    <row r="140" spans="1:3" ht="15">
      <c r="A140" s="80" t="s">
        <v>1665</v>
      </c>
      <c r="B140" s="84" t="s">
        <v>378</v>
      </c>
      <c r="C140" s="79">
        <f>VLOOKUP(GroupVertices[[#This Row],[Vertex]],Vertices[],MATCH("ID",Vertices[[#Headers],[Vertex]:[Top Word Pairs in Tweet by Salience]],0),FALSE)</f>
        <v>147</v>
      </c>
    </row>
    <row r="141" spans="1:3" ht="15">
      <c r="A141" s="80" t="s">
        <v>1665</v>
      </c>
      <c r="B141" s="84" t="s">
        <v>377</v>
      </c>
      <c r="C141" s="79">
        <f>VLOOKUP(GroupVertices[[#This Row],[Vertex]],Vertices[],MATCH("ID",Vertices[[#Headers],[Vertex]:[Top Word Pairs in Tweet by Salience]],0),FALSE)</f>
        <v>146</v>
      </c>
    </row>
    <row r="142" spans="1:3" ht="15">
      <c r="A142" s="80" t="s">
        <v>1666</v>
      </c>
      <c r="B142" s="84" t="s">
        <v>261</v>
      </c>
      <c r="C142" s="79">
        <f>VLOOKUP(GroupVertices[[#This Row],[Vertex]],Vertices[],MATCH("ID",Vertices[[#Headers],[Vertex]:[Top Word Pairs in Tweet by Salience]],0),FALSE)</f>
        <v>62</v>
      </c>
    </row>
    <row r="143" spans="1:3" ht="15">
      <c r="A143" s="80" t="s">
        <v>1666</v>
      </c>
      <c r="B143" s="84" t="s">
        <v>260</v>
      </c>
      <c r="C143" s="79">
        <f>VLOOKUP(GroupVertices[[#This Row],[Vertex]],Vertices[],MATCH("ID",Vertices[[#Headers],[Vertex]:[Top Word Pairs in Tweet by Salience]],0),FALSE)</f>
        <v>60</v>
      </c>
    </row>
    <row r="144" spans="1:3" ht="15">
      <c r="A144" s="80" t="s">
        <v>1666</v>
      </c>
      <c r="B144" s="84" t="s">
        <v>369</v>
      </c>
      <c r="C144" s="79">
        <f>VLOOKUP(GroupVertices[[#This Row],[Vertex]],Vertices[],MATCH("ID",Vertices[[#Headers],[Vertex]:[Top Word Pairs in Tweet by Salience]],0),FALSE)</f>
        <v>61</v>
      </c>
    </row>
    <row r="145" spans="1:3" ht="15">
      <c r="A145" s="80" t="s">
        <v>1667</v>
      </c>
      <c r="B145" s="84" t="s">
        <v>218</v>
      </c>
      <c r="C145" s="79">
        <f>VLOOKUP(GroupVertices[[#This Row],[Vertex]],Vertices[],MATCH("ID",Vertices[[#Headers],[Vertex]:[Top Word Pairs in Tweet by Salience]],0),FALSE)</f>
        <v>11</v>
      </c>
    </row>
    <row r="146" spans="1:3" ht="15">
      <c r="A146" s="80" t="s">
        <v>1667</v>
      </c>
      <c r="B146" s="84" t="s">
        <v>217</v>
      </c>
      <c r="C146" s="79">
        <f>VLOOKUP(GroupVertices[[#This Row],[Vertex]],Vertices[],MATCH("ID",Vertices[[#Headers],[Vertex]:[Top Word Pairs in Tweet by Salience]],0),FALSE)</f>
        <v>9</v>
      </c>
    </row>
    <row r="147" spans="1:3" ht="15">
      <c r="A147" s="80" t="s">
        <v>1667</v>
      </c>
      <c r="B147" s="84" t="s">
        <v>359</v>
      </c>
      <c r="C147" s="79">
        <f>VLOOKUP(GroupVertices[[#This Row],[Vertex]],Vertices[],MATCH("ID",Vertices[[#Headers],[Vertex]:[Top Word Pairs in Tweet by Salience]],0),FALSE)</f>
        <v>10</v>
      </c>
    </row>
    <row r="148" spans="1:3" ht="15">
      <c r="A148" s="80" t="s">
        <v>1668</v>
      </c>
      <c r="B148" s="84" t="s">
        <v>357</v>
      </c>
      <c r="C148" s="79">
        <f>VLOOKUP(GroupVertices[[#This Row],[Vertex]],Vertices[],MATCH("ID",Vertices[[#Headers],[Vertex]:[Top Word Pairs in Tweet by Salience]],0),FALSE)</f>
        <v>168</v>
      </c>
    </row>
    <row r="149" spans="1:3" ht="15">
      <c r="A149" s="80" t="s">
        <v>1668</v>
      </c>
      <c r="B149" s="84" t="s">
        <v>356</v>
      </c>
      <c r="C149" s="79">
        <f>VLOOKUP(GroupVertices[[#This Row],[Vertex]],Vertices[],MATCH("ID",Vertices[[#Headers],[Vertex]:[Top Word Pairs in Tweet by Salience]],0),FALSE)</f>
        <v>167</v>
      </c>
    </row>
    <row r="150" spans="1:3" ht="15">
      <c r="A150" s="80" t="s">
        <v>1669</v>
      </c>
      <c r="B150" s="84" t="s">
        <v>353</v>
      </c>
      <c r="C150" s="79">
        <f>VLOOKUP(GroupVertices[[#This Row],[Vertex]],Vertices[],MATCH("ID",Vertices[[#Headers],[Vertex]:[Top Word Pairs in Tweet by Salience]],0),FALSE)</f>
        <v>163</v>
      </c>
    </row>
    <row r="151" spans="1:3" ht="15">
      <c r="A151" s="80" t="s">
        <v>1669</v>
      </c>
      <c r="B151" s="84" t="s">
        <v>380</v>
      </c>
      <c r="C151" s="79">
        <f>VLOOKUP(GroupVertices[[#This Row],[Vertex]],Vertices[],MATCH("ID",Vertices[[#Headers],[Vertex]:[Top Word Pairs in Tweet by Salience]],0),FALSE)</f>
        <v>164</v>
      </c>
    </row>
    <row r="152" spans="1:3" ht="15">
      <c r="A152" s="80" t="s">
        <v>1670</v>
      </c>
      <c r="B152" s="84" t="s">
        <v>349</v>
      </c>
      <c r="C152" s="79">
        <f>VLOOKUP(GroupVertices[[#This Row],[Vertex]],Vertices[],MATCH("ID",Vertices[[#Headers],[Vertex]:[Top Word Pairs in Tweet by Salience]],0),FALSE)</f>
        <v>159</v>
      </c>
    </row>
    <row r="153" spans="1:3" ht="15">
      <c r="A153" s="80" t="s">
        <v>1670</v>
      </c>
      <c r="B153" s="84" t="s">
        <v>379</v>
      </c>
      <c r="C153" s="79">
        <f>VLOOKUP(GroupVertices[[#This Row],[Vertex]],Vertices[],MATCH("ID",Vertices[[#Headers],[Vertex]:[Top Word Pairs in Tweet by Salience]],0),FALSE)</f>
        <v>160</v>
      </c>
    </row>
    <row r="154" spans="1:3" ht="15">
      <c r="A154" s="80" t="s">
        <v>1671</v>
      </c>
      <c r="B154" s="84" t="s">
        <v>348</v>
      </c>
      <c r="C154" s="79">
        <f>VLOOKUP(GroupVertices[[#This Row],[Vertex]],Vertices[],MATCH("ID",Vertices[[#Headers],[Vertex]:[Top Word Pairs in Tweet by Salience]],0),FALSE)</f>
        <v>158</v>
      </c>
    </row>
    <row r="155" spans="1:3" ht="15">
      <c r="A155" s="80" t="s">
        <v>1671</v>
      </c>
      <c r="B155" s="84" t="s">
        <v>347</v>
      </c>
      <c r="C155" s="79">
        <f>VLOOKUP(GroupVertices[[#This Row],[Vertex]],Vertices[],MATCH("ID",Vertices[[#Headers],[Vertex]:[Top Word Pairs in Tweet by Salience]],0),FALSE)</f>
        <v>157</v>
      </c>
    </row>
    <row r="156" spans="1:3" ht="15">
      <c r="A156" s="80" t="s">
        <v>1672</v>
      </c>
      <c r="B156" s="84" t="s">
        <v>263</v>
      </c>
      <c r="C156" s="79">
        <f>VLOOKUP(GroupVertices[[#This Row],[Vertex]],Vertices[],MATCH("ID",Vertices[[#Headers],[Vertex]:[Top Word Pairs in Tweet by Salience]],0),FALSE)</f>
        <v>64</v>
      </c>
    </row>
    <row r="157" spans="1:3" ht="15">
      <c r="A157" s="80" t="s">
        <v>1672</v>
      </c>
      <c r="B157" s="84" t="s">
        <v>262</v>
      </c>
      <c r="C157" s="79">
        <f>VLOOKUP(GroupVertices[[#This Row],[Vertex]],Vertices[],MATCH("ID",Vertices[[#Headers],[Vertex]:[Top Word Pairs in Tweet by Salience]],0),FALSE)</f>
        <v>63</v>
      </c>
    </row>
    <row r="158" spans="1:3" ht="15">
      <c r="A158" s="80" t="s">
        <v>1673</v>
      </c>
      <c r="B158" s="84" t="s">
        <v>253</v>
      </c>
      <c r="C158" s="79">
        <f>VLOOKUP(GroupVertices[[#This Row],[Vertex]],Vertices[],MATCH("ID",Vertices[[#Headers],[Vertex]:[Top Word Pairs in Tweet by Salience]],0),FALSE)</f>
        <v>54</v>
      </c>
    </row>
    <row r="159" spans="1:3" ht="15">
      <c r="A159" s="80" t="s">
        <v>1673</v>
      </c>
      <c r="B159" s="84" t="s">
        <v>252</v>
      </c>
      <c r="C159" s="79">
        <f>VLOOKUP(GroupVertices[[#This Row],[Vertex]],Vertices[],MATCH("ID",Vertices[[#Headers],[Vertex]:[Top Word Pairs in Tweet by Salience]],0),FALSE)</f>
        <v>53</v>
      </c>
    </row>
    <row r="160" spans="1:3" ht="15">
      <c r="A160" s="80" t="s">
        <v>1674</v>
      </c>
      <c r="B160" s="84" t="s">
        <v>247</v>
      </c>
      <c r="C160" s="79">
        <f>VLOOKUP(GroupVertices[[#This Row],[Vertex]],Vertices[],MATCH("ID",Vertices[[#Headers],[Vertex]:[Top Word Pairs in Tweet by Salience]],0),FALSE)</f>
        <v>43</v>
      </c>
    </row>
    <row r="161" spans="1:3" ht="15">
      <c r="A161" s="80" t="s">
        <v>1674</v>
      </c>
      <c r="B161" s="84" t="s">
        <v>364</v>
      </c>
      <c r="C161" s="79">
        <f>VLOOKUP(GroupVertices[[#This Row],[Vertex]],Vertices[],MATCH("ID",Vertices[[#Headers],[Vertex]:[Top Word Pairs in Tweet by Salience]],0),FALSE)</f>
        <v>44</v>
      </c>
    </row>
    <row r="162" spans="1:3" ht="15">
      <c r="A162" s="80" t="s">
        <v>1675</v>
      </c>
      <c r="B162" s="84" t="s">
        <v>242</v>
      </c>
      <c r="C162" s="79">
        <f>VLOOKUP(GroupVertices[[#This Row],[Vertex]],Vertices[],MATCH("ID",Vertices[[#Headers],[Vertex]:[Top Word Pairs in Tweet by Salience]],0),FALSE)</f>
        <v>35</v>
      </c>
    </row>
    <row r="163" spans="1:3" ht="15">
      <c r="A163" s="80" t="s">
        <v>1675</v>
      </c>
      <c r="B163" s="84" t="s">
        <v>241</v>
      </c>
      <c r="C163" s="79">
        <f>VLOOKUP(GroupVertices[[#This Row],[Vertex]],Vertices[],MATCH("ID",Vertices[[#Headers],[Vertex]:[Top Word Pairs in Tweet by Salience]],0),FALSE)</f>
        <v>34</v>
      </c>
    </row>
    <row r="164" spans="1:3" ht="15">
      <c r="A164" s="80" t="s">
        <v>1676</v>
      </c>
      <c r="B164" s="84" t="s">
        <v>254</v>
      </c>
      <c r="C164" s="79">
        <f>VLOOKUP(GroupVertices[[#This Row],[Vertex]],Vertices[],MATCH("ID",Vertices[[#Headers],[Vertex]:[Top Word Pairs in Tweet by Salience]],0),FALSE)</f>
        <v>21</v>
      </c>
    </row>
    <row r="165" spans="1:3" ht="15">
      <c r="A165" s="80" t="s">
        <v>1676</v>
      </c>
      <c r="B165" s="84" t="s">
        <v>230</v>
      </c>
      <c r="C165" s="79">
        <f>VLOOKUP(GroupVertices[[#This Row],[Vertex]],Vertices[],MATCH("ID",Vertices[[#Headers],[Vertex]:[Top Word Pairs in Tweet by Salience]],0),FALSE)</f>
        <v>20</v>
      </c>
    </row>
    <row r="166" spans="1:3" ht="15">
      <c r="A166" s="80" t="s">
        <v>1677</v>
      </c>
      <c r="B166" s="84" t="s">
        <v>228</v>
      </c>
      <c r="C166" s="79">
        <f>VLOOKUP(GroupVertices[[#This Row],[Vertex]],Vertices[],MATCH("ID",Vertices[[#Headers],[Vertex]:[Top Word Pairs in Tweet by Salience]],0),FALSE)</f>
        <v>18</v>
      </c>
    </row>
    <row r="167" spans="1:3" ht="15">
      <c r="A167" s="80" t="s">
        <v>1677</v>
      </c>
      <c r="B167" s="84" t="s">
        <v>227</v>
      </c>
      <c r="C167" s="79">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167"/>
    <dataValidation allowBlank="1" showInputMessage="1" showErrorMessage="1" promptTitle="Vertex Name" prompt="Enter the name of a vertex to include in the group." sqref="B2:B167"/>
    <dataValidation allowBlank="1" showInputMessage="1" promptTitle="Vertex ID" prompt="This is the value of the hidden ID cell in the Vertices worksheet.  It gets filled in by the items on the NodeXL, Analysis, Groups menu." sqref="C2:C16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2112</v>
      </c>
      <c r="B2" s="35" t="s">
        <v>1625</v>
      </c>
      <c r="D2" s="32">
        <f>MIN(Vertices[Degree])</f>
        <v>0</v>
      </c>
      <c r="E2" s="3">
        <f>COUNTIF(Vertices[Degree],"&gt;= "&amp;D2)-COUNTIF(Vertices[Degree],"&gt;="&amp;D3)</f>
        <v>0</v>
      </c>
      <c r="F2" s="38">
        <f>MIN(Vertices[In-Degree])</f>
        <v>0</v>
      </c>
      <c r="G2" s="39">
        <f>COUNTIF(Vertices[In-Degree],"&gt;= "&amp;F2)-COUNTIF(Vertices[In-Degree],"&gt;="&amp;F3)</f>
        <v>135</v>
      </c>
      <c r="H2" s="38">
        <f>MIN(Vertices[Out-Degree])</f>
        <v>0</v>
      </c>
      <c r="I2" s="39">
        <f>COUNTIF(Vertices[Out-Degree],"&gt;= "&amp;H2)-COUNTIF(Vertices[Out-Degree],"&gt;="&amp;H3)</f>
        <v>24</v>
      </c>
      <c r="J2" s="38">
        <f>MIN(Vertices[Betweenness Centrality])</f>
        <v>0</v>
      </c>
      <c r="K2" s="39">
        <f>COUNTIF(Vertices[Betweenness Centrality],"&gt;= "&amp;J2)-COUNTIF(Vertices[Betweenness Centrality],"&gt;="&amp;J3)</f>
        <v>156</v>
      </c>
      <c r="L2" s="38">
        <f>MIN(Vertices[Closeness Centrality])</f>
        <v>0</v>
      </c>
      <c r="M2" s="39">
        <f>COUNTIF(Vertices[Closeness Centrality],"&gt;= "&amp;L2)-COUNTIF(Vertices[Closeness Centrality],"&gt;="&amp;L3)</f>
        <v>84</v>
      </c>
      <c r="N2" s="38">
        <f>MIN(Vertices[Eigenvector Centrality])</f>
        <v>0</v>
      </c>
      <c r="O2" s="39">
        <f>COUNTIF(Vertices[Eigenvector Centrality],"&gt;= "&amp;N2)-COUNTIF(Vertices[Eigenvector Centrality],"&gt;="&amp;N3)</f>
        <v>137</v>
      </c>
      <c r="P2" s="38">
        <f>MIN(Vertices[PageRank])</f>
        <v>0.436576</v>
      </c>
      <c r="Q2" s="39">
        <f>COUNTIF(Vertices[PageRank],"&gt;= "&amp;P2)-COUNTIF(Vertices[PageRank],"&gt;="&amp;P3)</f>
        <v>109</v>
      </c>
      <c r="R2" s="38">
        <f>MIN(Vertices[Clustering Coefficient])</f>
        <v>0</v>
      </c>
      <c r="S2" s="44">
        <f>COUNTIF(Vertices[Clustering Coefficient],"&gt;= "&amp;R2)-COUNTIF(Vertices[Clustering Coefficient],"&gt;="&amp;R3)</f>
        <v>108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4"/>
      <c r="B3" s="114"/>
      <c r="D3" s="33">
        <f aca="true" t="shared" si="1" ref="D3:D35">D2+($D$36-$D$2)/BinDivisor</f>
        <v>0</v>
      </c>
      <c r="E3" s="3">
        <f>COUNTIF(Vertices[Degree],"&gt;= "&amp;D3)-COUNTIF(Vertices[Degree],"&gt;="&amp;D4)</f>
        <v>0</v>
      </c>
      <c r="F3" s="40">
        <f aca="true" t="shared" si="2" ref="F3:F35">F2+($F$36-$F$2)/BinDivisor</f>
        <v>1.088235294117647</v>
      </c>
      <c r="G3" s="41">
        <f>COUNTIF(Vertices[In-Degree],"&gt;= "&amp;F3)-COUNTIF(Vertices[In-Degree],"&gt;="&amp;F4)</f>
        <v>12</v>
      </c>
      <c r="H3" s="40">
        <f aca="true" t="shared" si="3" ref="H3:H35">H2+($H$36-$H$2)/BinDivisor</f>
        <v>0.14705882352941177</v>
      </c>
      <c r="I3" s="41">
        <f>COUNTIF(Vertices[Out-Degree],"&gt;= "&amp;H3)-COUNTIF(Vertices[Out-Degree],"&gt;="&amp;H4)</f>
        <v>0</v>
      </c>
      <c r="J3" s="40">
        <f aca="true" t="shared" si="4" ref="J3:J35">J2+($J$36-$J$2)/BinDivisor</f>
        <v>37.05882352941177</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10</v>
      </c>
      <c r="N3" s="40">
        <f aca="true" t="shared" si="6" ref="N3:N35">N2+($N$36-$N$2)/BinDivisor</f>
        <v>0.0031756176470588236</v>
      </c>
      <c r="O3" s="41">
        <f>COUNTIF(Vertices[Eigenvector Centrality],"&gt;= "&amp;N3)-COUNTIF(Vertices[Eigenvector Centrality],"&gt;="&amp;N4)</f>
        <v>1</v>
      </c>
      <c r="P3" s="40">
        <f aca="true" t="shared" si="7" ref="P3:P35">P2+($P$36-$P$2)/BinDivisor</f>
        <v>0.9324355294117648</v>
      </c>
      <c r="Q3" s="41">
        <f>COUNTIF(Vertices[PageRank],"&gt;= "&amp;P3)-COUNTIF(Vertices[PageRank],"&gt;="&amp;P4)</f>
        <v>41</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166</v>
      </c>
      <c r="D4" s="33">
        <f t="shared" si="1"/>
        <v>0</v>
      </c>
      <c r="E4" s="3">
        <f>COUNTIF(Vertices[Degree],"&gt;= "&amp;D4)-COUNTIF(Vertices[Degree],"&gt;="&amp;D5)</f>
        <v>0</v>
      </c>
      <c r="F4" s="38">
        <f t="shared" si="2"/>
        <v>2.176470588235294</v>
      </c>
      <c r="G4" s="39">
        <f>COUNTIF(Vertices[In-Degree],"&gt;= "&amp;F4)-COUNTIF(Vertices[In-Degree],"&gt;="&amp;F5)</f>
        <v>1</v>
      </c>
      <c r="H4" s="38">
        <f t="shared" si="3"/>
        <v>0.29411764705882354</v>
      </c>
      <c r="I4" s="39">
        <f>COUNTIF(Vertices[Out-Degree],"&gt;= "&amp;H4)-COUNTIF(Vertices[Out-Degree],"&gt;="&amp;H5)</f>
        <v>0</v>
      </c>
      <c r="J4" s="38">
        <f t="shared" si="4"/>
        <v>74.11764705882354</v>
      </c>
      <c r="K4" s="39">
        <f>COUNTIF(Vertices[Betweenness Centrality],"&gt;= "&amp;J4)-COUNTIF(Vertices[Betweenness Centrality],"&gt;="&amp;J5)</f>
        <v>2</v>
      </c>
      <c r="L4" s="38">
        <f t="shared" si="5"/>
        <v>0.058823529411764705</v>
      </c>
      <c r="M4" s="39">
        <f>COUNTIF(Vertices[Closeness Centrality],"&gt;= "&amp;L4)-COUNTIF(Vertices[Closeness Centrality],"&gt;="&amp;L5)</f>
        <v>1</v>
      </c>
      <c r="N4" s="38">
        <f t="shared" si="6"/>
        <v>0.006351235294117647</v>
      </c>
      <c r="O4" s="39">
        <f>COUNTIF(Vertices[Eigenvector Centrality],"&gt;= "&amp;N4)-COUNTIF(Vertices[Eigenvector Centrality],"&gt;="&amp;N5)</f>
        <v>0</v>
      </c>
      <c r="P4" s="38">
        <f t="shared" si="7"/>
        <v>1.4282950588235295</v>
      </c>
      <c r="Q4" s="39">
        <f>COUNTIF(Vertices[PageRank],"&gt;= "&amp;P4)-COUNTIF(Vertices[PageRank],"&gt;="&amp;P5)</f>
        <v>6</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4"/>
      <c r="B5" s="114"/>
      <c r="D5" s="33">
        <f t="shared" si="1"/>
        <v>0</v>
      </c>
      <c r="E5" s="3">
        <f>COUNTIF(Vertices[Degree],"&gt;= "&amp;D5)-COUNTIF(Vertices[Degree],"&gt;="&amp;D6)</f>
        <v>0</v>
      </c>
      <c r="F5" s="40">
        <f t="shared" si="2"/>
        <v>3.264705882352941</v>
      </c>
      <c r="G5" s="41">
        <f>COUNTIF(Vertices[In-Degree],"&gt;= "&amp;F5)-COUNTIF(Vertices[In-Degree],"&gt;="&amp;F6)</f>
        <v>4</v>
      </c>
      <c r="H5" s="40">
        <f t="shared" si="3"/>
        <v>0.4411764705882353</v>
      </c>
      <c r="I5" s="41">
        <f>COUNTIF(Vertices[Out-Degree],"&gt;= "&amp;H5)-COUNTIF(Vertices[Out-Degree],"&gt;="&amp;H6)</f>
        <v>0</v>
      </c>
      <c r="J5" s="40">
        <f t="shared" si="4"/>
        <v>111.1764705882353</v>
      </c>
      <c r="K5" s="41">
        <f>COUNTIF(Vertices[Betweenness Centrality],"&gt;= "&amp;J5)-COUNTIF(Vertices[Betweenness Centrality],"&gt;="&amp;J6)</f>
        <v>2</v>
      </c>
      <c r="L5" s="40">
        <f t="shared" si="5"/>
        <v>0.08823529411764705</v>
      </c>
      <c r="M5" s="41">
        <f>COUNTIF(Vertices[Closeness Centrality],"&gt;= "&amp;L5)-COUNTIF(Vertices[Closeness Centrality],"&gt;="&amp;L6)</f>
        <v>12</v>
      </c>
      <c r="N5" s="40">
        <f t="shared" si="6"/>
        <v>0.00952685294117647</v>
      </c>
      <c r="O5" s="41">
        <f>COUNTIF(Vertices[Eigenvector Centrality],"&gt;= "&amp;N5)-COUNTIF(Vertices[Eigenvector Centrality],"&gt;="&amp;N6)</f>
        <v>0</v>
      </c>
      <c r="P5" s="40">
        <f t="shared" si="7"/>
        <v>1.9241545882352942</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203</v>
      </c>
      <c r="D6" s="33">
        <f t="shared" si="1"/>
        <v>0</v>
      </c>
      <c r="E6" s="3">
        <f>COUNTIF(Vertices[Degree],"&gt;= "&amp;D6)-COUNTIF(Vertices[Degree],"&gt;="&amp;D7)</f>
        <v>0</v>
      </c>
      <c r="F6" s="38">
        <f t="shared" si="2"/>
        <v>4.352941176470588</v>
      </c>
      <c r="G6" s="39">
        <f>COUNTIF(Vertices[In-Degree],"&gt;= "&amp;F6)-COUNTIF(Vertices[In-Degree],"&gt;="&amp;F7)</f>
        <v>5</v>
      </c>
      <c r="H6" s="38">
        <f t="shared" si="3"/>
        <v>0.5882352941176471</v>
      </c>
      <c r="I6" s="39">
        <f>COUNTIF(Vertices[Out-Degree],"&gt;= "&amp;H6)-COUNTIF(Vertices[Out-Degree],"&gt;="&amp;H7)</f>
        <v>0</v>
      </c>
      <c r="J6" s="38">
        <f t="shared" si="4"/>
        <v>148.23529411764707</v>
      </c>
      <c r="K6" s="39">
        <f>COUNTIF(Vertices[Betweenness Centrality],"&gt;= "&amp;J6)-COUNTIF(Vertices[Betweenness Centrality],"&gt;="&amp;J7)</f>
        <v>0</v>
      </c>
      <c r="L6" s="38">
        <f t="shared" si="5"/>
        <v>0.11764705882352941</v>
      </c>
      <c r="M6" s="39">
        <f>COUNTIF(Vertices[Closeness Centrality],"&gt;= "&amp;L6)-COUNTIF(Vertices[Closeness Centrality],"&gt;="&amp;L7)</f>
        <v>9</v>
      </c>
      <c r="N6" s="38">
        <f t="shared" si="6"/>
        <v>0.012702470588235294</v>
      </c>
      <c r="O6" s="39">
        <f>COUNTIF(Vertices[Eigenvector Centrality],"&gt;= "&amp;N6)-COUNTIF(Vertices[Eigenvector Centrality],"&gt;="&amp;N7)</f>
        <v>0</v>
      </c>
      <c r="P6" s="38">
        <f t="shared" si="7"/>
        <v>2.420014117647059</v>
      </c>
      <c r="Q6" s="39">
        <f>COUNTIF(Vertices[PageRank],"&gt;= "&amp;P6)-COUNTIF(Vertices[PageRank],"&gt;="&amp;P7)</f>
        <v>3</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58</v>
      </c>
      <c r="D7" s="33">
        <f t="shared" si="1"/>
        <v>0</v>
      </c>
      <c r="E7" s="3">
        <f>COUNTIF(Vertices[Degree],"&gt;= "&amp;D7)-COUNTIF(Vertices[Degree],"&gt;="&amp;D8)</f>
        <v>0</v>
      </c>
      <c r="F7" s="40">
        <f t="shared" si="2"/>
        <v>5.441176470588235</v>
      </c>
      <c r="G7" s="41">
        <f>COUNTIF(Vertices[In-Degree],"&gt;= "&amp;F7)-COUNTIF(Vertices[In-Degree],"&gt;="&amp;F8)</f>
        <v>4</v>
      </c>
      <c r="H7" s="40">
        <f t="shared" si="3"/>
        <v>0.7352941176470589</v>
      </c>
      <c r="I7" s="41">
        <f>COUNTIF(Vertices[Out-Degree],"&gt;= "&amp;H7)-COUNTIF(Vertices[Out-Degree],"&gt;="&amp;H8)</f>
        <v>0</v>
      </c>
      <c r="J7" s="40">
        <f t="shared" si="4"/>
        <v>185.29411764705884</v>
      </c>
      <c r="K7" s="41">
        <f>COUNTIF(Vertices[Betweenness Centrality],"&gt;= "&amp;J7)-COUNTIF(Vertices[Betweenness Centrality],"&gt;="&amp;J8)</f>
        <v>1</v>
      </c>
      <c r="L7" s="40">
        <f t="shared" si="5"/>
        <v>0.14705882352941177</v>
      </c>
      <c r="M7" s="41">
        <f>COUNTIF(Vertices[Closeness Centrality],"&gt;= "&amp;L7)-COUNTIF(Vertices[Closeness Centrality],"&gt;="&amp;L8)</f>
        <v>6</v>
      </c>
      <c r="N7" s="40">
        <f t="shared" si="6"/>
        <v>0.015878088235294116</v>
      </c>
      <c r="O7" s="41">
        <f>COUNTIF(Vertices[Eigenvector Centrality],"&gt;= "&amp;N7)-COUNTIF(Vertices[Eigenvector Centrality],"&gt;="&amp;N8)</f>
        <v>11</v>
      </c>
      <c r="P7" s="40">
        <f t="shared" si="7"/>
        <v>2.915873647058824</v>
      </c>
      <c r="Q7" s="41">
        <f>COUNTIF(Vertices[PageRank],"&gt;= "&amp;P7)-COUNTIF(Vertices[PageRank],"&gt;="&amp;P8)</f>
        <v>2</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261</v>
      </c>
      <c r="D8" s="33">
        <f t="shared" si="1"/>
        <v>0</v>
      </c>
      <c r="E8" s="3">
        <f>COUNTIF(Vertices[Degree],"&gt;= "&amp;D8)-COUNTIF(Vertices[Degree],"&gt;="&amp;D9)</f>
        <v>0</v>
      </c>
      <c r="F8" s="38">
        <f t="shared" si="2"/>
        <v>6.529411764705881</v>
      </c>
      <c r="G8" s="39">
        <f>COUNTIF(Vertices[In-Degree],"&gt;= "&amp;F8)-COUNTIF(Vertices[In-Degree],"&gt;="&amp;F9)</f>
        <v>0</v>
      </c>
      <c r="H8" s="38">
        <f t="shared" si="3"/>
        <v>0.8823529411764707</v>
      </c>
      <c r="I8" s="39">
        <f>COUNTIF(Vertices[Out-Degree],"&gt;= "&amp;H8)-COUNTIF(Vertices[Out-Degree],"&gt;="&amp;H9)</f>
        <v>95</v>
      </c>
      <c r="J8" s="38">
        <f t="shared" si="4"/>
        <v>222.3529411764706</v>
      </c>
      <c r="K8" s="39">
        <f>COUNTIF(Vertices[Betweenness Centrality],"&gt;= "&amp;J8)-COUNTIF(Vertices[Betweenness Centrality],"&gt;="&amp;J9)</f>
        <v>1</v>
      </c>
      <c r="L8" s="38">
        <f t="shared" si="5"/>
        <v>0.17647058823529413</v>
      </c>
      <c r="M8" s="39">
        <f>COUNTIF(Vertices[Closeness Centrality],"&gt;= "&amp;L8)-COUNTIF(Vertices[Closeness Centrality],"&gt;="&amp;L9)</f>
        <v>7</v>
      </c>
      <c r="N8" s="38">
        <f t="shared" si="6"/>
        <v>0.019053705882352938</v>
      </c>
      <c r="O8" s="39">
        <f>COUNTIF(Vertices[Eigenvector Centrality],"&gt;= "&amp;N8)-COUNTIF(Vertices[Eigenvector Centrality],"&gt;="&amp;N9)</f>
        <v>0</v>
      </c>
      <c r="P8" s="38">
        <f t="shared" si="7"/>
        <v>3.4117331764705887</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4"/>
      <c r="B9" s="114"/>
      <c r="D9" s="33">
        <f t="shared" si="1"/>
        <v>0</v>
      </c>
      <c r="E9" s="3">
        <f>COUNTIF(Vertices[Degree],"&gt;= "&amp;D9)-COUNTIF(Vertices[Degree],"&gt;="&amp;D10)</f>
        <v>0</v>
      </c>
      <c r="F9" s="40">
        <f t="shared" si="2"/>
        <v>7.617647058823528</v>
      </c>
      <c r="G9" s="41">
        <f>COUNTIF(Vertices[In-Degree],"&gt;= "&amp;F9)-COUNTIF(Vertices[In-Degree],"&gt;="&amp;F10)</f>
        <v>0</v>
      </c>
      <c r="H9" s="40">
        <f t="shared" si="3"/>
        <v>1.0294117647058825</v>
      </c>
      <c r="I9" s="41">
        <f>COUNTIF(Vertices[Out-Degree],"&gt;= "&amp;H9)-COUNTIF(Vertices[Out-Degree],"&gt;="&amp;H10)</f>
        <v>0</v>
      </c>
      <c r="J9" s="40">
        <f t="shared" si="4"/>
        <v>259.4117647058824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0.02222932352941176</v>
      </c>
      <c r="O9" s="41">
        <f>COUNTIF(Vertices[Eigenvector Centrality],"&gt;= "&amp;N9)-COUNTIF(Vertices[Eigenvector Centrality],"&gt;="&amp;N10)</f>
        <v>0</v>
      </c>
      <c r="P9" s="40">
        <f t="shared" si="7"/>
        <v>3.9075927058823536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2113</v>
      </c>
      <c r="B10" s="35">
        <v>5</v>
      </c>
      <c r="D10" s="33">
        <f t="shared" si="1"/>
        <v>0</v>
      </c>
      <c r="E10" s="3">
        <f>COUNTIF(Vertices[Degree],"&gt;= "&amp;D10)-COUNTIF(Vertices[Degree],"&gt;="&amp;D11)</f>
        <v>0</v>
      </c>
      <c r="F10" s="38">
        <f t="shared" si="2"/>
        <v>8.705882352941176</v>
      </c>
      <c r="G10" s="39">
        <f>COUNTIF(Vertices[In-Degree],"&gt;= "&amp;F10)-COUNTIF(Vertices[In-Degree],"&gt;="&amp;F11)</f>
        <v>0</v>
      </c>
      <c r="H10" s="38">
        <f t="shared" si="3"/>
        <v>1.1764705882352942</v>
      </c>
      <c r="I10" s="39">
        <f>COUNTIF(Vertices[Out-Degree],"&gt;= "&amp;H10)-COUNTIF(Vertices[Out-Degree],"&gt;="&amp;H11)</f>
        <v>0</v>
      </c>
      <c r="J10" s="38">
        <f t="shared" si="4"/>
        <v>296.47058823529414</v>
      </c>
      <c r="K10" s="39">
        <f>COUNTIF(Vertices[Betweenness Centrality],"&gt;= "&amp;J10)-COUNTIF(Vertices[Betweenness Centrality],"&gt;="&amp;J11)</f>
        <v>0</v>
      </c>
      <c r="L10" s="38">
        <f t="shared" si="5"/>
        <v>0.23529411764705885</v>
      </c>
      <c r="M10" s="39">
        <f>COUNTIF(Vertices[Closeness Centrality],"&gt;= "&amp;L10)-COUNTIF(Vertices[Closeness Centrality],"&gt;="&amp;L11)</f>
        <v>3</v>
      </c>
      <c r="N10" s="38">
        <f t="shared" si="6"/>
        <v>0.02540494117647058</v>
      </c>
      <c r="O10" s="39">
        <f>COUNTIF(Vertices[Eigenvector Centrality],"&gt;= "&amp;N10)-COUNTIF(Vertices[Eigenvector Centrality],"&gt;="&amp;N11)</f>
        <v>0</v>
      </c>
      <c r="P10" s="38">
        <f t="shared" si="7"/>
        <v>4.403452235294118</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4"/>
      <c r="B11" s="114"/>
      <c r="D11" s="33">
        <f t="shared" si="1"/>
        <v>0</v>
      </c>
      <c r="E11" s="3">
        <f>COUNTIF(Vertices[Degree],"&gt;= "&amp;D11)-COUNTIF(Vertices[Degree],"&gt;="&amp;D12)</f>
        <v>0</v>
      </c>
      <c r="F11" s="40">
        <f t="shared" si="2"/>
        <v>9.794117647058822</v>
      </c>
      <c r="G11" s="41">
        <f>COUNTIF(Vertices[In-Degree],"&gt;= "&amp;F11)-COUNTIF(Vertices[In-Degree],"&gt;="&amp;F12)</f>
        <v>0</v>
      </c>
      <c r="H11" s="40">
        <f t="shared" si="3"/>
        <v>1.3235294117647058</v>
      </c>
      <c r="I11" s="41">
        <f>COUNTIF(Vertices[Out-Degree],"&gt;= "&amp;H11)-COUNTIF(Vertices[Out-Degree],"&gt;="&amp;H12)</f>
        <v>0</v>
      </c>
      <c r="J11" s="40">
        <f t="shared" si="4"/>
        <v>333.5294117647059</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0.028580558823529403</v>
      </c>
      <c r="O11" s="41">
        <f>COUNTIF(Vertices[Eigenvector Centrality],"&gt;= "&amp;N11)-COUNTIF(Vertices[Eigenvector Centrality],"&gt;="&amp;N12)</f>
        <v>1</v>
      </c>
      <c r="P11" s="40">
        <f t="shared" si="7"/>
        <v>4.899311764705883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383</v>
      </c>
      <c r="B12" s="35">
        <v>112</v>
      </c>
      <c r="D12" s="33">
        <f t="shared" si="1"/>
        <v>0</v>
      </c>
      <c r="E12" s="3">
        <f>COUNTIF(Vertices[Degree],"&gt;= "&amp;D12)-COUNTIF(Vertices[Degree],"&gt;="&amp;D13)</f>
        <v>0</v>
      </c>
      <c r="F12" s="38">
        <f t="shared" si="2"/>
        <v>10.88235294117647</v>
      </c>
      <c r="G12" s="39">
        <f>COUNTIF(Vertices[In-Degree],"&gt;= "&amp;F12)-COUNTIF(Vertices[In-Degree],"&gt;="&amp;F13)</f>
        <v>0</v>
      </c>
      <c r="H12" s="38">
        <f t="shared" si="3"/>
        <v>1.4705882352941175</v>
      </c>
      <c r="I12" s="39">
        <f>COUNTIF(Vertices[Out-Degree],"&gt;= "&amp;H12)-COUNTIF(Vertices[Out-Degree],"&gt;="&amp;H13)</f>
        <v>0</v>
      </c>
      <c r="J12" s="38">
        <f t="shared" si="4"/>
        <v>370.5882352941177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0.031756176470588225</v>
      </c>
      <c r="O12" s="39">
        <f>COUNTIF(Vertices[Eigenvector Centrality],"&gt;= "&amp;N12)-COUNTIF(Vertices[Eigenvector Centrality],"&gt;="&amp;N13)</f>
        <v>0</v>
      </c>
      <c r="P12" s="38">
        <f t="shared" si="7"/>
        <v>5.395171294117647</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178</v>
      </c>
      <c r="B13" s="35">
        <v>39</v>
      </c>
      <c r="D13" s="33">
        <f t="shared" si="1"/>
        <v>0</v>
      </c>
      <c r="E13" s="3">
        <f>COUNTIF(Vertices[Degree],"&gt;= "&amp;D13)-COUNTIF(Vertices[Degree],"&gt;="&amp;D14)</f>
        <v>0</v>
      </c>
      <c r="F13" s="40">
        <f t="shared" si="2"/>
        <v>11.970588235294116</v>
      </c>
      <c r="G13" s="41">
        <f>COUNTIF(Vertices[In-Degree],"&gt;= "&amp;F13)-COUNTIF(Vertices[In-Degree],"&gt;="&amp;F14)</f>
        <v>2</v>
      </c>
      <c r="H13" s="40">
        <f t="shared" si="3"/>
        <v>1.6176470588235292</v>
      </c>
      <c r="I13" s="41">
        <f>COUNTIF(Vertices[Out-Degree],"&gt;= "&amp;H13)-COUNTIF(Vertices[Out-Degree],"&gt;="&amp;H14)</f>
        <v>0</v>
      </c>
      <c r="J13" s="40">
        <f t="shared" si="4"/>
        <v>407.64705882352945</v>
      </c>
      <c r="K13" s="41">
        <f>COUNTIF(Vertices[Betweenness Centrality],"&gt;= "&amp;J13)-COUNTIF(Vertices[Betweenness Centrality],"&gt;="&amp;J14)</f>
        <v>0</v>
      </c>
      <c r="L13" s="40">
        <f t="shared" si="5"/>
        <v>0.3235294117647059</v>
      </c>
      <c r="M13" s="41">
        <f>COUNTIF(Vertices[Closeness Centrality],"&gt;= "&amp;L13)-COUNTIF(Vertices[Closeness Centrality],"&gt;="&amp;L14)</f>
        <v>6</v>
      </c>
      <c r="N13" s="40">
        <f t="shared" si="6"/>
        <v>0.03493179411764705</v>
      </c>
      <c r="O13" s="41">
        <f>COUNTIF(Vertices[Eigenvector Centrality],"&gt;= "&amp;N13)-COUNTIF(Vertices[Eigenvector Centrality],"&gt;="&amp;N14)</f>
        <v>13</v>
      </c>
      <c r="P13" s="40">
        <f t="shared" si="7"/>
        <v>5.8910308235294115</v>
      </c>
      <c r="Q13" s="41">
        <f>COUNTIF(Vertices[PageRank],"&gt;= "&amp;P13)-COUNTIF(Vertices[PageRank],"&gt;="&amp;P14)</f>
        <v>0</v>
      </c>
      <c r="R13" s="40">
        <f t="shared" si="8"/>
        <v>0.3235294117647059</v>
      </c>
      <c r="S13" s="45">
        <f>COUNTIF(Vertices[Clustering Coefficient],"&gt;= "&amp;R13)-COUNTIF(Vertices[Clustering Coefficient],"&gt;="&amp;R14)</f>
        <v>16</v>
      </c>
      <c r="T13" s="40" t="e">
        <f ca="1" t="shared" si="9"/>
        <v>#REF!</v>
      </c>
      <c r="U13" s="41" t="e">
        <f ca="1" t="shared" si="0"/>
        <v>#REF!</v>
      </c>
    </row>
    <row r="14" spans="1:21" ht="15">
      <c r="A14" s="35" t="s">
        <v>384</v>
      </c>
      <c r="B14" s="35">
        <v>33</v>
      </c>
      <c r="D14" s="33">
        <f t="shared" si="1"/>
        <v>0</v>
      </c>
      <c r="E14" s="3">
        <f>COUNTIF(Vertices[Degree],"&gt;= "&amp;D14)-COUNTIF(Vertices[Degree],"&gt;="&amp;D15)</f>
        <v>0</v>
      </c>
      <c r="F14" s="38">
        <f t="shared" si="2"/>
        <v>13.058823529411763</v>
      </c>
      <c r="G14" s="39">
        <f>COUNTIF(Vertices[In-Degree],"&gt;= "&amp;F14)-COUNTIF(Vertices[In-Degree],"&gt;="&amp;F15)</f>
        <v>1</v>
      </c>
      <c r="H14" s="38">
        <f t="shared" si="3"/>
        <v>1.764705882352941</v>
      </c>
      <c r="I14" s="39">
        <f>COUNTIF(Vertices[Out-Degree],"&gt;= "&amp;H14)-COUNTIF(Vertices[Out-Degree],"&gt;="&amp;H15)</f>
        <v>0</v>
      </c>
      <c r="J14" s="38">
        <f t="shared" si="4"/>
        <v>444.7058823529412</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0.03810741176470587</v>
      </c>
      <c r="O14" s="39">
        <f>COUNTIF(Vertices[Eigenvector Centrality],"&gt;= "&amp;N14)-COUNTIF(Vertices[Eigenvector Centrality],"&gt;="&amp;N15)</f>
        <v>0</v>
      </c>
      <c r="P14" s="38">
        <f t="shared" si="7"/>
        <v>6.386890352941176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385</v>
      </c>
      <c r="B15" s="35">
        <v>4</v>
      </c>
      <c r="D15" s="33">
        <f t="shared" si="1"/>
        <v>0</v>
      </c>
      <c r="E15" s="3">
        <f>COUNTIF(Vertices[Degree],"&gt;= "&amp;D15)-COUNTIF(Vertices[Degree],"&gt;="&amp;D16)</f>
        <v>0</v>
      </c>
      <c r="F15" s="40">
        <f t="shared" si="2"/>
        <v>14.14705882352941</v>
      </c>
      <c r="G15" s="41">
        <f>COUNTIF(Vertices[In-Degree],"&gt;= "&amp;F15)-COUNTIF(Vertices[In-Degree],"&gt;="&amp;F16)</f>
        <v>0</v>
      </c>
      <c r="H15" s="40">
        <f t="shared" si="3"/>
        <v>1.9117647058823526</v>
      </c>
      <c r="I15" s="41">
        <f>COUNTIF(Vertices[Out-Degree],"&gt;= "&amp;H15)-COUNTIF(Vertices[Out-Degree],"&gt;="&amp;H16)</f>
        <v>23</v>
      </c>
      <c r="J15" s="40">
        <f t="shared" si="4"/>
        <v>481.764705882353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0.04128302941176469</v>
      </c>
      <c r="O15" s="41">
        <f>COUNTIF(Vertices[Eigenvector Centrality],"&gt;= "&amp;N15)-COUNTIF(Vertices[Eigenvector Centrality],"&gt;="&amp;N16)</f>
        <v>0</v>
      </c>
      <c r="P15" s="40">
        <f t="shared" si="7"/>
        <v>6.8827498823529405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382</v>
      </c>
      <c r="B16" s="35">
        <v>73</v>
      </c>
      <c r="D16" s="33">
        <f t="shared" si="1"/>
        <v>0</v>
      </c>
      <c r="E16" s="3">
        <f>COUNTIF(Vertices[Degree],"&gt;= "&amp;D16)-COUNTIF(Vertices[Degree],"&gt;="&amp;D17)</f>
        <v>0</v>
      </c>
      <c r="F16" s="38">
        <f t="shared" si="2"/>
        <v>15.235294117647056</v>
      </c>
      <c r="G16" s="39">
        <f>COUNTIF(Vertices[In-Degree],"&gt;= "&amp;F16)-COUNTIF(Vertices[In-Degree],"&gt;="&amp;F17)</f>
        <v>0</v>
      </c>
      <c r="H16" s="38">
        <f t="shared" si="3"/>
        <v>2.0588235294117645</v>
      </c>
      <c r="I16" s="39">
        <f>COUNTIF(Vertices[Out-Degree],"&gt;= "&amp;H16)-COUNTIF(Vertices[Out-Degree],"&gt;="&amp;H17)</f>
        <v>0</v>
      </c>
      <c r="J16" s="38">
        <f t="shared" si="4"/>
        <v>518.8235294117648</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0.04445864705882351</v>
      </c>
      <c r="O16" s="39">
        <f>COUNTIF(Vertices[Eigenvector Centrality],"&gt;= "&amp;N16)-COUNTIF(Vertices[Eigenvector Centrality],"&gt;="&amp;N17)</f>
        <v>0</v>
      </c>
      <c r="P16" s="38">
        <f t="shared" si="7"/>
        <v>7.378609411764705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4"/>
      <c r="B17" s="114"/>
      <c r="D17" s="33">
        <f t="shared" si="1"/>
        <v>0</v>
      </c>
      <c r="E17" s="3">
        <f>COUNTIF(Vertices[Degree],"&gt;= "&amp;D17)-COUNTIF(Vertices[Degree],"&gt;="&amp;D18)</f>
        <v>0</v>
      </c>
      <c r="F17" s="40">
        <f t="shared" si="2"/>
        <v>16.323529411764703</v>
      </c>
      <c r="G17" s="41">
        <f>COUNTIF(Vertices[In-Degree],"&gt;= "&amp;F17)-COUNTIF(Vertices[In-Degree],"&gt;="&amp;F18)</f>
        <v>0</v>
      </c>
      <c r="H17" s="40">
        <f t="shared" si="3"/>
        <v>2.205882352941176</v>
      </c>
      <c r="I17" s="41">
        <f>COUNTIF(Vertices[Out-Degree],"&gt;= "&amp;H17)-COUNTIF(Vertices[Out-Degree],"&gt;="&amp;H18)</f>
        <v>0</v>
      </c>
      <c r="J17" s="40">
        <f t="shared" si="4"/>
        <v>555.8823529411766</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0.047634264705882334</v>
      </c>
      <c r="O17" s="41">
        <f>COUNTIF(Vertices[Eigenvector Centrality],"&gt;= "&amp;N17)-COUNTIF(Vertices[Eigenvector Centrality],"&gt;="&amp;N18)</f>
        <v>0</v>
      </c>
      <c r="P17" s="40">
        <f t="shared" si="7"/>
        <v>7.8744689411764694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41</v>
      </c>
      <c r="D18" s="33">
        <f t="shared" si="1"/>
        <v>0</v>
      </c>
      <c r="E18" s="3">
        <f>COUNTIF(Vertices[Degree],"&gt;= "&amp;D18)-COUNTIF(Vertices[Degree],"&gt;="&amp;D19)</f>
        <v>0</v>
      </c>
      <c r="F18" s="38">
        <f t="shared" si="2"/>
        <v>17.41176470588235</v>
      </c>
      <c r="G18" s="39">
        <f>COUNTIF(Vertices[In-Degree],"&gt;= "&amp;F18)-COUNTIF(Vertices[In-Degree],"&gt;="&amp;F19)</f>
        <v>0</v>
      </c>
      <c r="H18" s="38">
        <f t="shared" si="3"/>
        <v>2.352941176470588</v>
      </c>
      <c r="I18" s="39">
        <f>COUNTIF(Vertices[Out-Degree],"&gt;= "&amp;H18)-COUNTIF(Vertices[Out-Degree],"&gt;="&amp;H19)</f>
        <v>0</v>
      </c>
      <c r="J18" s="38">
        <f t="shared" si="4"/>
        <v>592.9411764705883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0.050809882352941156</v>
      </c>
      <c r="O18" s="39">
        <f>COUNTIF(Vertices[Eigenvector Centrality],"&gt;= "&amp;N18)-COUNTIF(Vertices[Eigenvector Centrality],"&gt;="&amp;N19)</f>
        <v>0</v>
      </c>
      <c r="P18" s="38">
        <f t="shared" si="7"/>
        <v>8.370328470588234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4"/>
      <c r="B19" s="114"/>
      <c r="D19" s="33">
        <f t="shared" si="1"/>
        <v>0</v>
      </c>
      <c r="E19" s="3">
        <f>COUNTIF(Vertices[Degree],"&gt;= "&amp;D19)-COUNTIF(Vertices[Degree],"&gt;="&amp;D20)</f>
        <v>0</v>
      </c>
      <c r="F19" s="40">
        <f t="shared" si="2"/>
        <v>18.5</v>
      </c>
      <c r="G19" s="41">
        <f>COUNTIF(Vertices[In-Degree],"&gt;= "&amp;F19)-COUNTIF(Vertices[In-Degree],"&gt;="&amp;F20)</f>
        <v>0</v>
      </c>
      <c r="H19" s="40">
        <f t="shared" si="3"/>
        <v>2.4999999999999996</v>
      </c>
      <c r="I19" s="41">
        <f>COUNTIF(Vertices[Out-Degree],"&gt;= "&amp;H19)-COUNTIF(Vertices[Out-Degree],"&gt;="&amp;H20)</f>
        <v>0</v>
      </c>
      <c r="J19" s="40">
        <f t="shared" si="4"/>
        <v>630</v>
      </c>
      <c r="K19" s="41">
        <f>COUNTIF(Vertices[Betweenness Centrality],"&gt;= "&amp;J19)-COUNTIF(Vertices[Betweenness Centrality],"&gt;="&amp;J20)</f>
        <v>0</v>
      </c>
      <c r="L19" s="40">
        <f t="shared" si="5"/>
        <v>0.5</v>
      </c>
      <c r="M19" s="41">
        <f>COUNTIF(Vertices[Closeness Centrality],"&gt;= "&amp;L19)-COUNTIF(Vertices[Closeness Centrality],"&gt;="&amp;L20)</f>
        <v>8</v>
      </c>
      <c r="N19" s="40">
        <f t="shared" si="6"/>
        <v>0.05398549999999998</v>
      </c>
      <c r="O19" s="41">
        <f>COUNTIF(Vertices[Eigenvector Centrality],"&gt;= "&amp;N19)-COUNTIF(Vertices[Eigenvector Centrality],"&gt;="&amp;N20)</f>
        <v>0</v>
      </c>
      <c r="P19" s="40">
        <f t="shared" si="7"/>
        <v>8.866188</v>
      </c>
      <c r="Q19" s="41">
        <f>COUNTIF(Vertices[PageRank],"&gt;= "&amp;P19)-COUNTIF(Vertices[PageRank],"&gt;="&amp;P20)</f>
        <v>0</v>
      </c>
      <c r="R19" s="40">
        <f t="shared" si="8"/>
        <v>0.5</v>
      </c>
      <c r="S19" s="45">
        <f>COUNTIF(Vertices[Clustering Coefficient],"&gt;= "&amp;R19)-COUNTIF(Vertices[Clustering Coefficient],"&gt;="&amp;R20)</f>
        <v>20</v>
      </c>
      <c r="T19" s="40" t="e">
        <f ca="1" t="shared" si="9"/>
        <v>#REF!</v>
      </c>
      <c r="U19" s="41" t="e">
        <f ca="1" t="shared" si="0"/>
        <v>#REF!</v>
      </c>
    </row>
    <row r="20" spans="1:21" ht="15">
      <c r="A20" s="35" t="s">
        <v>170</v>
      </c>
      <c r="B20" s="35">
        <v>0.036458333333333336</v>
      </c>
      <c r="D20" s="33">
        <f t="shared" si="1"/>
        <v>0</v>
      </c>
      <c r="E20" s="3">
        <f>COUNTIF(Vertices[Degree],"&gt;= "&amp;D20)-COUNTIF(Vertices[Degree],"&gt;="&amp;D21)</f>
        <v>0</v>
      </c>
      <c r="F20" s="38">
        <f t="shared" si="2"/>
        <v>19.58823529411765</v>
      </c>
      <c r="G20" s="39">
        <f>COUNTIF(Vertices[In-Degree],"&gt;= "&amp;F20)-COUNTIF(Vertices[In-Degree],"&gt;="&amp;F21)</f>
        <v>0</v>
      </c>
      <c r="H20" s="38">
        <f t="shared" si="3"/>
        <v>2.6470588235294112</v>
      </c>
      <c r="I20" s="39">
        <f>COUNTIF(Vertices[Out-Degree],"&gt;= "&amp;H20)-COUNTIF(Vertices[Out-Degree],"&gt;="&amp;H21)</f>
        <v>0</v>
      </c>
      <c r="J20" s="38">
        <f t="shared" si="4"/>
        <v>667.0588235294117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0.0571611176470588</v>
      </c>
      <c r="O20" s="39">
        <f>COUNTIF(Vertices[Eigenvector Centrality],"&gt;= "&amp;N20)-COUNTIF(Vertices[Eigenvector Centrality],"&gt;="&amp;N21)</f>
        <v>0</v>
      </c>
      <c r="P20" s="38">
        <f t="shared" si="7"/>
        <v>9.362047529411765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0.07035175879396985</v>
      </c>
      <c r="D21" s="33">
        <f t="shared" si="1"/>
        <v>0</v>
      </c>
      <c r="E21" s="3">
        <f>COUNTIF(Vertices[Degree],"&gt;= "&amp;D21)-COUNTIF(Vertices[Degree],"&gt;="&amp;D22)</f>
        <v>0</v>
      </c>
      <c r="F21" s="40">
        <f t="shared" si="2"/>
        <v>20.676470588235297</v>
      </c>
      <c r="G21" s="41">
        <f>COUNTIF(Vertices[In-Degree],"&gt;= "&amp;F21)-COUNTIF(Vertices[In-Degree],"&gt;="&amp;F22)</f>
        <v>0</v>
      </c>
      <c r="H21" s="40">
        <f t="shared" si="3"/>
        <v>2.794117647058823</v>
      </c>
      <c r="I21" s="41">
        <f>COUNTIF(Vertices[Out-Degree],"&gt;= "&amp;H21)-COUNTIF(Vertices[Out-Degree],"&gt;="&amp;H22)</f>
        <v>0</v>
      </c>
      <c r="J21" s="40">
        <f t="shared" si="4"/>
        <v>704.1176470588234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0.06033673529411762</v>
      </c>
      <c r="O21" s="41">
        <f>COUNTIF(Vertices[Eigenvector Centrality],"&gt;= "&amp;N21)-COUNTIF(Vertices[Eigenvector Centrality],"&gt;="&amp;N22)</f>
        <v>0</v>
      </c>
      <c r="P21" s="40">
        <f t="shared" si="7"/>
        <v>9.85790705882353</v>
      </c>
      <c r="Q21" s="41">
        <f>COUNTIF(Vertices[PageRank],"&gt;= "&amp;P21)-COUNTIF(Vertices[PageRank],"&gt;="&amp;P22)</f>
        <v>0</v>
      </c>
      <c r="R21" s="40">
        <f t="shared" si="8"/>
        <v>0.5588235294117647</v>
      </c>
      <c r="S21" s="45">
        <f>COUNTIF(Vertices[Clustering Coefficient],"&gt;= "&amp;R21)-COUNTIF(Vertices[Clustering Coefficient],"&gt;="&amp;R22)</f>
        <v>4</v>
      </c>
      <c r="T21" s="40" t="e">
        <f ca="1" t="shared" si="9"/>
        <v>#REF!</v>
      </c>
      <c r="U21" s="41" t="e">
        <f ca="1" t="shared" si="0"/>
        <v>#REF!</v>
      </c>
    </row>
    <row r="22" spans="1:21" ht="15">
      <c r="A22" s="114"/>
      <c r="B22" s="114"/>
      <c r="D22" s="33">
        <f t="shared" si="1"/>
        <v>0</v>
      </c>
      <c r="E22" s="3">
        <f>COUNTIF(Vertices[Degree],"&gt;= "&amp;D22)-COUNTIF(Vertices[Degree],"&gt;="&amp;D23)</f>
        <v>0</v>
      </c>
      <c r="F22" s="38">
        <f t="shared" si="2"/>
        <v>21.764705882352946</v>
      </c>
      <c r="G22" s="39">
        <f>COUNTIF(Vertices[In-Degree],"&gt;= "&amp;F22)-COUNTIF(Vertices[In-Degree],"&gt;="&amp;F23)</f>
        <v>0</v>
      </c>
      <c r="H22" s="38">
        <f t="shared" si="3"/>
        <v>2.9411764705882346</v>
      </c>
      <c r="I22" s="39">
        <f>COUNTIF(Vertices[Out-Degree],"&gt;= "&amp;H22)-COUNTIF(Vertices[Out-Degree],"&gt;="&amp;H23)</f>
        <v>15</v>
      </c>
      <c r="J22" s="38">
        <f t="shared" si="4"/>
        <v>741.1764705882351</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0.06351235294117645</v>
      </c>
      <c r="O22" s="39">
        <f>COUNTIF(Vertices[Eigenvector Centrality],"&gt;= "&amp;N22)-COUNTIF(Vertices[Eigenvector Centrality],"&gt;="&amp;N23)</f>
        <v>0</v>
      </c>
      <c r="P22" s="38">
        <f t="shared" si="7"/>
        <v>10.353766588235295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35</v>
      </c>
      <c r="D23" s="33">
        <f t="shared" si="1"/>
        <v>0</v>
      </c>
      <c r="E23" s="3">
        <f>COUNTIF(Vertices[Degree],"&gt;= "&amp;D23)-COUNTIF(Vertices[Degree],"&gt;="&amp;D24)</f>
        <v>0</v>
      </c>
      <c r="F23" s="40">
        <f t="shared" si="2"/>
        <v>22.852941176470594</v>
      </c>
      <c r="G23" s="41">
        <f>COUNTIF(Vertices[In-Degree],"&gt;= "&amp;F23)-COUNTIF(Vertices[In-Degree],"&gt;="&amp;F24)</f>
        <v>0</v>
      </c>
      <c r="H23" s="40">
        <f t="shared" si="3"/>
        <v>3.0882352941176463</v>
      </c>
      <c r="I23" s="41">
        <f>COUNTIF(Vertices[Out-Degree],"&gt;= "&amp;H23)-COUNTIF(Vertices[Out-Degree],"&gt;="&amp;H24)</f>
        <v>0</v>
      </c>
      <c r="J23" s="40">
        <f t="shared" si="4"/>
        <v>778.2352941176468</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0.06668797058823528</v>
      </c>
      <c r="O23" s="41">
        <f>COUNTIF(Vertices[Eigenvector Centrality],"&gt;= "&amp;N23)-COUNTIF(Vertices[Eigenvector Centrality],"&gt;="&amp;N24)</f>
        <v>0</v>
      </c>
      <c r="P23" s="40">
        <f t="shared" si="7"/>
        <v>10.84962611764706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11</v>
      </c>
      <c r="D24" s="33">
        <f t="shared" si="1"/>
        <v>0</v>
      </c>
      <c r="E24" s="3">
        <f>COUNTIF(Vertices[Degree],"&gt;= "&amp;D24)-COUNTIF(Vertices[Degree],"&gt;="&amp;D25)</f>
        <v>0</v>
      </c>
      <c r="F24" s="38">
        <f t="shared" si="2"/>
        <v>23.941176470588243</v>
      </c>
      <c r="G24" s="39">
        <f>COUNTIF(Vertices[In-Degree],"&gt;= "&amp;F24)-COUNTIF(Vertices[In-Degree],"&gt;="&amp;F25)</f>
        <v>0</v>
      </c>
      <c r="H24" s="38">
        <f t="shared" si="3"/>
        <v>3.235294117647058</v>
      </c>
      <c r="I24" s="39">
        <f>COUNTIF(Vertices[Out-Degree],"&gt;= "&amp;H24)-COUNTIF(Vertices[Out-Degree],"&gt;="&amp;H25)</f>
        <v>0</v>
      </c>
      <c r="J24" s="38">
        <f t="shared" si="4"/>
        <v>815.2941176470586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0.06986358823529411</v>
      </c>
      <c r="O24" s="39">
        <f>COUNTIF(Vertices[Eigenvector Centrality],"&gt;= "&amp;N24)-COUNTIF(Vertices[Eigenvector Centrality],"&gt;="&amp;N25)</f>
        <v>0</v>
      </c>
      <c r="P24" s="38">
        <f t="shared" si="7"/>
        <v>11.345485647058826</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37</v>
      </c>
      <c r="D25" s="33">
        <f t="shared" si="1"/>
        <v>0</v>
      </c>
      <c r="E25" s="3">
        <f>COUNTIF(Vertices[Degree],"&gt;= "&amp;D25)-COUNTIF(Vertices[Degree],"&gt;="&amp;D26)</f>
        <v>0</v>
      </c>
      <c r="F25" s="40">
        <f t="shared" si="2"/>
        <v>25.02941176470589</v>
      </c>
      <c r="G25" s="41">
        <f>COUNTIF(Vertices[In-Degree],"&gt;= "&amp;F25)-COUNTIF(Vertices[In-Degree],"&gt;="&amp;F26)</f>
        <v>1</v>
      </c>
      <c r="H25" s="40">
        <f t="shared" si="3"/>
        <v>3.3823529411764697</v>
      </c>
      <c r="I25" s="41">
        <f>COUNTIF(Vertices[Out-Degree],"&gt;= "&amp;H25)-COUNTIF(Vertices[Out-Degree],"&gt;="&amp;H26)</f>
        <v>0</v>
      </c>
      <c r="J25" s="40">
        <f t="shared" si="4"/>
        <v>852.3529411764703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0.07303920588235294</v>
      </c>
      <c r="O25" s="41">
        <f>COUNTIF(Vertices[Eigenvector Centrality],"&gt;= "&amp;N25)-COUNTIF(Vertices[Eigenvector Centrality],"&gt;="&amp;N26)</f>
        <v>0</v>
      </c>
      <c r="P25" s="40">
        <f t="shared" si="7"/>
        <v>11.841345176470591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79</v>
      </c>
      <c r="D26" s="33">
        <f t="shared" si="1"/>
        <v>0</v>
      </c>
      <c r="E26" s="3">
        <f>COUNTIF(Vertices[Degree],"&gt;= "&amp;D26)-COUNTIF(Vertices[Degree],"&gt;="&amp;D27)</f>
        <v>0</v>
      </c>
      <c r="F26" s="38">
        <f t="shared" si="2"/>
        <v>26.11764705882354</v>
      </c>
      <c r="G26" s="39">
        <f>COUNTIF(Vertices[In-Degree],"&gt;= "&amp;F26)-COUNTIF(Vertices[In-Degree],"&gt;="&amp;F27)</f>
        <v>0</v>
      </c>
      <c r="H26" s="38">
        <f t="shared" si="3"/>
        <v>3.5294117647058814</v>
      </c>
      <c r="I26" s="39">
        <f>COUNTIF(Vertices[Out-Degree],"&gt;= "&amp;H26)-COUNTIF(Vertices[Out-Degree],"&gt;="&amp;H27)</f>
        <v>0</v>
      </c>
      <c r="J26" s="38">
        <f t="shared" si="4"/>
        <v>889.411764705882</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0.07621482352941177</v>
      </c>
      <c r="O26" s="39">
        <f>COUNTIF(Vertices[Eigenvector Centrality],"&gt;= "&amp;N26)-COUNTIF(Vertices[Eigenvector Centrality],"&gt;="&amp;N27)</f>
        <v>1</v>
      </c>
      <c r="P26" s="38">
        <f t="shared" si="7"/>
        <v>12.337204705882357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4"/>
      <c r="B27" s="114"/>
      <c r="D27" s="33">
        <f t="shared" si="1"/>
        <v>0</v>
      </c>
      <c r="E27" s="3">
        <f>COUNTIF(Vertices[Degree],"&gt;= "&amp;D27)-COUNTIF(Vertices[Degree],"&gt;="&amp;D28)</f>
        <v>0</v>
      </c>
      <c r="F27" s="40">
        <f t="shared" si="2"/>
        <v>27.205882352941188</v>
      </c>
      <c r="G27" s="41">
        <f>COUNTIF(Vertices[In-Degree],"&gt;= "&amp;F27)-COUNTIF(Vertices[In-Degree],"&gt;="&amp;F28)</f>
        <v>0</v>
      </c>
      <c r="H27" s="40">
        <f t="shared" si="3"/>
        <v>3.676470588235293</v>
      </c>
      <c r="I27" s="41">
        <f>COUNTIF(Vertices[Out-Degree],"&gt;= "&amp;H27)-COUNTIF(Vertices[Out-Degree],"&gt;="&amp;H28)</f>
        <v>0</v>
      </c>
      <c r="J27" s="40">
        <f t="shared" si="4"/>
        <v>926.4705882352937</v>
      </c>
      <c r="K27" s="41">
        <f>COUNTIF(Vertices[Betweenness Centrality],"&gt;= "&amp;J27)-COUNTIF(Vertices[Betweenness Centrality],"&gt;="&amp;J28)</f>
        <v>1</v>
      </c>
      <c r="L27" s="40">
        <f t="shared" si="5"/>
        <v>0.7352941176470589</v>
      </c>
      <c r="M27" s="41">
        <f>COUNTIF(Vertices[Closeness Centrality],"&gt;= "&amp;L27)-COUNTIF(Vertices[Closeness Centrality],"&gt;="&amp;L28)</f>
        <v>0</v>
      </c>
      <c r="N27" s="40">
        <f t="shared" si="6"/>
        <v>0.0793904411764706</v>
      </c>
      <c r="O27" s="41">
        <f>COUNTIF(Vertices[Eigenvector Centrality],"&gt;= "&amp;N27)-COUNTIF(Vertices[Eigenvector Centrality],"&gt;="&amp;N28)</f>
        <v>0</v>
      </c>
      <c r="P27" s="40">
        <f t="shared" si="7"/>
        <v>12.833064235294122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28.294117647058837</v>
      </c>
      <c r="G28" s="39">
        <f>COUNTIF(Vertices[In-Degree],"&gt;= "&amp;F28)-COUNTIF(Vertices[In-Degree],"&gt;="&amp;F29)</f>
        <v>0</v>
      </c>
      <c r="H28" s="38">
        <f t="shared" si="3"/>
        <v>3.8235294117647047</v>
      </c>
      <c r="I28" s="39">
        <f>COUNTIF(Vertices[Out-Degree],"&gt;= "&amp;H28)-COUNTIF(Vertices[Out-Degree],"&gt;="&amp;H29)</f>
        <v>0</v>
      </c>
      <c r="J28" s="38">
        <f t="shared" si="4"/>
        <v>963.5294117647054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0.08256605882352942</v>
      </c>
      <c r="O28" s="39">
        <f>COUNTIF(Vertices[Eigenvector Centrality],"&gt;= "&amp;N28)-COUNTIF(Vertices[Eigenvector Centrality],"&gt;="&amp;N29)</f>
        <v>0</v>
      </c>
      <c r="P28" s="38">
        <f t="shared" si="7"/>
        <v>13.328923764705888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2.046945</v>
      </c>
      <c r="D29" s="33">
        <f t="shared" si="1"/>
        <v>0</v>
      </c>
      <c r="E29" s="3">
        <f>COUNTIF(Vertices[Degree],"&gt;= "&amp;D29)-COUNTIF(Vertices[Degree],"&gt;="&amp;D30)</f>
        <v>0</v>
      </c>
      <c r="F29" s="40">
        <f t="shared" si="2"/>
        <v>29.382352941176485</v>
      </c>
      <c r="G29" s="41">
        <f>COUNTIF(Vertices[In-Degree],"&gt;= "&amp;F29)-COUNTIF(Vertices[In-Degree],"&gt;="&amp;F30)</f>
        <v>0</v>
      </c>
      <c r="H29" s="40">
        <f t="shared" si="3"/>
        <v>3.9705882352941164</v>
      </c>
      <c r="I29" s="41">
        <f>COUNTIF(Vertices[Out-Degree],"&gt;= "&amp;H29)-COUNTIF(Vertices[Out-Degree],"&gt;="&amp;H30)</f>
        <v>4</v>
      </c>
      <c r="J29" s="40">
        <f t="shared" si="4"/>
        <v>1000.5882352941171</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0.08574167647058825</v>
      </c>
      <c r="O29" s="41">
        <f>COUNTIF(Vertices[Eigenvector Centrality],"&gt;= "&amp;N29)-COUNTIF(Vertices[Eigenvector Centrality],"&gt;="&amp;N30)</f>
        <v>0</v>
      </c>
      <c r="P29" s="40">
        <f t="shared" si="7"/>
        <v>13.824783294117653</v>
      </c>
      <c r="Q29" s="41">
        <f>COUNTIF(Vertices[PageRank],"&gt;= "&amp;P29)-COUNTIF(Vertices[PageRank],"&gt;="&amp;P30)</f>
        <v>0</v>
      </c>
      <c r="R29" s="40">
        <f t="shared" si="8"/>
        <v>0.7941176470588236</v>
      </c>
      <c r="S29" s="45">
        <f>COUNTIF(Vertices[Clustering Coefficient],"&gt;= "&amp;R29)-COUNTIF(Vertices[Clustering Coefficient],"&gt;="&amp;R30)</f>
        <v>2</v>
      </c>
      <c r="T29" s="40" t="e">
        <f ca="1" t="shared" si="9"/>
        <v>#REF!</v>
      </c>
      <c r="U29" s="41" t="e">
        <f ca="1" t="shared" si="10"/>
        <v>#REF!</v>
      </c>
    </row>
    <row r="30" spans="1:21" ht="15">
      <c r="A30" s="114"/>
      <c r="B30" s="114"/>
      <c r="D30" s="33">
        <f t="shared" si="1"/>
        <v>0</v>
      </c>
      <c r="E30" s="3">
        <f>COUNTIF(Vertices[Degree],"&gt;= "&amp;D30)-COUNTIF(Vertices[Degree],"&gt;="&amp;D31)</f>
        <v>0</v>
      </c>
      <c r="F30" s="38">
        <f t="shared" si="2"/>
        <v>30.470588235294134</v>
      </c>
      <c r="G30" s="39">
        <f>COUNTIF(Vertices[In-Degree],"&gt;= "&amp;F30)-COUNTIF(Vertices[In-Degree],"&gt;="&amp;F31)</f>
        <v>0</v>
      </c>
      <c r="H30" s="38">
        <f t="shared" si="3"/>
        <v>4.117647058823528</v>
      </c>
      <c r="I30" s="39">
        <f>COUNTIF(Vertices[Out-Degree],"&gt;= "&amp;H30)-COUNTIF(Vertices[Out-Degree],"&gt;="&amp;H31)</f>
        <v>0</v>
      </c>
      <c r="J30" s="38">
        <f t="shared" si="4"/>
        <v>1037.6470588235288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0.08891729411764708</v>
      </c>
      <c r="O30" s="39">
        <f>COUNTIF(Vertices[Eigenvector Centrality],"&gt;= "&amp;N30)-COUNTIF(Vertices[Eigenvector Centrality],"&gt;="&amp;N31)</f>
        <v>1</v>
      </c>
      <c r="P30" s="38">
        <f t="shared" si="7"/>
        <v>14.320642823529418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0.007265425337714494</v>
      </c>
      <c r="D31" s="33">
        <f t="shared" si="1"/>
        <v>0</v>
      </c>
      <c r="E31" s="3">
        <f>COUNTIF(Vertices[Degree],"&gt;= "&amp;D31)-COUNTIF(Vertices[Degree],"&gt;="&amp;D32)</f>
        <v>0</v>
      </c>
      <c r="F31" s="40">
        <f t="shared" si="2"/>
        <v>31.558823529411782</v>
      </c>
      <c r="G31" s="41">
        <f>COUNTIF(Vertices[In-Degree],"&gt;= "&amp;F31)-COUNTIF(Vertices[In-Degree],"&gt;="&amp;F32)</f>
        <v>0</v>
      </c>
      <c r="H31" s="40">
        <f t="shared" si="3"/>
        <v>4.26470588235294</v>
      </c>
      <c r="I31" s="41">
        <f>COUNTIF(Vertices[Out-Degree],"&gt;= "&amp;H31)-COUNTIF(Vertices[Out-Degree],"&gt;="&amp;H32)</f>
        <v>0</v>
      </c>
      <c r="J31" s="40">
        <f t="shared" si="4"/>
        <v>1074.7058823529405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0.09209291176470591</v>
      </c>
      <c r="O31" s="41">
        <f>COUNTIF(Vertices[Eigenvector Centrality],"&gt;= "&amp;N31)-COUNTIF(Vertices[Eigenvector Centrality],"&gt;="&amp;N32)</f>
        <v>0</v>
      </c>
      <c r="P31" s="40">
        <f t="shared" si="7"/>
        <v>14.816502352941184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2114</v>
      </c>
      <c r="B32" s="35">
        <v>0.692716</v>
      </c>
      <c r="D32" s="33">
        <f t="shared" si="1"/>
        <v>0</v>
      </c>
      <c r="E32" s="3">
        <f>COUNTIF(Vertices[Degree],"&gt;= "&amp;D32)-COUNTIF(Vertices[Degree],"&gt;="&amp;D33)</f>
        <v>0</v>
      </c>
      <c r="F32" s="38">
        <f t="shared" si="2"/>
        <v>32.64705882352943</v>
      </c>
      <c r="G32" s="39">
        <f>COUNTIF(Vertices[In-Degree],"&gt;= "&amp;F32)-COUNTIF(Vertices[In-Degree],"&gt;="&amp;F33)</f>
        <v>0</v>
      </c>
      <c r="H32" s="38">
        <f t="shared" si="3"/>
        <v>4.411764705882352</v>
      </c>
      <c r="I32" s="39">
        <f>COUNTIF(Vertices[Out-Degree],"&gt;= "&amp;H32)-COUNTIF(Vertices[Out-Degree],"&gt;="&amp;H33)</f>
        <v>0</v>
      </c>
      <c r="J32" s="38">
        <f t="shared" si="4"/>
        <v>1111.7647058823522</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0.09526852941176474</v>
      </c>
      <c r="O32" s="39">
        <f>COUNTIF(Vertices[Eigenvector Centrality],"&gt;= "&amp;N32)-COUNTIF(Vertices[Eigenvector Centrality],"&gt;="&amp;N33)</f>
        <v>0</v>
      </c>
      <c r="P32" s="38">
        <f t="shared" si="7"/>
        <v>15.312361882352949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4"/>
      <c r="B33" s="114"/>
      <c r="D33" s="33">
        <f t="shared" si="1"/>
        <v>0</v>
      </c>
      <c r="E33" s="3">
        <f>COUNTIF(Vertices[Degree],"&gt;= "&amp;D33)-COUNTIF(Vertices[Degree],"&gt;="&amp;D34)</f>
        <v>0</v>
      </c>
      <c r="F33" s="40">
        <f t="shared" si="2"/>
        <v>33.73529411764707</v>
      </c>
      <c r="G33" s="41">
        <f>COUNTIF(Vertices[In-Degree],"&gt;= "&amp;F33)-COUNTIF(Vertices[In-Degree],"&gt;="&amp;F34)</f>
        <v>0</v>
      </c>
      <c r="H33" s="40">
        <f t="shared" si="3"/>
        <v>4.5588235294117645</v>
      </c>
      <c r="I33" s="41">
        <f>COUNTIF(Vertices[Out-Degree],"&gt;= "&amp;H33)-COUNTIF(Vertices[Out-Degree],"&gt;="&amp;H34)</f>
        <v>0</v>
      </c>
      <c r="J33" s="40">
        <f t="shared" si="4"/>
        <v>1148.823529411764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0.09844414705882357</v>
      </c>
      <c r="O33" s="41">
        <f>COUNTIF(Vertices[Eigenvector Centrality],"&gt;= "&amp;N33)-COUNTIF(Vertices[Eigenvector Centrality],"&gt;="&amp;N34)</f>
        <v>0</v>
      </c>
      <c r="P33" s="40">
        <f t="shared" si="7"/>
        <v>15.808221411764714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2115</v>
      </c>
      <c r="B34" s="35" t="s">
        <v>2130</v>
      </c>
      <c r="D34" s="33">
        <f t="shared" si="1"/>
        <v>0</v>
      </c>
      <c r="E34" s="3">
        <f>COUNTIF(Vertices[Degree],"&gt;= "&amp;D34)-COUNTIF(Vertices[Degree],"&gt;="&amp;D35)</f>
        <v>0</v>
      </c>
      <c r="F34" s="38">
        <f t="shared" si="2"/>
        <v>34.82352941176472</v>
      </c>
      <c r="G34" s="39">
        <f>COUNTIF(Vertices[In-Degree],"&gt;= "&amp;F34)-COUNTIF(Vertices[In-Degree],"&gt;="&amp;F35)</f>
        <v>0</v>
      </c>
      <c r="H34" s="38">
        <f t="shared" si="3"/>
        <v>4.705882352941177</v>
      </c>
      <c r="I34" s="39">
        <f>COUNTIF(Vertices[Out-Degree],"&gt;= "&amp;H34)-COUNTIF(Vertices[Out-Degree],"&gt;="&amp;H35)</f>
        <v>0</v>
      </c>
      <c r="J34" s="38">
        <f t="shared" si="4"/>
        <v>1185.8823529411757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0.1016197647058824</v>
      </c>
      <c r="O34" s="39">
        <f>COUNTIF(Vertices[Eigenvector Centrality],"&gt;= "&amp;N34)-COUNTIF(Vertices[Eigenvector Centrality],"&gt;="&amp;N35)</f>
        <v>0</v>
      </c>
      <c r="P34" s="38">
        <f t="shared" si="7"/>
        <v>16.30408094117648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4"/>
      <c r="B35" s="114"/>
      <c r="D35" s="33">
        <f t="shared" si="1"/>
        <v>0</v>
      </c>
      <c r="E35" s="3">
        <f>COUNTIF(Vertices[Degree],"&gt;= "&amp;D35)-COUNTIF(Vertices[Degree],"&gt;="&amp;D36)</f>
        <v>0</v>
      </c>
      <c r="F35" s="40">
        <f t="shared" si="2"/>
        <v>35.91176470588236</v>
      </c>
      <c r="G35" s="41">
        <f>COUNTIF(Vertices[In-Degree],"&gt;= "&amp;F35)-COUNTIF(Vertices[In-Degree],"&gt;="&amp;F36)</f>
        <v>0</v>
      </c>
      <c r="H35" s="40">
        <f t="shared" si="3"/>
        <v>4.852941176470589</v>
      </c>
      <c r="I35" s="41">
        <f>COUNTIF(Vertices[Out-Degree],"&gt;= "&amp;H35)-COUNTIF(Vertices[Out-Degree],"&gt;="&amp;H36)</f>
        <v>0</v>
      </c>
      <c r="J35" s="40">
        <f t="shared" si="4"/>
        <v>1222.9411764705874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0.10479538235294122</v>
      </c>
      <c r="O35" s="41">
        <f>COUNTIF(Vertices[Eigenvector Centrality],"&gt;= "&amp;N35)-COUNTIF(Vertices[Eigenvector Centrality],"&gt;="&amp;N36)</f>
        <v>0</v>
      </c>
      <c r="P35" s="40">
        <f t="shared" si="7"/>
        <v>16.799940470588243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2116</v>
      </c>
      <c r="B36" s="35" t="s">
        <v>2706</v>
      </c>
      <c r="D36" s="33">
        <f>MAX(Vertices[Degree])</f>
        <v>0</v>
      </c>
      <c r="E36" s="3">
        <f>COUNTIF(Vertices[Degree],"&gt;= "&amp;D36)-COUNTIF(Vertices[Degree],"&gt;="&amp;#REF!)</f>
        <v>0</v>
      </c>
      <c r="F36" s="42">
        <f>MAX(Vertices[In-Degree])</f>
        <v>37</v>
      </c>
      <c r="G36" s="43">
        <f>COUNTIF(Vertices[In-Degree],"&gt;= "&amp;F36)-COUNTIF(Vertices[In-Degree],"&gt;="&amp;#REF!)</f>
        <v>1</v>
      </c>
      <c r="H36" s="42">
        <f>MAX(Vertices[Out-Degree])</f>
        <v>5</v>
      </c>
      <c r="I36" s="43">
        <f>COUNTIF(Vertices[Out-Degree],"&gt;= "&amp;H36)-COUNTIF(Vertices[Out-Degree],"&gt;="&amp;#REF!)</f>
        <v>5</v>
      </c>
      <c r="J36" s="42">
        <f>MAX(Vertices[Betweenness Centrality])</f>
        <v>1260</v>
      </c>
      <c r="K36" s="43">
        <f>COUNTIF(Vertices[Betweenness Centrality],"&gt;= "&amp;J36)-COUNTIF(Vertices[Betweenness Centrality],"&gt;="&amp;#REF!)</f>
        <v>1</v>
      </c>
      <c r="L36" s="42">
        <f>MAX(Vertices[Closeness Centrality])</f>
        <v>1</v>
      </c>
      <c r="M36" s="43">
        <f>COUNTIF(Vertices[Closeness Centrality],"&gt;= "&amp;L36)-COUNTIF(Vertices[Closeness Centrality],"&gt;="&amp;#REF!)</f>
        <v>20</v>
      </c>
      <c r="N36" s="42">
        <f>MAX(Vertices[Eigenvector Centrality])</f>
        <v>0.107971</v>
      </c>
      <c r="O36" s="43">
        <f>COUNTIF(Vertices[Eigenvector Centrality],"&gt;= "&amp;N36)-COUNTIF(Vertices[Eigenvector Centrality],"&gt;="&amp;#REF!)</f>
        <v>1</v>
      </c>
      <c r="P36" s="42">
        <f>MAX(Vertices[PageRank])</f>
        <v>17.2958</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2117</v>
      </c>
      <c r="B37" s="35" t="s">
        <v>2707</v>
      </c>
    </row>
    <row r="38" spans="1:2" ht="15">
      <c r="A38" s="114"/>
      <c r="B38" s="114"/>
    </row>
    <row r="39" spans="1:2" ht="15">
      <c r="A39" s="35" t="s">
        <v>2118</v>
      </c>
      <c r="B39" s="35" t="s">
        <v>2702</v>
      </c>
    </row>
    <row r="40" spans="1:2" ht="15">
      <c r="A40" s="35" t="s">
        <v>2119</v>
      </c>
      <c r="B40" s="35" t="s">
        <v>1703</v>
      </c>
    </row>
    <row r="41" spans="1:2" ht="409.5">
      <c r="A41" s="35" t="s">
        <v>2120</v>
      </c>
      <c r="B41" s="54" t="s">
        <v>2703</v>
      </c>
    </row>
    <row r="42" spans="1:2" ht="15">
      <c r="A42" s="35" t="s">
        <v>2121</v>
      </c>
      <c r="B42" s="35" t="s">
        <v>2704</v>
      </c>
    </row>
    <row r="43" spans="1:2" ht="15">
      <c r="A43" s="35" t="s">
        <v>2122</v>
      </c>
      <c r="B43" s="35" t="s">
        <v>2705</v>
      </c>
    </row>
    <row r="44" spans="1:2" ht="15">
      <c r="A44" s="35" t="s">
        <v>2123</v>
      </c>
      <c r="B44" s="35" t="s">
        <v>1650</v>
      </c>
    </row>
    <row r="45" spans="1:2" ht="15">
      <c r="A45" s="35" t="s">
        <v>2124</v>
      </c>
      <c r="B45" s="35" t="s">
        <v>1650</v>
      </c>
    </row>
    <row r="46" spans="1:2" ht="15">
      <c r="A46" s="35" t="s">
        <v>2125</v>
      </c>
      <c r="B46" s="35" t="s">
        <v>1650</v>
      </c>
    </row>
    <row r="47" spans="1:2" ht="15">
      <c r="A47" s="35" t="s">
        <v>2126</v>
      </c>
      <c r="B47" s="35"/>
    </row>
    <row r="48" spans="1:2" ht="15">
      <c r="A48" s="35" t="s">
        <v>21</v>
      </c>
      <c r="B48" s="35"/>
    </row>
    <row r="49" spans="1:2" ht="15">
      <c r="A49" s="35" t="s">
        <v>2127</v>
      </c>
      <c r="B49" s="35" t="s">
        <v>34</v>
      </c>
    </row>
    <row r="50" spans="1:2" ht="15">
      <c r="A50" s="35" t="s">
        <v>2128</v>
      </c>
      <c r="B50" s="35"/>
    </row>
    <row r="51" spans="1:2" ht="15">
      <c r="A51" s="35" t="s">
        <v>2129</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37</v>
      </c>
    </row>
    <row r="83" spans="1:2" ht="15">
      <c r="A83" s="34" t="s">
        <v>90</v>
      </c>
      <c r="B83" s="48">
        <f>_xlfn.IFERROR(AVERAGE(Vertices[In-Degree]),NoMetricMessage)</f>
        <v>1.3674698795180722</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5</v>
      </c>
    </row>
    <row r="97" spans="1:2" ht="15">
      <c r="A97" s="34" t="s">
        <v>96</v>
      </c>
      <c r="B97" s="48">
        <f>_xlfn.IFERROR(AVERAGE(Vertices[Out-Degree]),NoMetricMessage)</f>
        <v>1.3674698795180722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1260</v>
      </c>
    </row>
    <row r="111" spans="1:2" ht="15">
      <c r="A111" s="34" t="s">
        <v>102</v>
      </c>
      <c r="B111" s="48">
        <f>_xlfn.IFERROR(AVERAGE(Vertices[Betweenness Centrality]),NoMetricMessage)</f>
        <v>20.6144578313253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0.1999717650602414</v>
      </c>
    </row>
    <row r="126" spans="1:2" ht="15">
      <c r="A126" s="34" t="s">
        <v>109</v>
      </c>
      <c r="B126" s="48">
        <f>_xlfn.IFERROR(MEDIAN(Vertices[Closeness Centrality]),NoMetricMessage)</f>
        <v>0.023889</v>
      </c>
    </row>
    <row r="137" spans="1:2" ht="15">
      <c r="A137" s="34" t="s">
        <v>112</v>
      </c>
      <c r="B137" s="48">
        <f>IF(COUNT(Vertices[Eigenvector Centrality])&gt;0,N2,NoMetricMessage)</f>
        <v>0</v>
      </c>
    </row>
    <row r="138" spans="1:2" ht="15">
      <c r="A138" s="34" t="s">
        <v>113</v>
      </c>
      <c r="B138" s="48">
        <f>IF(COUNT(Vertices[Eigenvector Centrality])&gt;0,N36,NoMetricMessage)</f>
        <v>0.107971</v>
      </c>
    </row>
    <row r="139" spans="1:2" ht="15">
      <c r="A139" s="34" t="s">
        <v>114</v>
      </c>
      <c r="B139" s="48">
        <f>_xlfn.IFERROR(AVERAGE(Vertices[Eigenvector Centrality]),NoMetricMessage)</f>
        <v>0.006024018072289154</v>
      </c>
    </row>
    <row r="140" spans="1:2" ht="15">
      <c r="A140" s="34" t="s">
        <v>115</v>
      </c>
      <c r="B140" s="48">
        <f>_xlfn.IFERROR(MEDIAN(Vertices[Eigenvector Centrality]),NoMetricMessage)</f>
        <v>0</v>
      </c>
    </row>
    <row r="151" spans="1:2" ht="15">
      <c r="A151" s="34" t="s">
        <v>140</v>
      </c>
      <c r="B151" s="48">
        <f>IF(COUNT(Vertices[PageRank])&gt;0,P2,NoMetricMessage)</f>
        <v>0.436576</v>
      </c>
    </row>
    <row r="152" spans="1:2" ht="15">
      <c r="A152" s="34" t="s">
        <v>141</v>
      </c>
      <c r="B152" s="48">
        <f>IF(COUNT(Vertices[PageRank])&gt;0,P36,NoMetricMessage)</f>
        <v>17.2958</v>
      </c>
    </row>
    <row r="153" spans="1:2" ht="15">
      <c r="A153" s="34" t="s">
        <v>142</v>
      </c>
      <c r="B153" s="48">
        <f>_xlfn.IFERROR(AVERAGE(Vertices[PageRank]),NoMetricMessage)</f>
        <v>0.9999968554216868</v>
      </c>
    </row>
    <row r="154" spans="1:2" ht="15">
      <c r="A154" s="34" t="s">
        <v>143</v>
      </c>
      <c r="B154" s="48">
        <f>_xlfn.IFERROR(MEDIAN(Vertices[PageRank]),NoMetricMessage)</f>
        <v>0.675241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0.15285200743032062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8"/>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1625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1626</v>
      </c>
    </row>
    <row r="6" spans="1:18" ht="15">
      <c r="A6">
        <v>0</v>
      </c>
      <c r="B6" s="1" t="s">
        <v>136</v>
      </c>
      <c r="C6">
        <v>1</v>
      </c>
      <c r="D6" t="s">
        <v>59</v>
      </c>
      <c r="E6" t="s">
        <v>59</v>
      </c>
      <c r="F6">
        <v>0</v>
      </c>
      <c r="H6" t="s">
        <v>71</v>
      </c>
      <c r="J6" t="s">
        <v>173</v>
      </c>
      <c r="K6">
        <v>21</v>
      </c>
      <c r="R6" t="s">
        <v>129</v>
      </c>
    </row>
    <row r="7" spans="1:11" ht="15">
      <c r="A7">
        <v>2</v>
      </c>
      <c r="B7">
        <v>1</v>
      </c>
      <c r="C7">
        <v>0</v>
      </c>
      <c r="D7" t="s">
        <v>60</v>
      </c>
      <c r="E7" t="s">
        <v>60</v>
      </c>
      <c r="F7">
        <v>2</v>
      </c>
      <c r="H7" t="s">
        <v>72</v>
      </c>
      <c r="J7" t="s">
        <v>174</v>
      </c>
      <c r="K7" t="s">
        <v>2700</v>
      </c>
    </row>
    <row r="8" spans="1:11" ht="409.5">
      <c r="A8"/>
      <c r="B8">
        <v>2</v>
      </c>
      <c r="C8">
        <v>2</v>
      </c>
      <c r="D8" t="s">
        <v>61</v>
      </c>
      <c r="E8" t="s">
        <v>61</v>
      </c>
      <c r="H8" t="s">
        <v>73</v>
      </c>
      <c r="J8" t="s">
        <v>175</v>
      </c>
      <c r="K8" s="13" t="s">
        <v>2676</v>
      </c>
    </row>
    <row r="9" spans="1:11" ht="409.5">
      <c r="A9"/>
      <c r="B9">
        <v>3</v>
      </c>
      <c r="C9">
        <v>4</v>
      </c>
      <c r="D9" t="s">
        <v>62</v>
      </c>
      <c r="E9" t="s">
        <v>62</v>
      </c>
      <c r="H9" t="s">
        <v>74</v>
      </c>
      <c r="J9" t="s">
        <v>1627</v>
      </c>
      <c r="K9" s="13" t="s">
        <v>1628</v>
      </c>
    </row>
    <row r="10" spans="1:11" ht="409.5">
      <c r="A10"/>
      <c r="B10">
        <v>4</v>
      </c>
      <c r="D10" t="s">
        <v>63</v>
      </c>
      <c r="E10" t="s">
        <v>63</v>
      </c>
      <c r="H10" t="s">
        <v>75</v>
      </c>
      <c r="J10" t="s">
        <v>1629</v>
      </c>
      <c r="K10" s="13" t="s">
        <v>1630</v>
      </c>
    </row>
    <row r="11" spans="1:11" ht="409.5">
      <c r="A11"/>
      <c r="B11">
        <v>5</v>
      </c>
      <c r="D11" t="s">
        <v>46</v>
      </c>
      <c r="E11">
        <v>1</v>
      </c>
      <c r="H11" t="s">
        <v>76</v>
      </c>
      <c r="J11" t="s">
        <v>1631</v>
      </c>
      <c r="K11" s="13" t="s">
        <v>1632</v>
      </c>
    </row>
    <row r="12" spans="1:11" ht="409.5">
      <c r="A12"/>
      <c r="B12"/>
      <c r="D12" t="s">
        <v>64</v>
      </c>
      <c r="E12">
        <v>2</v>
      </c>
      <c r="H12">
        <v>0</v>
      </c>
      <c r="J12" t="s">
        <v>1633</v>
      </c>
      <c r="K12" s="13" t="s">
        <v>2677</v>
      </c>
    </row>
    <row r="13" spans="1:11" ht="409.5">
      <c r="A13"/>
      <c r="B13"/>
      <c r="D13">
        <v>1</v>
      </c>
      <c r="E13">
        <v>3</v>
      </c>
      <c r="H13">
        <v>1</v>
      </c>
      <c r="J13" t="s">
        <v>1634</v>
      </c>
      <c r="K13" s="13" t="s">
        <v>2678</v>
      </c>
    </row>
    <row r="14" spans="4:11" ht="409.5">
      <c r="D14">
        <v>2</v>
      </c>
      <c r="E14">
        <v>4</v>
      </c>
      <c r="H14">
        <v>2</v>
      </c>
      <c r="J14" t="s">
        <v>1635</v>
      </c>
      <c r="K14" s="13" t="s">
        <v>2679</v>
      </c>
    </row>
    <row r="15" spans="4:11" ht="409.5">
      <c r="D15">
        <v>3</v>
      </c>
      <c r="E15">
        <v>5</v>
      </c>
      <c r="H15">
        <v>3</v>
      </c>
      <c r="J15" t="s">
        <v>1636</v>
      </c>
      <c r="K15" s="13" t="s">
        <v>2680</v>
      </c>
    </row>
    <row r="16" spans="4:11" ht="15">
      <c r="D16">
        <v>4</v>
      </c>
      <c r="E16">
        <v>6</v>
      </c>
      <c r="H16">
        <v>4</v>
      </c>
      <c r="J16" t="s">
        <v>1637</v>
      </c>
      <c r="K16" t="s">
        <v>2681</v>
      </c>
    </row>
    <row r="17" spans="4:11" ht="15">
      <c r="D17">
        <v>5</v>
      </c>
      <c r="E17">
        <v>7</v>
      </c>
      <c r="H17">
        <v>5</v>
      </c>
      <c r="J17" t="s">
        <v>1638</v>
      </c>
      <c r="K17" t="s">
        <v>2682</v>
      </c>
    </row>
    <row r="18" spans="4:11" ht="15">
      <c r="D18">
        <v>6</v>
      </c>
      <c r="E18">
        <v>8</v>
      </c>
      <c r="H18">
        <v>6</v>
      </c>
      <c r="J18" t="s">
        <v>1639</v>
      </c>
      <c r="K18" t="s">
        <v>2683</v>
      </c>
    </row>
    <row r="19" spans="4:11" ht="15">
      <c r="D19">
        <v>7</v>
      </c>
      <c r="E19">
        <v>9</v>
      </c>
      <c r="H19">
        <v>7</v>
      </c>
      <c r="J19" t="s">
        <v>1640</v>
      </c>
      <c r="K19" t="s">
        <v>2684</v>
      </c>
    </row>
    <row r="20" spans="4:11" ht="15">
      <c r="D20">
        <v>8</v>
      </c>
      <c r="H20">
        <v>8</v>
      </c>
      <c r="J20" t="s">
        <v>1641</v>
      </c>
      <c r="K20" t="s">
        <v>2685</v>
      </c>
    </row>
    <row r="21" spans="4:11" ht="15">
      <c r="D21">
        <v>9</v>
      </c>
      <c r="H21">
        <v>9</v>
      </c>
      <c r="J21" t="s">
        <v>1642</v>
      </c>
      <c r="K21" t="s">
        <v>2686</v>
      </c>
    </row>
    <row r="22" spans="4:11" ht="15">
      <c r="D22">
        <v>10</v>
      </c>
      <c r="J22" t="s">
        <v>1643</v>
      </c>
      <c r="K22" t="s">
        <v>2687</v>
      </c>
    </row>
    <row r="23" spans="4:11" ht="15">
      <c r="D23">
        <v>11</v>
      </c>
      <c r="J23" t="s">
        <v>1644</v>
      </c>
      <c r="K23" t="s">
        <v>2688</v>
      </c>
    </row>
    <row r="24" spans="10:11" ht="15">
      <c r="J24" t="s">
        <v>1645</v>
      </c>
      <c r="K24" t="s">
        <v>2689</v>
      </c>
    </row>
    <row r="25" spans="10:11" ht="15">
      <c r="J25" t="s">
        <v>1646</v>
      </c>
      <c r="K25" t="s">
        <v>2690</v>
      </c>
    </row>
    <row r="26" spans="10:11" ht="409.5">
      <c r="J26" t="s">
        <v>1647</v>
      </c>
      <c r="K26" s="13" t="s">
        <v>2691</v>
      </c>
    </row>
    <row r="27" spans="10:11" ht="409.5">
      <c r="J27" t="s">
        <v>1648</v>
      </c>
      <c r="K27" s="13" t="s">
        <v>2692</v>
      </c>
    </row>
    <row r="28" spans="10:11" ht="409.5">
      <c r="J28" t="s">
        <v>1649</v>
      </c>
      <c r="K28" s="13" t="s">
        <v>2701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56E92-E5A2-4ED1-9D8C-C188F5713CCD}">
  <dimension ref="A1:G86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1694</v>
      </c>
      <c r="B1" s="13" t="s">
        <v>2080</v>
      </c>
      <c r="C1" s="13" t="s">
        <v>2084</v>
      </c>
      <c r="D1" s="13" t="s">
        <v>144</v>
      </c>
      <c r="E1" s="13" t="s">
        <v>2086</v>
      </c>
      <c r="F1" s="13" t="s">
        <v>2087</v>
      </c>
      <c r="G1" s="13" t="s">
        <v>2088</v>
      </c>
    </row>
    <row r="2" spans="1:7" ht="15">
      <c r="A2" s="79" t="s">
        <v>1695</v>
      </c>
      <c r="B2" s="79" t="s">
        <v>2081</v>
      </c>
      <c r="C2" s="109"/>
      <c r="D2" s="79"/>
      <c r="E2" s="79"/>
      <c r="F2" s="79"/>
      <c r="G2" s="79"/>
    </row>
    <row r="3" spans="1:7" ht="15">
      <c r="A3" s="80" t="s">
        <v>1696</v>
      </c>
      <c r="B3" s="79" t="s">
        <v>2082</v>
      </c>
      <c r="C3" s="109"/>
      <c r="D3" s="79"/>
      <c r="E3" s="79"/>
      <c r="F3" s="79"/>
      <c r="G3" s="79"/>
    </row>
    <row r="4" spans="1:7" ht="15">
      <c r="A4" s="80" t="s">
        <v>1697</v>
      </c>
      <c r="B4" s="79" t="s">
        <v>2083</v>
      </c>
      <c r="C4" s="109"/>
      <c r="D4" s="79"/>
      <c r="E4" s="79"/>
      <c r="F4" s="79"/>
      <c r="G4" s="79"/>
    </row>
    <row r="5" spans="1:7" ht="15">
      <c r="A5" s="80" t="s">
        <v>1698</v>
      </c>
      <c r="B5" s="79">
        <v>8</v>
      </c>
      <c r="C5" s="109">
        <v>0.0015863573269879042</v>
      </c>
      <c r="D5" s="79"/>
      <c r="E5" s="79"/>
      <c r="F5" s="79"/>
      <c r="G5" s="79"/>
    </row>
    <row r="6" spans="1:7" ht="15">
      <c r="A6" s="80" t="s">
        <v>1699</v>
      </c>
      <c r="B6" s="79">
        <v>10</v>
      </c>
      <c r="C6" s="109">
        <v>0.00198294665873488</v>
      </c>
      <c r="D6" s="79"/>
      <c r="E6" s="79"/>
      <c r="F6" s="79"/>
      <c r="G6" s="79"/>
    </row>
    <row r="7" spans="1:7" ht="15">
      <c r="A7" s="80" t="s">
        <v>1700</v>
      </c>
      <c r="B7" s="79">
        <v>0</v>
      </c>
      <c r="C7" s="109">
        <v>0</v>
      </c>
      <c r="D7" s="79"/>
      <c r="E7" s="79"/>
      <c r="F7" s="79"/>
      <c r="G7" s="79"/>
    </row>
    <row r="8" spans="1:7" ht="15">
      <c r="A8" s="80" t="s">
        <v>1701</v>
      </c>
      <c r="B8" s="79">
        <v>5025</v>
      </c>
      <c r="C8" s="109">
        <v>0.9964306960142773</v>
      </c>
      <c r="D8" s="79"/>
      <c r="E8" s="79"/>
      <c r="F8" s="79"/>
      <c r="G8" s="79"/>
    </row>
    <row r="9" spans="1:7" ht="15">
      <c r="A9" s="80" t="s">
        <v>1702</v>
      </c>
      <c r="B9" s="79">
        <v>5043</v>
      </c>
      <c r="C9" s="109">
        <v>1</v>
      </c>
      <c r="D9" s="79"/>
      <c r="E9" s="79"/>
      <c r="F9" s="79"/>
      <c r="G9" s="79"/>
    </row>
    <row r="10" spans="1:7" ht="15">
      <c r="A10" s="85" t="s">
        <v>1703</v>
      </c>
      <c r="B10" s="79">
        <v>174</v>
      </c>
      <c r="C10" s="109">
        <v>0</v>
      </c>
      <c r="D10" s="79" t="s">
        <v>2085</v>
      </c>
      <c r="E10" s="79" t="b">
        <v>0</v>
      </c>
      <c r="F10" s="79" t="b">
        <v>0</v>
      </c>
      <c r="G10" s="79" t="b">
        <v>0</v>
      </c>
    </row>
    <row r="11" spans="1:7" ht="15">
      <c r="A11" s="85" t="s">
        <v>1704</v>
      </c>
      <c r="B11" s="79">
        <v>79</v>
      </c>
      <c r="C11" s="109">
        <v>0.01623392033052305</v>
      </c>
      <c r="D11" s="79" t="s">
        <v>2085</v>
      </c>
      <c r="E11" s="79" t="b">
        <v>0</v>
      </c>
      <c r="F11" s="79" t="b">
        <v>0</v>
      </c>
      <c r="G11" s="79" t="b">
        <v>0</v>
      </c>
    </row>
    <row r="12" spans="1:7" ht="15">
      <c r="A12" s="85" t="s">
        <v>1705</v>
      </c>
      <c r="B12" s="79">
        <v>50</v>
      </c>
      <c r="C12" s="109">
        <v>0.009014301663558273</v>
      </c>
      <c r="D12" s="79" t="s">
        <v>2085</v>
      </c>
      <c r="E12" s="79" t="b">
        <v>0</v>
      </c>
      <c r="F12" s="79" t="b">
        <v>0</v>
      </c>
      <c r="G12" s="79" t="b">
        <v>0</v>
      </c>
    </row>
    <row r="13" spans="1:7" ht="15">
      <c r="A13" s="85" t="s">
        <v>1706</v>
      </c>
      <c r="B13" s="79">
        <v>48</v>
      </c>
      <c r="C13" s="109">
        <v>0.008937012158301132</v>
      </c>
      <c r="D13" s="79" t="s">
        <v>2085</v>
      </c>
      <c r="E13" s="79" t="b">
        <v>0</v>
      </c>
      <c r="F13" s="79" t="b">
        <v>0</v>
      </c>
      <c r="G13" s="79" t="b">
        <v>0</v>
      </c>
    </row>
    <row r="14" spans="1:7" ht="15">
      <c r="A14" s="85" t="s">
        <v>1707</v>
      </c>
      <c r="B14" s="79">
        <v>40</v>
      </c>
      <c r="C14" s="109">
        <v>0.008501854287012481</v>
      </c>
      <c r="D14" s="79" t="s">
        <v>2085</v>
      </c>
      <c r="E14" s="79" t="b">
        <v>0</v>
      </c>
      <c r="F14" s="79" t="b">
        <v>0</v>
      </c>
      <c r="G14" s="79" t="b">
        <v>0</v>
      </c>
    </row>
    <row r="15" spans="1:7" ht="15">
      <c r="A15" s="85" t="s">
        <v>1708</v>
      </c>
      <c r="B15" s="79">
        <v>37</v>
      </c>
      <c r="C15" s="109">
        <v>0.00828124447269553</v>
      </c>
      <c r="D15" s="79" t="s">
        <v>2085</v>
      </c>
      <c r="E15" s="79" t="b">
        <v>0</v>
      </c>
      <c r="F15" s="79" t="b">
        <v>0</v>
      </c>
      <c r="G15" s="79" t="b">
        <v>0</v>
      </c>
    </row>
    <row r="16" spans="1:7" ht="15">
      <c r="A16" s="85" t="s">
        <v>1709</v>
      </c>
      <c r="B16" s="79">
        <v>37</v>
      </c>
      <c r="C16" s="109">
        <v>0.00828124447269553</v>
      </c>
      <c r="D16" s="79" t="s">
        <v>2085</v>
      </c>
      <c r="E16" s="79" t="b">
        <v>0</v>
      </c>
      <c r="F16" s="79" t="b">
        <v>0</v>
      </c>
      <c r="G16" s="79" t="b">
        <v>0</v>
      </c>
    </row>
    <row r="17" spans="1:7" ht="15">
      <c r="A17" s="85" t="s">
        <v>1710</v>
      </c>
      <c r="B17" s="79">
        <v>37</v>
      </c>
      <c r="C17" s="109">
        <v>0.00828124447269553</v>
      </c>
      <c r="D17" s="79" t="s">
        <v>2085</v>
      </c>
      <c r="E17" s="79" t="b">
        <v>0</v>
      </c>
      <c r="F17" s="79" t="b">
        <v>0</v>
      </c>
      <c r="G17" s="79" t="b">
        <v>0</v>
      </c>
    </row>
    <row r="18" spans="1:7" ht="15">
      <c r="A18" s="85" t="s">
        <v>1711</v>
      </c>
      <c r="B18" s="79">
        <v>37</v>
      </c>
      <c r="C18" s="109">
        <v>0.00828124447269553</v>
      </c>
      <c r="D18" s="79" t="s">
        <v>2085</v>
      </c>
      <c r="E18" s="79" t="b">
        <v>0</v>
      </c>
      <c r="F18" s="79" t="b">
        <v>0</v>
      </c>
      <c r="G18" s="79" t="b">
        <v>0</v>
      </c>
    </row>
    <row r="19" spans="1:7" ht="15">
      <c r="A19" s="85" t="s">
        <v>1712</v>
      </c>
      <c r="B19" s="79">
        <v>37</v>
      </c>
      <c r="C19" s="109">
        <v>0.00828124447269553</v>
      </c>
      <c r="D19" s="79" t="s">
        <v>2085</v>
      </c>
      <c r="E19" s="79" t="b">
        <v>0</v>
      </c>
      <c r="F19" s="79" t="b">
        <v>0</v>
      </c>
      <c r="G19" s="79" t="b">
        <v>0</v>
      </c>
    </row>
    <row r="20" spans="1:7" ht="15">
      <c r="A20" s="85" t="s">
        <v>1713</v>
      </c>
      <c r="B20" s="79">
        <v>37</v>
      </c>
      <c r="C20" s="109">
        <v>0.00828124447269553</v>
      </c>
      <c r="D20" s="79" t="s">
        <v>2085</v>
      </c>
      <c r="E20" s="79" t="b">
        <v>0</v>
      </c>
      <c r="F20" s="79" t="b">
        <v>0</v>
      </c>
      <c r="G20" s="79" t="b">
        <v>0</v>
      </c>
    </row>
    <row r="21" spans="1:7" ht="15">
      <c r="A21" s="85" t="s">
        <v>1714</v>
      </c>
      <c r="B21" s="79">
        <v>37</v>
      </c>
      <c r="C21" s="109">
        <v>0.00828124447269553</v>
      </c>
      <c r="D21" s="79" t="s">
        <v>2085</v>
      </c>
      <c r="E21" s="79" t="b">
        <v>0</v>
      </c>
      <c r="F21" s="79" t="b">
        <v>0</v>
      </c>
      <c r="G21" s="79" t="b">
        <v>0</v>
      </c>
    </row>
    <row r="22" spans="1:7" ht="15">
      <c r="A22" s="85" t="s">
        <v>1715</v>
      </c>
      <c r="B22" s="79">
        <v>37</v>
      </c>
      <c r="C22" s="109">
        <v>0.00828124447269553</v>
      </c>
      <c r="D22" s="79" t="s">
        <v>2085</v>
      </c>
      <c r="E22" s="79" t="b">
        <v>0</v>
      </c>
      <c r="F22" s="79" t="b">
        <v>0</v>
      </c>
      <c r="G22" s="79" t="b">
        <v>0</v>
      </c>
    </row>
    <row r="23" spans="1:7" ht="15">
      <c r="A23" s="85" t="s">
        <v>1716</v>
      </c>
      <c r="B23" s="79">
        <v>37</v>
      </c>
      <c r="C23" s="109">
        <v>0.00828124447269553</v>
      </c>
      <c r="D23" s="79" t="s">
        <v>2085</v>
      </c>
      <c r="E23" s="79" t="b">
        <v>0</v>
      </c>
      <c r="F23" s="79" t="b">
        <v>0</v>
      </c>
      <c r="G23" s="79" t="b">
        <v>0</v>
      </c>
    </row>
    <row r="24" spans="1:7" ht="15">
      <c r="A24" s="85" t="s">
        <v>1717</v>
      </c>
      <c r="B24" s="79">
        <v>37</v>
      </c>
      <c r="C24" s="109">
        <v>0.00828124447269553</v>
      </c>
      <c r="D24" s="79" t="s">
        <v>2085</v>
      </c>
      <c r="E24" s="79" t="b">
        <v>0</v>
      </c>
      <c r="F24" s="79" t="b">
        <v>0</v>
      </c>
      <c r="G24" s="79" t="b">
        <v>0</v>
      </c>
    </row>
    <row r="25" spans="1:7" ht="15">
      <c r="A25" s="85" t="s">
        <v>1718</v>
      </c>
      <c r="B25" s="79">
        <v>37</v>
      </c>
      <c r="C25" s="109">
        <v>0.00828124447269553</v>
      </c>
      <c r="D25" s="79" t="s">
        <v>2085</v>
      </c>
      <c r="E25" s="79" t="b">
        <v>0</v>
      </c>
      <c r="F25" s="79" t="b">
        <v>0</v>
      </c>
      <c r="G25" s="79" t="b">
        <v>0</v>
      </c>
    </row>
    <row r="26" spans="1:7" ht="15">
      <c r="A26" s="85" t="s">
        <v>1719</v>
      </c>
      <c r="B26" s="79">
        <v>37</v>
      </c>
      <c r="C26" s="109">
        <v>0.00828124447269553</v>
      </c>
      <c r="D26" s="79" t="s">
        <v>2085</v>
      </c>
      <c r="E26" s="79" t="b">
        <v>0</v>
      </c>
      <c r="F26" s="79" t="b">
        <v>0</v>
      </c>
      <c r="G26" s="79" t="b">
        <v>0</v>
      </c>
    </row>
    <row r="27" spans="1:7" ht="15">
      <c r="A27" s="85" t="s">
        <v>1720</v>
      </c>
      <c r="B27" s="79">
        <v>37</v>
      </c>
      <c r="C27" s="109">
        <v>0.00828124447269553</v>
      </c>
      <c r="D27" s="79" t="s">
        <v>2085</v>
      </c>
      <c r="E27" s="79" t="b">
        <v>0</v>
      </c>
      <c r="F27" s="79" t="b">
        <v>0</v>
      </c>
      <c r="G27" s="79" t="b">
        <v>0</v>
      </c>
    </row>
    <row r="28" spans="1:7" ht="15">
      <c r="A28" s="85" t="s">
        <v>1721</v>
      </c>
      <c r="B28" s="79">
        <v>37</v>
      </c>
      <c r="C28" s="109">
        <v>0.00828124447269553</v>
      </c>
      <c r="D28" s="79" t="s">
        <v>2085</v>
      </c>
      <c r="E28" s="79" t="b">
        <v>0</v>
      </c>
      <c r="F28" s="79" t="b">
        <v>0</v>
      </c>
      <c r="G28" s="79" t="b">
        <v>0</v>
      </c>
    </row>
    <row r="29" spans="1:7" ht="15">
      <c r="A29" s="85" t="s">
        <v>1722</v>
      </c>
      <c r="B29" s="79">
        <v>37</v>
      </c>
      <c r="C29" s="109">
        <v>0.00828124447269553</v>
      </c>
      <c r="D29" s="79" t="s">
        <v>2085</v>
      </c>
      <c r="E29" s="79" t="b">
        <v>0</v>
      </c>
      <c r="F29" s="79" t="b">
        <v>0</v>
      </c>
      <c r="G29" s="79" t="b">
        <v>0</v>
      </c>
    </row>
    <row r="30" spans="1:7" ht="15">
      <c r="A30" s="85" t="s">
        <v>1723</v>
      </c>
      <c r="B30" s="79">
        <v>37</v>
      </c>
      <c r="C30" s="109">
        <v>0.00828124447269553</v>
      </c>
      <c r="D30" s="79" t="s">
        <v>2085</v>
      </c>
      <c r="E30" s="79" t="b">
        <v>0</v>
      </c>
      <c r="F30" s="79" t="b">
        <v>0</v>
      </c>
      <c r="G30" s="79" t="b">
        <v>0</v>
      </c>
    </row>
    <row r="31" spans="1:7" ht="15">
      <c r="A31" s="85" t="s">
        <v>1724</v>
      </c>
      <c r="B31" s="79">
        <v>31</v>
      </c>
      <c r="C31" s="109">
        <v>0.00787825159801966</v>
      </c>
      <c r="D31" s="79" t="s">
        <v>2085</v>
      </c>
      <c r="E31" s="79" t="b">
        <v>0</v>
      </c>
      <c r="F31" s="79" t="b">
        <v>0</v>
      </c>
      <c r="G31" s="79" t="b">
        <v>0</v>
      </c>
    </row>
    <row r="32" spans="1:7" ht="15">
      <c r="A32" s="85" t="s">
        <v>368</v>
      </c>
      <c r="B32" s="79">
        <v>28</v>
      </c>
      <c r="C32" s="109">
        <v>0.007395124525409672</v>
      </c>
      <c r="D32" s="79" t="s">
        <v>2085</v>
      </c>
      <c r="E32" s="79" t="b">
        <v>0</v>
      </c>
      <c r="F32" s="79" t="b">
        <v>0</v>
      </c>
      <c r="G32" s="79" t="b">
        <v>0</v>
      </c>
    </row>
    <row r="33" spans="1:7" ht="15">
      <c r="A33" s="85" t="s">
        <v>1725</v>
      </c>
      <c r="B33" s="79">
        <v>26</v>
      </c>
      <c r="C33" s="109">
        <v>0.0071454638509009065</v>
      </c>
      <c r="D33" s="79" t="s">
        <v>2085</v>
      </c>
      <c r="E33" s="79" t="b">
        <v>0</v>
      </c>
      <c r="F33" s="79" t="b">
        <v>0</v>
      </c>
      <c r="G33" s="79" t="b">
        <v>0</v>
      </c>
    </row>
    <row r="34" spans="1:7" ht="15">
      <c r="A34" s="85" t="s">
        <v>1726</v>
      </c>
      <c r="B34" s="79">
        <v>21</v>
      </c>
      <c r="C34" s="109">
        <v>0.00706128723867871</v>
      </c>
      <c r="D34" s="79" t="s">
        <v>2085</v>
      </c>
      <c r="E34" s="79" t="b">
        <v>0</v>
      </c>
      <c r="F34" s="79" t="b">
        <v>0</v>
      </c>
      <c r="G34" s="79" t="b">
        <v>0</v>
      </c>
    </row>
    <row r="35" spans="1:7" ht="15">
      <c r="A35" s="85" t="s">
        <v>1727</v>
      </c>
      <c r="B35" s="79">
        <v>20</v>
      </c>
      <c r="C35" s="109">
        <v>0.006255121522094663</v>
      </c>
      <c r="D35" s="79" t="s">
        <v>2085</v>
      </c>
      <c r="E35" s="79" t="b">
        <v>0</v>
      </c>
      <c r="F35" s="79" t="b">
        <v>0</v>
      </c>
      <c r="G35" s="79" t="b">
        <v>0</v>
      </c>
    </row>
    <row r="36" spans="1:7" ht="15">
      <c r="A36" s="85" t="s">
        <v>1728</v>
      </c>
      <c r="B36" s="79">
        <v>18</v>
      </c>
      <c r="C36" s="109">
        <v>0.006210295200159836</v>
      </c>
      <c r="D36" s="79" t="s">
        <v>2085</v>
      </c>
      <c r="E36" s="79" t="b">
        <v>0</v>
      </c>
      <c r="F36" s="79" t="b">
        <v>0</v>
      </c>
      <c r="G36" s="79" t="b">
        <v>0</v>
      </c>
    </row>
    <row r="37" spans="1:7" ht="15">
      <c r="A37" s="85" t="s">
        <v>1729</v>
      </c>
      <c r="B37" s="79">
        <v>18</v>
      </c>
      <c r="C37" s="109">
        <v>0.0059037887407547545</v>
      </c>
      <c r="D37" s="79" t="s">
        <v>2085</v>
      </c>
      <c r="E37" s="79" t="b">
        <v>0</v>
      </c>
      <c r="F37" s="79" t="b">
        <v>0</v>
      </c>
      <c r="G37" s="79" t="b">
        <v>0</v>
      </c>
    </row>
    <row r="38" spans="1:7" ht="15">
      <c r="A38" s="85" t="s">
        <v>1730</v>
      </c>
      <c r="B38" s="79">
        <v>18</v>
      </c>
      <c r="C38" s="109">
        <v>0.0059037887407547545</v>
      </c>
      <c r="D38" s="79" t="s">
        <v>2085</v>
      </c>
      <c r="E38" s="79" t="b">
        <v>0</v>
      </c>
      <c r="F38" s="79" t="b">
        <v>0</v>
      </c>
      <c r="G38" s="79" t="b">
        <v>0</v>
      </c>
    </row>
    <row r="39" spans="1:7" ht="15">
      <c r="A39" s="85" t="s">
        <v>1731</v>
      </c>
      <c r="B39" s="79">
        <v>17</v>
      </c>
      <c r="C39" s="109">
        <v>0.005716280145597051</v>
      </c>
      <c r="D39" s="79" t="s">
        <v>2085</v>
      </c>
      <c r="E39" s="79" t="b">
        <v>0</v>
      </c>
      <c r="F39" s="79" t="b">
        <v>0</v>
      </c>
      <c r="G39" s="79" t="b">
        <v>0</v>
      </c>
    </row>
    <row r="40" spans="1:7" ht="15">
      <c r="A40" s="85" t="s">
        <v>1732</v>
      </c>
      <c r="B40" s="79">
        <v>17</v>
      </c>
      <c r="C40" s="109">
        <v>0.007020418515580624</v>
      </c>
      <c r="D40" s="79" t="s">
        <v>2085</v>
      </c>
      <c r="E40" s="79" t="b">
        <v>0</v>
      </c>
      <c r="F40" s="79" t="b">
        <v>0</v>
      </c>
      <c r="G40" s="79" t="b">
        <v>0</v>
      </c>
    </row>
    <row r="41" spans="1:7" ht="15">
      <c r="A41" s="85" t="s">
        <v>1733</v>
      </c>
      <c r="B41" s="79">
        <v>16</v>
      </c>
      <c r="C41" s="109">
        <v>0.005669549876042176</v>
      </c>
      <c r="D41" s="79" t="s">
        <v>2085</v>
      </c>
      <c r="E41" s="79" t="b">
        <v>0</v>
      </c>
      <c r="F41" s="79" t="b">
        <v>0</v>
      </c>
      <c r="G41" s="79" t="b">
        <v>0</v>
      </c>
    </row>
    <row r="42" spans="1:7" ht="15">
      <c r="A42" s="85" t="s">
        <v>1734</v>
      </c>
      <c r="B42" s="79">
        <v>16</v>
      </c>
      <c r="C42" s="109">
        <v>0.005520262400142077</v>
      </c>
      <c r="D42" s="79" t="s">
        <v>2085</v>
      </c>
      <c r="E42" s="79" t="b">
        <v>0</v>
      </c>
      <c r="F42" s="79" t="b">
        <v>0</v>
      </c>
      <c r="G42" s="79" t="b">
        <v>0</v>
      </c>
    </row>
    <row r="43" spans="1:7" ht="15">
      <c r="A43" s="85" t="s">
        <v>1735</v>
      </c>
      <c r="B43" s="79">
        <v>16</v>
      </c>
      <c r="C43" s="109">
        <v>0.007123617903012816</v>
      </c>
      <c r="D43" s="79" t="s">
        <v>2085</v>
      </c>
      <c r="E43" s="79" t="b">
        <v>0</v>
      </c>
      <c r="F43" s="79" t="b">
        <v>0</v>
      </c>
      <c r="G43" s="79" t="b">
        <v>0</v>
      </c>
    </row>
    <row r="44" spans="1:7" ht="15">
      <c r="A44" s="85" t="s">
        <v>1736</v>
      </c>
      <c r="B44" s="79">
        <v>15</v>
      </c>
      <c r="C44" s="109">
        <v>0.005315203008789539</v>
      </c>
      <c r="D44" s="79" t="s">
        <v>2085</v>
      </c>
      <c r="E44" s="79" t="b">
        <v>0</v>
      </c>
      <c r="F44" s="79" t="b">
        <v>0</v>
      </c>
      <c r="G44" s="79" t="b">
        <v>0</v>
      </c>
    </row>
    <row r="45" spans="1:7" ht="15">
      <c r="A45" s="85" t="s">
        <v>1737</v>
      </c>
      <c r="B45" s="79">
        <v>14</v>
      </c>
      <c r="C45" s="109">
        <v>0.005100498327716732</v>
      </c>
      <c r="D45" s="79" t="s">
        <v>2085</v>
      </c>
      <c r="E45" s="79" t="b">
        <v>0</v>
      </c>
      <c r="F45" s="79" t="b">
        <v>0</v>
      </c>
      <c r="G45" s="79" t="b">
        <v>0</v>
      </c>
    </row>
    <row r="46" spans="1:7" ht="15">
      <c r="A46" s="85" t="s">
        <v>1738</v>
      </c>
      <c r="B46" s="79">
        <v>14</v>
      </c>
      <c r="C46" s="109">
        <v>0.005100498327716732</v>
      </c>
      <c r="D46" s="79" t="s">
        <v>2085</v>
      </c>
      <c r="E46" s="79" t="b">
        <v>0</v>
      </c>
      <c r="F46" s="79" t="b">
        <v>0</v>
      </c>
      <c r="G46" s="79" t="b">
        <v>0</v>
      </c>
    </row>
    <row r="47" spans="1:7" ht="15">
      <c r="A47" s="85" t="s">
        <v>1739</v>
      </c>
      <c r="B47" s="79">
        <v>14</v>
      </c>
      <c r="C47" s="109">
        <v>0.005100498327716732</v>
      </c>
      <c r="D47" s="79" t="s">
        <v>2085</v>
      </c>
      <c r="E47" s="79" t="b">
        <v>0</v>
      </c>
      <c r="F47" s="79" t="b">
        <v>0</v>
      </c>
      <c r="G47" s="79" t="b">
        <v>0</v>
      </c>
    </row>
    <row r="48" spans="1:7" ht="15">
      <c r="A48" s="85" t="s">
        <v>370</v>
      </c>
      <c r="B48" s="79">
        <v>14</v>
      </c>
      <c r="C48" s="109">
        <v>0.005100498327716732</v>
      </c>
      <c r="D48" s="79" t="s">
        <v>2085</v>
      </c>
      <c r="E48" s="79" t="b">
        <v>0</v>
      </c>
      <c r="F48" s="79" t="b">
        <v>0</v>
      </c>
      <c r="G48" s="79" t="b">
        <v>0</v>
      </c>
    </row>
    <row r="49" spans="1:7" ht="15">
      <c r="A49" s="85" t="s">
        <v>1740</v>
      </c>
      <c r="B49" s="79">
        <v>14</v>
      </c>
      <c r="C49" s="109">
        <v>0.005100498327716732</v>
      </c>
      <c r="D49" s="79" t="s">
        <v>2085</v>
      </c>
      <c r="E49" s="79" t="b">
        <v>0</v>
      </c>
      <c r="F49" s="79" t="b">
        <v>0</v>
      </c>
      <c r="G49" s="79" t="b">
        <v>0</v>
      </c>
    </row>
    <row r="50" spans="1:7" ht="15">
      <c r="A50" s="85" t="s">
        <v>1741</v>
      </c>
      <c r="B50" s="79">
        <v>14</v>
      </c>
      <c r="C50" s="109">
        <v>0.005100498327716732</v>
      </c>
      <c r="D50" s="79" t="s">
        <v>2085</v>
      </c>
      <c r="E50" s="79" t="b">
        <v>0</v>
      </c>
      <c r="F50" s="79" t="b">
        <v>0</v>
      </c>
      <c r="G50" s="79" t="b">
        <v>0</v>
      </c>
    </row>
    <row r="51" spans="1:7" ht="15">
      <c r="A51" s="85" t="s">
        <v>1742</v>
      </c>
      <c r="B51" s="79">
        <v>14</v>
      </c>
      <c r="C51" s="109">
        <v>0.005100498327716732</v>
      </c>
      <c r="D51" s="79" t="s">
        <v>2085</v>
      </c>
      <c r="E51" s="79" t="b">
        <v>0</v>
      </c>
      <c r="F51" s="79" t="b">
        <v>0</v>
      </c>
      <c r="G51" s="79" t="b">
        <v>0</v>
      </c>
    </row>
    <row r="52" spans="1:7" ht="15">
      <c r="A52" s="85" t="s">
        <v>1743</v>
      </c>
      <c r="B52" s="79">
        <v>14</v>
      </c>
      <c r="C52" s="109">
        <v>0.005100498327716732</v>
      </c>
      <c r="D52" s="79" t="s">
        <v>2085</v>
      </c>
      <c r="E52" s="79" t="b">
        <v>0</v>
      </c>
      <c r="F52" s="79" t="b">
        <v>0</v>
      </c>
      <c r="G52" s="79" t="b">
        <v>0</v>
      </c>
    </row>
    <row r="53" spans="1:7" ht="15">
      <c r="A53" s="85" t="s">
        <v>1744</v>
      </c>
      <c r="B53" s="79">
        <v>14</v>
      </c>
      <c r="C53" s="109">
        <v>0.006503434392728629</v>
      </c>
      <c r="D53" s="79" t="s">
        <v>2085</v>
      </c>
      <c r="E53" s="79" t="b">
        <v>0</v>
      </c>
      <c r="F53" s="79" t="b">
        <v>0</v>
      </c>
      <c r="G53" s="79" t="b">
        <v>0</v>
      </c>
    </row>
    <row r="54" spans="1:7" ht="15">
      <c r="A54" s="85" t="s">
        <v>1745</v>
      </c>
      <c r="B54" s="79">
        <v>13</v>
      </c>
      <c r="C54" s="109">
        <v>0.006038903364676583</v>
      </c>
      <c r="D54" s="79" t="s">
        <v>2085</v>
      </c>
      <c r="E54" s="79" t="b">
        <v>0</v>
      </c>
      <c r="F54" s="79" t="b">
        <v>0</v>
      </c>
      <c r="G54" s="79" t="b">
        <v>0</v>
      </c>
    </row>
    <row r="55" spans="1:7" ht="15">
      <c r="A55" s="85" t="s">
        <v>1746</v>
      </c>
      <c r="B55" s="79">
        <v>13</v>
      </c>
      <c r="C55" s="109">
        <v>0.004875458271532929</v>
      </c>
      <c r="D55" s="79" t="s">
        <v>2085</v>
      </c>
      <c r="E55" s="79" t="b">
        <v>0</v>
      </c>
      <c r="F55" s="79" t="b">
        <v>0</v>
      </c>
      <c r="G55" s="79" t="b">
        <v>0</v>
      </c>
    </row>
    <row r="56" spans="1:7" ht="15">
      <c r="A56" s="85" t="s">
        <v>1747</v>
      </c>
      <c r="B56" s="79">
        <v>12</v>
      </c>
      <c r="C56" s="109">
        <v>0.004639286293881391</v>
      </c>
      <c r="D56" s="79" t="s">
        <v>2085</v>
      </c>
      <c r="E56" s="79" t="b">
        <v>0</v>
      </c>
      <c r="F56" s="79" t="b">
        <v>0</v>
      </c>
      <c r="G56" s="79" t="b">
        <v>0</v>
      </c>
    </row>
    <row r="57" spans="1:7" ht="15">
      <c r="A57" s="85" t="s">
        <v>1748</v>
      </c>
      <c r="B57" s="79">
        <v>12</v>
      </c>
      <c r="C57" s="109">
        <v>0.004639286293881391</v>
      </c>
      <c r="D57" s="79" t="s">
        <v>2085</v>
      </c>
      <c r="E57" s="79" t="b">
        <v>0</v>
      </c>
      <c r="F57" s="79" t="b">
        <v>0</v>
      </c>
      <c r="G57" s="79" t="b">
        <v>0</v>
      </c>
    </row>
    <row r="58" spans="1:7" ht="15">
      <c r="A58" s="85" t="s">
        <v>1749</v>
      </c>
      <c r="B58" s="79">
        <v>11</v>
      </c>
      <c r="C58" s="109">
        <v>0.004391052661241052</v>
      </c>
      <c r="D58" s="79" t="s">
        <v>2085</v>
      </c>
      <c r="E58" s="79" t="b">
        <v>0</v>
      </c>
      <c r="F58" s="79" t="b">
        <v>0</v>
      </c>
      <c r="G58" s="79" t="b">
        <v>0</v>
      </c>
    </row>
    <row r="59" spans="1:7" ht="15">
      <c r="A59" s="85" t="s">
        <v>1750</v>
      </c>
      <c r="B59" s="79">
        <v>11</v>
      </c>
      <c r="C59" s="109">
        <v>0.004391052661241052</v>
      </c>
      <c r="D59" s="79" t="s">
        <v>2085</v>
      </c>
      <c r="E59" s="79" t="b">
        <v>0</v>
      </c>
      <c r="F59" s="79" t="b">
        <v>0</v>
      </c>
      <c r="G59" s="79" t="b">
        <v>0</v>
      </c>
    </row>
    <row r="60" spans="1:7" ht="15">
      <c r="A60" s="85" t="s">
        <v>1751</v>
      </c>
      <c r="B60" s="79">
        <v>11</v>
      </c>
      <c r="C60" s="109">
        <v>0.004391052661241052</v>
      </c>
      <c r="D60" s="79" t="s">
        <v>2085</v>
      </c>
      <c r="E60" s="79" t="b">
        <v>0</v>
      </c>
      <c r="F60" s="79" t="b">
        <v>0</v>
      </c>
      <c r="G60" s="79" t="b">
        <v>0</v>
      </c>
    </row>
    <row r="61" spans="1:7" ht="15">
      <c r="A61" s="85" t="s">
        <v>1752</v>
      </c>
      <c r="B61" s="79">
        <v>10</v>
      </c>
      <c r="C61" s="109">
        <v>0.004129657950341543</v>
      </c>
      <c r="D61" s="79" t="s">
        <v>2085</v>
      </c>
      <c r="E61" s="79" t="b">
        <v>0</v>
      </c>
      <c r="F61" s="79" t="b">
        <v>0</v>
      </c>
      <c r="G61" s="79" t="b">
        <v>0</v>
      </c>
    </row>
    <row r="62" spans="1:7" ht="15">
      <c r="A62" s="85" t="s">
        <v>1753</v>
      </c>
      <c r="B62" s="79">
        <v>10</v>
      </c>
      <c r="C62" s="109">
        <v>0.004129657950341543</v>
      </c>
      <c r="D62" s="79" t="s">
        <v>2085</v>
      </c>
      <c r="E62" s="79" t="b">
        <v>0</v>
      </c>
      <c r="F62" s="79" t="b">
        <v>0</v>
      </c>
      <c r="G62" s="79" t="b">
        <v>0</v>
      </c>
    </row>
    <row r="63" spans="1:7" ht="15">
      <c r="A63" s="85" t="s">
        <v>1754</v>
      </c>
      <c r="B63" s="79">
        <v>10</v>
      </c>
      <c r="C63" s="109">
        <v>0.004129657950341543</v>
      </c>
      <c r="D63" s="79" t="s">
        <v>2085</v>
      </c>
      <c r="E63" s="79" t="b">
        <v>0</v>
      </c>
      <c r="F63" s="79" t="b">
        <v>0</v>
      </c>
      <c r="G63" s="79" t="b">
        <v>0</v>
      </c>
    </row>
    <row r="64" spans="1:7" ht="15">
      <c r="A64" s="85" t="s">
        <v>1755</v>
      </c>
      <c r="B64" s="79">
        <v>10</v>
      </c>
      <c r="C64" s="109">
        <v>0.005131755139635755</v>
      </c>
      <c r="D64" s="79" t="s">
        <v>2085</v>
      </c>
      <c r="E64" s="79" t="b">
        <v>0</v>
      </c>
      <c r="F64" s="79" t="b">
        <v>0</v>
      </c>
      <c r="G64" s="79" t="b">
        <v>0</v>
      </c>
    </row>
    <row r="65" spans="1:7" ht="15">
      <c r="A65" s="85" t="s">
        <v>1756</v>
      </c>
      <c r="B65" s="79">
        <v>10</v>
      </c>
      <c r="C65" s="109">
        <v>0.005131755139635755</v>
      </c>
      <c r="D65" s="79" t="s">
        <v>2085</v>
      </c>
      <c r="E65" s="79" t="b">
        <v>0</v>
      </c>
      <c r="F65" s="79" t="b">
        <v>0</v>
      </c>
      <c r="G65" s="79" t="b">
        <v>0</v>
      </c>
    </row>
    <row r="66" spans="1:7" ht="15">
      <c r="A66" s="85" t="s">
        <v>1757</v>
      </c>
      <c r="B66" s="79">
        <v>10</v>
      </c>
      <c r="C66" s="109">
        <v>0.004129657950341543</v>
      </c>
      <c r="D66" s="79" t="s">
        <v>2085</v>
      </c>
      <c r="E66" s="79" t="b">
        <v>0</v>
      </c>
      <c r="F66" s="79" t="b">
        <v>0</v>
      </c>
      <c r="G66" s="79" t="b">
        <v>0</v>
      </c>
    </row>
    <row r="67" spans="1:7" ht="15">
      <c r="A67" s="85" t="s">
        <v>1758</v>
      </c>
      <c r="B67" s="79">
        <v>9</v>
      </c>
      <c r="C67" s="109">
        <v>0.003853781840742168</v>
      </c>
      <c r="D67" s="79" t="s">
        <v>2085</v>
      </c>
      <c r="E67" s="79" t="b">
        <v>0</v>
      </c>
      <c r="F67" s="79" t="b">
        <v>0</v>
      </c>
      <c r="G67" s="79" t="b">
        <v>0</v>
      </c>
    </row>
    <row r="68" spans="1:7" ht="15">
      <c r="A68" s="85" t="s">
        <v>1759</v>
      </c>
      <c r="B68" s="79">
        <v>9</v>
      </c>
      <c r="C68" s="109">
        <v>0.003853781840742168</v>
      </c>
      <c r="D68" s="79" t="s">
        <v>2085</v>
      </c>
      <c r="E68" s="79" t="b">
        <v>0</v>
      </c>
      <c r="F68" s="79" t="b">
        <v>0</v>
      </c>
      <c r="G68" s="79" t="b">
        <v>0</v>
      </c>
    </row>
    <row r="69" spans="1:7" ht="15">
      <c r="A69" s="85" t="s">
        <v>1760</v>
      </c>
      <c r="B69" s="79">
        <v>9</v>
      </c>
      <c r="C69" s="109">
        <v>0.003853781840742168</v>
      </c>
      <c r="D69" s="79" t="s">
        <v>2085</v>
      </c>
      <c r="E69" s="79" t="b">
        <v>0</v>
      </c>
      <c r="F69" s="79" t="b">
        <v>0</v>
      </c>
      <c r="G69" s="79" t="b">
        <v>0</v>
      </c>
    </row>
    <row r="70" spans="1:7" ht="15">
      <c r="A70" s="85" t="s">
        <v>1761</v>
      </c>
      <c r="B70" s="79">
        <v>9</v>
      </c>
      <c r="C70" s="109">
        <v>0.003853781840742168</v>
      </c>
      <c r="D70" s="79" t="s">
        <v>2085</v>
      </c>
      <c r="E70" s="79" t="b">
        <v>0</v>
      </c>
      <c r="F70" s="79" t="b">
        <v>0</v>
      </c>
      <c r="G70" s="79" t="b">
        <v>0</v>
      </c>
    </row>
    <row r="71" spans="1:7" ht="15">
      <c r="A71" s="85" t="s">
        <v>1762</v>
      </c>
      <c r="B71" s="79">
        <v>9</v>
      </c>
      <c r="C71" s="109">
        <v>0.003853781840742168</v>
      </c>
      <c r="D71" s="79" t="s">
        <v>2085</v>
      </c>
      <c r="E71" s="79" t="b">
        <v>0</v>
      </c>
      <c r="F71" s="79" t="b">
        <v>0</v>
      </c>
      <c r="G71" s="79" t="b">
        <v>0</v>
      </c>
    </row>
    <row r="72" spans="1:7" ht="15">
      <c r="A72" s="85" t="s">
        <v>1763</v>
      </c>
      <c r="B72" s="79">
        <v>9</v>
      </c>
      <c r="C72" s="109">
        <v>0.003853781840742168</v>
      </c>
      <c r="D72" s="79" t="s">
        <v>2085</v>
      </c>
      <c r="E72" s="79" t="b">
        <v>0</v>
      </c>
      <c r="F72" s="79" t="b">
        <v>0</v>
      </c>
      <c r="G72" s="79" t="b">
        <v>0</v>
      </c>
    </row>
    <row r="73" spans="1:7" ht="15">
      <c r="A73" s="85" t="s">
        <v>1764</v>
      </c>
      <c r="B73" s="79">
        <v>8</v>
      </c>
      <c r="C73" s="109">
        <v>0.003561808951506408</v>
      </c>
      <c r="D73" s="79" t="s">
        <v>2085</v>
      </c>
      <c r="E73" s="79" t="b">
        <v>0</v>
      </c>
      <c r="F73" s="79" t="b">
        <v>0</v>
      </c>
      <c r="G73" s="79" t="b">
        <v>0</v>
      </c>
    </row>
    <row r="74" spans="1:7" ht="15">
      <c r="A74" s="85" t="s">
        <v>1765</v>
      </c>
      <c r="B74" s="79">
        <v>8</v>
      </c>
      <c r="C74" s="109">
        <v>0.003561808951506408</v>
      </c>
      <c r="D74" s="79" t="s">
        <v>2085</v>
      </c>
      <c r="E74" s="79" t="b">
        <v>0</v>
      </c>
      <c r="F74" s="79" t="b">
        <v>0</v>
      </c>
      <c r="G74" s="79" t="b">
        <v>0</v>
      </c>
    </row>
    <row r="75" spans="1:7" ht="15">
      <c r="A75" s="85" t="s">
        <v>1766</v>
      </c>
      <c r="B75" s="79">
        <v>8</v>
      </c>
      <c r="C75" s="109">
        <v>0.003561808951506408</v>
      </c>
      <c r="D75" s="79" t="s">
        <v>2085</v>
      </c>
      <c r="E75" s="79" t="b">
        <v>0</v>
      </c>
      <c r="F75" s="79" t="b">
        <v>0</v>
      </c>
      <c r="G75" s="79" t="b">
        <v>0</v>
      </c>
    </row>
    <row r="76" spans="1:7" ht="15">
      <c r="A76" s="85" t="s">
        <v>1767</v>
      </c>
      <c r="B76" s="79">
        <v>8</v>
      </c>
      <c r="C76" s="109">
        <v>0.003561808951506408</v>
      </c>
      <c r="D76" s="79" t="s">
        <v>2085</v>
      </c>
      <c r="E76" s="79" t="b">
        <v>0</v>
      </c>
      <c r="F76" s="79" t="b">
        <v>0</v>
      </c>
      <c r="G76" s="79" t="b">
        <v>0</v>
      </c>
    </row>
    <row r="77" spans="1:7" ht="15">
      <c r="A77" s="85" t="s">
        <v>1768</v>
      </c>
      <c r="B77" s="79">
        <v>8</v>
      </c>
      <c r="C77" s="109">
        <v>0.003561808951506408</v>
      </c>
      <c r="D77" s="79" t="s">
        <v>2085</v>
      </c>
      <c r="E77" s="79" t="b">
        <v>0</v>
      </c>
      <c r="F77" s="79" t="b">
        <v>0</v>
      </c>
      <c r="G77" s="79" t="b">
        <v>0</v>
      </c>
    </row>
    <row r="78" spans="1:7" ht="15">
      <c r="A78" s="85" t="s">
        <v>1769</v>
      </c>
      <c r="B78" s="79">
        <v>8</v>
      </c>
      <c r="C78" s="109">
        <v>0.0043634867029417775</v>
      </c>
      <c r="D78" s="79" t="s">
        <v>2085</v>
      </c>
      <c r="E78" s="79" t="b">
        <v>0</v>
      </c>
      <c r="F78" s="79" t="b">
        <v>0</v>
      </c>
      <c r="G78" s="79" t="b">
        <v>0</v>
      </c>
    </row>
    <row r="79" spans="1:7" ht="15">
      <c r="A79" s="85" t="s">
        <v>1770</v>
      </c>
      <c r="B79" s="79">
        <v>8</v>
      </c>
      <c r="C79" s="109">
        <v>0.0043634867029417775</v>
      </c>
      <c r="D79" s="79" t="s">
        <v>2085</v>
      </c>
      <c r="E79" s="79" t="b">
        <v>0</v>
      </c>
      <c r="F79" s="79" t="b">
        <v>0</v>
      </c>
      <c r="G79" s="79" t="b">
        <v>0</v>
      </c>
    </row>
    <row r="80" spans="1:7" ht="15">
      <c r="A80" s="85" t="s">
        <v>1771</v>
      </c>
      <c r="B80" s="79">
        <v>8</v>
      </c>
      <c r="C80" s="109">
        <v>0.003561808951506408</v>
      </c>
      <c r="D80" s="79" t="s">
        <v>2085</v>
      </c>
      <c r="E80" s="79" t="b">
        <v>0</v>
      </c>
      <c r="F80" s="79" t="b">
        <v>0</v>
      </c>
      <c r="G80" s="79" t="b">
        <v>0</v>
      </c>
    </row>
    <row r="81" spans="1:7" ht="15">
      <c r="A81" s="85" t="s">
        <v>1772</v>
      </c>
      <c r="B81" s="79">
        <v>8</v>
      </c>
      <c r="C81" s="109">
        <v>0.003561808951506408</v>
      </c>
      <c r="D81" s="79" t="s">
        <v>2085</v>
      </c>
      <c r="E81" s="79" t="b">
        <v>0</v>
      </c>
      <c r="F81" s="79" t="b">
        <v>0</v>
      </c>
      <c r="G81" s="79" t="b">
        <v>0</v>
      </c>
    </row>
    <row r="82" spans="1:7" ht="15">
      <c r="A82" s="85" t="s">
        <v>1773</v>
      </c>
      <c r="B82" s="79">
        <v>8</v>
      </c>
      <c r="C82" s="109">
        <v>0.003561808951506408</v>
      </c>
      <c r="D82" s="79" t="s">
        <v>2085</v>
      </c>
      <c r="E82" s="79" t="b">
        <v>0</v>
      </c>
      <c r="F82" s="79" t="b">
        <v>0</v>
      </c>
      <c r="G82" s="79" t="b">
        <v>0</v>
      </c>
    </row>
    <row r="83" spans="1:7" ht="15">
      <c r="A83" s="85" t="s">
        <v>1774</v>
      </c>
      <c r="B83" s="79">
        <v>8</v>
      </c>
      <c r="C83" s="109">
        <v>0.003561808951506408</v>
      </c>
      <c r="D83" s="79" t="s">
        <v>2085</v>
      </c>
      <c r="E83" s="79" t="b">
        <v>0</v>
      </c>
      <c r="F83" s="79" t="b">
        <v>0</v>
      </c>
      <c r="G83" s="79" t="b">
        <v>0</v>
      </c>
    </row>
    <row r="84" spans="1:7" ht="15">
      <c r="A84" s="85" t="s">
        <v>1775</v>
      </c>
      <c r="B84" s="79">
        <v>8</v>
      </c>
      <c r="C84" s="109">
        <v>0.003561808951506408</v>
      </c>
      <c r="D84" s="79" t="s">
        <v>2085</v>
      </c>
      <c r="E84" s="79" t="b">
        <v>0</v>
      </c>
      <c r="F84" s="79" t="b">
        <v>0</v>
      </c>
      <c r="G84" s="79" t="b">
        <v>0</v>
      </c>
    </row>
    <row r="85" spans="1:7" ht="15">
      <c r="A85" s="85" t="s">
        <v>1776</v>
      </c>
      <c r="B85" s="79">
        <v>8</v>
      </c>
      <c r="C85" s="109">
        <v>0.003561808951506408</v>
      </c>
      <c r="D85" s="79" t="s">
        <v>2085</v>
      </c>
      <c r="E85" s="79" t="b">
        <v>0</v>
      </c>
      <c r="F85" s="79" t="b">
        <v>0</v>
      </c>
      <c r="G85" s="79" t="b">
        <v>0</v>
      </c>
    </row>
    <row r="86" spans="1:7" ht="15">
      <c r="A86" s="85" t="s">
        <v>268</v>
      </c>
      <c r="B86" s="79">
        <v>8</v>
      </c>
      <c r="C86" s="109">
        <v>0.003561808951506408</v>
      </c>
      <c r="D86" s="79" t="s">
        <v>2085</v>
      </c>
      <c r="E86" s="79" t="b">
        <v>0</v>
      </c>
      <c r="F86" s="79" t="b">
        <v>0</v>
      </c>
      <c r="G86" s="79" t="b">
        <v>0</v>
      </c>
    </row>
    <row r="87" spans="1:7" ht="15">
      <c r="A87" s="85" t="s">
        <v>1777</v>
      </c>
      <c r="B87" s="79">
        <v>8</v>
      </c>
      <c r="C87" s="109">
        <v>0.003561808951506408</v>
      </c>
      <c r="D87" s="79" t="s">
        <v>2085</v>
      </c>
      <c r="E87" s="79" t="b">
        <v>0</v>
      </c>
      <c r="F87" s="79" t="b">
        <v>0</v>
      </c>
      <c r="G87" s="79" t="b">
        <v>0</v>
      </c>
    </row>
    <row r="88" spans="1:7" ht="15">
      <c r="A88" s="85" t="s">
        <v>1778</v>
      </c>
      <c r="B88" s="79">
        <v>8</v>
      </c>
      <c r="C88" s="109">
        <v>0.003561808951506408</v>
      </c>
      <c r="D88" s="79" t="s">
        <v>2085</v>
      </c>
      <c r="E88" s="79" t="b">
        <v>0</v>
      </c>
      <c r="F88" s="79" t="b">
        <v>0</v>
      </c>
      <c r="G88" s="79" t="b">
        <v>0</v>
      </c>
    </row>
    <row r="89" spans="1:7" ht="15">
      <c r="A89" s="85" t="s">
        <v>1779</v>
      </c>
      <c r="B89" s="79">
        <v>8</v>
      </c>
      <c r="C89" s="109">
        <v>0.003561808951506408</v>
      </c>
      <c r="D89" s="79" t="s">
        <v>2085</v>
      </c>
      <c r="E89" s="79" t="b">
        <v>0</v>
      </c>
      <c r="F89" s="79" t="b">
        <v>0</v>
      </c>
      <c r="G89" s="79" t="b">
        <v>0</v>
      </c>
    </row>
    <row r="90" spans="1:7" ht="15">
      <c r="A90" s="85" t="s">
        <v>1780</v>
      </c>
      <c r="B90" s="79">
        <v>8</v>
      </c>
      <c r="C90" s="109">
        <v>0.003561808951506408</v>
      </c>
      <c r="D90" s="79" t="s">
        <v>2085</v>
      </c>
      <c r="E90" s="79" t="b">
        <v>0</v>
      </c>
      <c r="F90" s="79" t="b">
        <v>0</v>
      </c>
      <c r="G90" s="79" t="b">
        <v>0</v>
      </c>
    </row>
    <row r="91" spans="1:7" ht="15">
      <c r="A91" s="85" t="s">
        <v>1781</v>
      </c>
      <c r="B91" s="79">
        <v>8</v>
      </c>
      <c r="C91" s="109">
        <v>0.003561808951506408</v>
      </c>
      <c r="D91" s="79" t="s">
        <v>2085</v>
      </c>
      <c r="E91" s="79" t="b">
        <v>0</v>
      </c>
      <c r="F91" s="79" t="b">
        <v>0</v>
      </c>
      <c r="G91" s="79" t="b">
        <v>0</v>
      </c>
    </row>
    <row r="92" spans="1:7" ht="15">
      <c r="A92" s="85" t="s">
        <v>1782</v>
      </c>
      <c r="B92" s="79">
        <v>7</v>
      </c>
      <c r="C92" s="109">
        <v>0.0032517171963643145</v>
      </c>
      <c r="D92" s="79" t="s">
        <v>2085</v>
      </c>
      <c r="E92" s="79" t="b">
        <v>0</v>
      </c>
      <c r="F92" s="79" t="b">
        <v>0</v>
      </c>
      <c r="G92" s="79" t="b">
        <v>0</v>
      </c>
    </row>
    <row r="93" spans="1:7" ht="15">
      <c r="A93" s="85" t="s">
        <v>1783</v>
      </c>
      <c r="B93" s="79">
        <v>7</v>
      </c>
      <c r="C93" s="109">
        <v>0.0032517171963643145</v>
      </c>
      <c r="D93" s="79" t="s">
        <v>2085</v>
      </c>
      <c r="E93" s="79" t="b">
        <v>0</v>
      </c>
      <c r="F93" s="79" t="b">
        <v>0</v>
      </c>
      <c r="G93" s="79" t="b">
        <v>0</v>
      </c>
    </row>
    <row r="94" spans="1:7" ht="15">
      <c r="A94" s="85" t="s">
        <v>1784</v>
      </c>
      <c r="B94" s="79">
        <v>7</v>
      </c>
      <c r="C94" s="109">
        <v>0.0032517171963643145</v>
      </c>
      <c r="D94" s="79" t="s">
        <v>2085</v>
      </c>
      <c r="E94" s="79" t="b">
        <v>0</v>
      </c>
      <c r="F94" s="79" t="b">
        <v>0</v>
      </c>
      <c r="G94" s="79" t="b">
        <v>0</v>
      </c>
    </row>
    <row r="95" spans="1:7" ht="15">
      <c r="A95" s="85" t="s">
        <v>1785</v>
      </c>
      <c r="B95" s="79">
        <v>7</v>
      </c>
      <c r="C95" s="109">
        <v>0.0032517171963643145</v>
      </c>
      <c r="D95" s="79" t="s">
        <v>2085</v>
      </c>
      <c r="E95" s="79" t="b">
        <v>0</v>
      </c>
      <c r="F95" s="79" t="b">
        <v>0</v>
      </c>
      <c r="G95" s="79" t="b">
        <v>0</v>
      </c>
    </row>
    <row r="96" spans="1:7" ht="15">
      <c r="A96" s="85" t="s">
        <v>1786</v>
      </c>
      <c r="B96" s="79">
        <v>7</v>
      </c>
      <c r="C96" s="109">
        <v>0.0032517171963643145</v>
      </c>
      <c r="D96" s="79" t="s">
        <v>2085</v>
      </c>
      <c r="E96" s="79" t="b">
        <v>0</v>
      </c>
      <c r="F96" s="79" t="b">
        <v>0</v>
      </c>
      <c r="G96" s="79" t="b">
        <v>0</v>
      </c>
    </row>
    <row r="97" spans="1:7" ht="15">
      <c r="A97" s="85" t="s">
        <v>1787</v>
      </c>
      <c r="B97" s="79">
        <v>7</v>
      </c>
      <c r="C97" s="109">
        <v>0.0032517171963643145</v>
      </c>
      <c r="D97" s="79" t="s">
        <v>2085</v>
      </c>
      <c r="E97" s="79" t="b">
        <v>0</v>
      </c>
      <c r="F97" s="79" t="b">
        <v>0</v>
      </c>
      <c r="G97" s="79" t="b">
        <v>0</v>
      </c>
    </row>
    <row r="98" spans="1:7" ht="15">
      <c r="A98" s="85" t="s">
        <v>1788</v>
      </c>
      <c r="B98" s="79">
        <v>7</v>
      </c>
      <c r="C98" s="109">
        <v>0.0032517171963643145</v>
      </c>
      <c r="D98" s="79" t="s">
        <v>2085</v>
      </c>
      <c r="E98" s="79" t="b">
        <v>0</v>
      </c>
      <c r="F98" s="79" t="b">
        <v>0</v>
      </c>
      <c r="G98" s="79" t="b">
        <v>0</v>
      </c>
    </row>
    <row r="99" spans="1:7" ht="15">
      <c r="A99" s="85" t="s">
        <v>1789</v>
      </c>
      <c r="B99" s="79">
        <v>7</v>
      </c>
      <c r="C99" s="109">
        <v>0.0032517171963643145</v>
      </c>
      <c r="D99" s="79" t="s">
        <v>2085</v>
      </c>
      <c r="E99" s="79" t="b">
        <v>0</v>
      </c>
      <c r="F99" s="79" t="b">
        <v>0</v>
      </c>
      <c r="G99" s="79" t="b">
        <v>0</v>
      </c>
    </row>
    <row r="100" spans="1:7" ht="15">
      <c r="A100" s="85" t="s">
        <v>1790</v>
      </c>
      <c r="B100" s="79">
        <v>7</v>
      </c>
      <c r="C100" s="109">
        <v>0.0032517171963643145</v>
      </c>
      <c r="D100" s="79" t="s">
        <v>2085</v>
      </c>
      <c r="E100" s="79" t="b">
        <v>0</v>
      </c>
      <c r="F100" s="79" t="b">
        <v>0</v>
      </c>
      <c r="G100" s="79" t="b">
        <v>0</v>
      </c>
    </row>
    <row r="101" spans="1:7" ht="15">
      <c r="A101" s="85" t="s">
        <v>1791</v>
      </c>
      <c r="B101" s="79">
        <v>7</v>
      </c>
      <c r="C101" s="109">
        <v>0.0032517171963643145</v>
      </c>
      <c r="D101" s="79" t="s">
        <v>2085</v>
      </c>
      <c r="E101" s="79" t="b">
        <v>0</v>
      </c>
      <c r="F101" s="79" t="b">
        <v>0</v>
      </c>
      <c r="G101" s="79" t="b">
        <v>0</v>
      </c>
    </row>
    <row r="102" spans="1:7" ht="15">
      <c r="A102" s="85" t="s">
        <v>1792</v>
      </c>
      <c r="B102" s="79">
        <v>7</v>
      </c>
      <c r="C102" s="109">
        <v>0.0032517171963643145</v>
      </c>
      <c r="D102" s="79" t="s">
        <v>2085</v>
      </c>
      <c r="E102" s="79" t="b">
        <v>0</v>
      </c>
      <c r="F102" s="79" t="b">
        <v>0</v>
      </c>
      <c r="G102" s="79" t="b">
        <v>0</v>
      </c>
    </row>
    <row r="103" spans="1:7" ht="15">
      <c r="A103" s="85" t="s">
        <v>1793</v>
      </c>
      <c r="B103" s="79">
        <v>7</v>
      </c>
      <c r="C103" s="109">
        <v>0.0032517171963643145</v>
      </c>
      <c r="D103" s="79" t="s">
        <v>2085</v>
      </c>
      <c r="E103" s="79" t="b">
        <v>0</v>
      </c>
      <c r="F103" s="79" t="b">
        <v>0</v>
      </c>
      <c r="G103" s="79" t="b">
        <v>0</v>
      </c>
    </row>
    <row r="104" spans="1:7" ht="15">
      <c r="A104" s="85" t="s">
        <v>1794</v>
      </c>
      <c r="B104" s="79">
        <v>7</v>
      </c>
      <c r="C104" s="109">
        <v>0.0032517171963643145</v>
      </c>
      <c r="D104" s="79" t="s">
        <v>2085</v>
      </c>
      <c r="E104" s="79" t="b">
        <v>0</v>
      </c>
      <c r="F104" s="79" t="b">
        <v>0</v>
      </c>
      <c r="G104" s="79" t="b">
        <v>0</v>
      </c>
    </row>
    <row r="105" spans="1:7" ht="15">
      <c r="A105" s="85" t="s">
        <v>1795</v>
      </c>
      <c r="B105" s="79">
        <v>7</v>
      </c>
      <c r="C105" s="109">
        <v>0.0032517171963643145</v>
      </c>
      <c r="D105" s="79" t="s">
        <v>2085</v>
      </c>
      <c r="E105" s="79" t="b">
        <v>0</v>
      </c>
      <c r="F105" s="79" t="b">
        <v>0</v>
      </c>
      <c r="G105" s="79" t="b">
        <v>0</v>
      </c>
    </row>
    <row r="106" spans="1:7" ht="15">
      <c r="A106" s="85" t="s">
        <v>219</v>
      </c>
      <c r="B106" s="79">
        <v>7</v>
      </c>
      <c r="C106" s="109">
        <v>0.0032517171963643145</v>
      </c>
      <c r="D106" s="79" t="s">
        <v>2085</v>
      </c>
      <c r="E106" s="79" t="b">
        <v>0</v>
      </c>
      <c r="F106" s="79" t="b">
        <v>0</v>
      </c>
      <c r="G106" s="79" t="b">
        <v>0</v>
      </c>
    </row>
    <row r="107" spans="1:7" ht="15">
      <c r="A107" s="85" t="s">
        <v>1796</v>
      </c>
      <c r="B107" s="79">
        <v>7</v>
      </c>
      <c r="C107" s="109">
        <v>0.0032517171963643145</v>
      </c>
      <c r="D107" s="79" t="s">
        <v>2085</v>
      </c>
      <c r="E107" s="79" t="b">
        <v>0</v>
      </c>
      <c r="F107" s="79" t="b">
        <v>0</v>
      </c>
      <c r="G107" s="79" t="b">
        <v>0</v>
      </c>
    </row>
    <row r="108" spans="1:7" ht="15">
      <c r="A108" s="85" t="s">
        <v>1797</v>
      </c>
      <c r="B108" s="79">
        <v>7</v>
      </c>
      <c r="C108" s="109">
        <v>0.0032517171963643145</v>
      </c>
      <c r="D108" s="79" t="s">
        <v>2085</v>
      </c>
      <c r="E108" s="79" t="b">
        <v>0</v>
      </c>
      <c r="F108" s="79" t="b">
        <v>0</v>
      </c>
      <c r="G108" s="79" t="b">
        <v>0</v>
      </c>
    </row>
    <row r="109" spans="1:7" ht="15">
      <c r="A109" s="85" t="s">
        <v>1798</v>
      </c>
      <c r="B109" s="79">
        <v>7</v>
      </c>
      <c r="C109" s="109">
        <v>0.0032517171963643145</v>
      </c>
      <c r="D109" s="79" t="s">
        <v>2085</v>
      </c>
      <c r="E109" s="79" t="b">
        <v>0</v>
      </c>
      <c r="F109" s="79" t="b">
        <v>0</v>
      </c>
      <c r="G109" s="79" t="b">
        <v>0</v>
      </c>
    </row>
    <row r="110" spans="1:7" ht="15">
      <c r="A110" s="85" t="s">
        <v>1799</v>
      </c>
      <c r="B110" s="79">
        <v>7</v>
      </c>
      <c r="C110" s="109">
        <v>0.0032517171963643145</v>
      </c>
      <c r="D110" s="79" t="s">
        <v>2085</v>
      </c>
      <c r="E110" s="79" t="b">
        <v>0</v>
      </c>
      <c r="F110" s="79" t="b">
        <v>0</v>
      </c>
      <c r="G110" s="79" t="b">
        <v>0</v>
      </c>
    </row>
    <row r="111" spans="1:7" ht="15">
      <c r="A111" s="85" t="s">
        <v>1800</v>
      </c>
      <c r="B111" s="79">
        <v>7</v>
      </c>
      <c r="C111" s="109">
        <v>0.0032517171963643145</v>
      </c>
      <c r="D111" s="79" t="s">
        <v>2085</v>
      </c>
      <c r="E111" s="79" t="b">
        <v>0</v>
      </c>
      <c r="F111" s="79" t="b">
        <v>0</v>
      </c>
      <c r="G111" s="79" t="b">
        <v>0</v>
      </c>
    </row>
    <row r="112" spans="1:7" ht="15">
      <c r="A112" s="85" t="s">
        <v>220</v>
      </c>
      <c r="B112" s="79">
        <v>7</v>
      </c>
      <c r="C112" s="109">
        <v>0.0032517171963643145</v>
      </c>
      <c r="D112" s="79" t="s">
        <v>2085</v>
      </c>
      <c r="E112" s="79" t="b">
        <v>0</v>
      </c>
      <c r="F112" s="79" t="b">
        <v>0</v>
      </c>
      <c r="G112" s="79" t="b">
        <v>0</v>
      </c>
    </row>
    <row r="113" spans="1:7" ht="15">
      <c r="A113" s="85" t="s">
        <v>358</v>
      </c>
      <c r="B113" s="79">
        <v>7</v>
      </c>
      <c r="C113" s="109">
        <v>0.0032517171963643145</v>
      </c>
      <c r="D113" s="79" t="s">
        <v>2085</v>
      </c>
      <c r="E113" s="79" t="b">
        <v>0</v>
      </c>
      <c r="F113" s="79" t="b">
        <v>0</v>
      </c>
      <c r="G113" s="79" t="b">
        <v>0</v>
      </c>
    </row>
    <row r="114" spans="1:7" ht="15">
      <c r="A114" s="85" t="s">
        <v>221</v>
      </c>
      <c r="B114" s="79">
        <v>7</v>
      </c>
      <c r="C114" s="109">
        <v>0.0032517171963643145</v>
      </c>
      <c r="D114" s="79" t="s">
        <v>2085</v>
      </c>
      <c r="E114" s="79" t="b">
        <v>0</v>
      </c>
      <c r="F114" s="79" t="b">
        <v>0</v>
      </c>
      <c r="G114" s="79" t="b">
        <v>0</v>
      </c>
    </row>
    <row r="115" spans="1:7" ht="15">
      <c r="A115" s="85" t="s">
        <v>1801</v>
      </c>
      <c r="B115" s="79">
        <v>7</v>
      </c>
      <c r="C115" s="109">
        <v>0.0032517171963643145</v>
      </c>
      <c r="D115" s="79" t="s">
        <v>2085</v>
      </c>
      <c r="E115" s="79" t="b">
        <v>0</v>
      </c>
      <c r="F115" s="79" t="b">
        <v>0</v>
      </c>
      <c r="G115" s="79" t="b">
        <v>0</v>
      </c>
    </row>
    <row r="116" spans="1:7" ht="15">
      <c r="A116" s="85" t="s">
        <v>1802</v>
      </c>
      <c r="B116" s="79">
        <v>7</v>
      </c>
      <c r="C116" s="109">
        <v>0.0032517171963643145</v>
      </c>
      <c r="D116" s="79" t="s">
        <v>2085</v>
      </c>
      <c r="E116" s="79" t="b">
        <v>0</v>
      </c>
      <c r="F116" s="79" t="b">
        <v>0</v>
      </c>
      <c r="G116" s="79" t="b">
        <v>0</v>
      </c>
    </row>
    <row r="117" spans="1:7" ht="15">
      <c r="A117" s="85" t="s">
        <v>1803</v>
      </c>
      <c r="B117" s="79">
        <v>7</v>
      </c>
      <c r="C117" s="109">
        <v>0.0032517171963643145</v>
      </c>
      <c r="D117" s="79" t="s">
        <v>2085</v>
      </c>
      <c r="E117" s="79" t="b">
        <v>0</v>
      </c>
      <c r="F117" s="79" t="b">
        <v>0</v>
      </c>
      <c r="G117" s="79" t="b">
        <v>0</v>
      </c>
    </row>
    <row r="118" spans="1:7" ht="15">
      <c r="A118" s="85" t="s">
        <v>1804</v>
      </c>
      <c r="B118" s="79">
        <v>7</v>
      </c>
      <c r="C118" s="109">
        <v>0.0032517171963643145</v>
      </c>
      <c r="D118" s="79" t="s">
        <v>2085</v>
      </c>
      <c r="E118" s="79" t="b">
        <v>0</v>
      </c>
      <c r="F118" s="79" t="b">
        <v>0</v>
      </c>
      <c r="G118" s="79" t="b">
        <v>0</v>
      </c>
    </row>
    <row r="119" spans="1:7" ht="15">
      <c r="A119" s="85" t="s">
        <v>1805</v>
      </c>
      <c r="B119" s="79">
        <v>6</v>
      </c>
      <c r="C119" s="109">
        <v>0.0029209014605172225</v>
      </c>
      <c r="D119" s="79" t="s">
        <v>2085</v>
      </c>
      <c r="E119" s="79" t="b">
        <v>0</v>
      </c>
      <c r="F119" s="79" t="b">
        <v>0</v>
      </c>
      <c r="G119" s="79" t="b">
        <v>0</v>
      </c>
    </row>
    <row r="120" spans="1:7" ht="15">
      <c r="A120" s="85" t="s">
        <v>1806</v>
      </c>
      <c r="B120" s="79">
        <v>6</v>
      </c>
      <c r="C120" s="109">
        <v>0.0029209014605172225</v>
      </c>
      <c r="D120" s="79" t="s">
        <v>2085</v>
      </c>
      <c r="E120" s="79" t="b">
        <v>0</v>
      </c>
      <c r="F120" s="79" t="b">
        <v>0</v>
      </c>
      <c r="G120" s="79" t="b">
        <v>0</v>
      </c>
    </row>
    <row r="121" spans="1:7" ht="15">
      <c r="A121" s="85" t="s">
        <v>1807</v>
      </c>
      <c r="B121" s="79">
        <v>6</v>
      </c>
      <c r="C121" s="109">
        <v>0.0029209014605172225</v>
      </c>
      <c r="D121" s="79" t="s">
        <v>2085</v>
      </c>
      <c r="E121" s="79" t="b">
        <v>0</v>
      </c>
      <c r="F121" s="79" t="b">
        <v>0</v>
      </c>
      <c r="G121" s="79" t="b">
        <v>0</v>
      </c>
    </row>
    <row r="122" spans="1:7" ht="15">
      <c r="A122" s="85" t="s">
        <v>1808</v>
      </c>
      <c r="B122" s="79">
        <v>6</v>
      </c>
      <c r="C122" s="109">
        <v>0.0029209014605172225</v>
      </c>
      <c r="D122" s="79" t="s">
        <v>2085</v>
      </c>
      <c r="E122" s="79" t="b">
        <v>0</v>
      </c>
      <c r="F122" s="79" t="b">
        <v>0</v>
      </c>
      <c r="G122" s="79" t="b">
        <v>0</v>
      </c>
    </row>
    <row r="123" spans="1:7" ht="15">
      <c r="A123" s="85" t="s">
        <v>1809</v>
      </c>
      <c r="B123" s="79">
        <v>6</v>
      </c>
      <c r="C123" s="109">
        <v>0.0029209014605172225</v>
      </c>
      <c r="D123" s="79" t="s">
        <v>2085</v>
      </c>
      <c r="E123" s="79" t="b">
        <v>0</v>
      </c>
      <c r="F123" s="79" t="b">
        <v>0</v>
      </c>
      <c r="G123" s="79" t="b">
        <v>0</v>
      </c>
    </row>
    <row r="124" spans="1:7" ht="15">
      <c r="A124" s="85" t="s">
        <v>1810</v>
      </c>
      <c r="B124" s="79">
        <v>6</v>
      </c>
      <c r="C124" s="109">
        <v>0.0029209014605172225</v>
      </c>
      <c r="D124" s="79" t="s">
        <v>2085</v>
      </c>
      <c r="E124" s="79" t="b">
        <v>0</v>
      </c>
      <c r="F124" s="79" t="b">
        <v>0</v>
      </c>
      <c r="G124" s="79" t="b">
        <v>0</v>
      </c>
    </row>
    <row r="125" spans="1:7" ht="15">
      <c r="A125" s="85" t="s">
        <v>1811</v>
      </c>
      <c r="B125" s="79">
        <v>6</v>
      </c>
      <c r="C125" s="109">
        <v>0.0029209014605172225</v>
      </c>
      <c r="D125" s="79" t="s">
        <v>2085</v>
      </c>
      <c r="E125" s="79" t="b">
        <v>0</v>
      </c>
      <c r="F125" s="79" t="b">
        <v>0</v>
      </c>
      <c r="G125" s="79" t="b">
        <v>0</v>
      </c>
    </row>
    <row r="126" spans="1:7" ht="15">
      <c r="A126" s="85" t="s">
        <v>1812</v>
      </c>
      <c r="B126" s="79">
        <v>6</v>
      </c>
      <c r="C126" s="109">
        <v>0.0029209014605172225</v>
      </c>
      <c r="D126" s="79" t="s">
        <v>2085</v>
      </c>
      <c r="E126" s="79" t="b">
        <v>0</v>
      </c>
      <c r="F126" s="79" t="b">
        <v>0</v>
      </c>
      <c r="G126" s="79" t="b">
        <v>0</v>
      </c>
    </row>
    <row r="127" spans="1:7" ht="15">
      <c r="A127" s="85" t="s">
        <v>1813</v>
      </c>
      <c r="B127" s="79">
        <v>6</v>
      </c>
      <c r="C127" s="109">
        <v>0.0029209014605172225</v>
      </c>
      <c r="D127" s="79" t="s">
        <v>2085</v>
      </c>
      <c r="E127" s="79" t="b">
        <v>0</v>
      </c>
      <c r="F127" s="79" t="b">
        <v>0</v>
      </c>
      <c r="G127" s="79" t="b">
        <v>0</v>
      </c>
    </row>
    <row r="128" spans="1:7" ht="15">
      <c r="A128" s="85" t="s">
        <v>1814</v>
      </c>
      <c r="B128" s="79">
        <v>6</v>
      </c>
      <c r="C128" s="109">
        <v>0.0029209014605172225</v>
      </c>
      <c r="D128" s="79" t="s">
        <v>2085</v>
      </c>
      <c r="E128" s="79" t="b">
        <v>0</v>
      </c>
      <c r="F128" s="79" t="b">
        <v>0</v>
      </c>
      <c r="G128" s="79" t="b">
        <v>0</v>
      </c>
    </row>
    <row r="129" spans="1:7" ht="15">
      <c r="A129" s="85" t="s">
        <v>1815</v>
      </c>
      <c r="B129" s="79">
        <v>6</v>
      </c>
      <c r="C129" s="109">
        <v>0.0029209014605172225</v>
      </c>
      <c r="D129" s="79" t="s">
        <v>2085</v>
      </c>
      <c r="E129" s="79" t="b">
        <v>0</v>
      </c>
      <c r="F129" s="79" t="b">
        <v>0</v>
      </c>
      <c r="G129" s="79" t="b">
        <v>0</v>
      </c>
    </row>
    <row r="130" spans="1:7" ht="15">
      <c r="A130" s="85" t="s">
        <v>1816</v>
      </c>
      <c r="B130" s="79">
        <v>6</v>
      </c>
      <c r="C130" s="109">
        <v>0.0029209014605172225</v>
      </c>
      <c r="D130" s="79" t="s">
        <v>2085</v>
      </c>
      <c r="E130" s="79" t="b">
        <v>0</v>
      </c>
      <c r="F130" s="79" t="b">
        <v>0</v>
      </c>
      <c r="G130" s="79" t="b">
        <v>0</v>
      </c>
    </row>
    <row r="131" spans="1:7" ht="15">
      <c r="A131" s="85" t="s">
        <v>376</v>
      </c>
      <c r="B131" s="79">
        <v>6</v>
      </c>
      <c r="C131" s="109">
        <v>0.0029209014605172225</v>
      </c>
      <c r="D131" s="79" t="s">
        <v>2085</v>
      </c>
      <c r="E131" s="79" t="b">
        <v>0</v>
      </c>
      <c r="F131" s="79" t="b">
        <v>0</v>
      </c>
      <c r="G131" s="79" t="b">
        <v>0</v>
      </c>
    </row>
    <row r="132" spans="1:7" ht="15">
      <c r="A132" s="85" t="s">
        <v>1817</v>
      </c>
      <c r="B132" s="79">
        <v>6</v>
      </c>
      <c r="C132" s="109">
        <v>0.0029209014605172225</v>
      </c>
      <c r="D132" s="79" t="s">
        <v>2085</v>
      </c>
      <c r="E132" s="79" t="b">
        <v>0</v>
      </c>
      <c r="F132" s="79" t="b">
        <v>0</v>
      </c>
      <c r="G132" s="79" t="b">
        <v>0</v>
      </c>
    </row>
    <row r="133" spans="1:7" ht="15">
      <c r="A133" s="85" t="s">
        <v>1818</v>
      </c>
      <c r="B133" s="79">
        <v>6</v>
      </c>
      <c r="C133" s="109">
        <v>0.0029209014605172225</v>
      </c>
      <c r="D133" s="79" t="s">
        <v>2085</v>
      </c>
      <c r="E133" s="79" t="b">
        <v>0</v>
      </c>
      <c r="F133" s="79" t="b">
        <v>0</v>
      </c>
      <c r="G133" s="79" t="b">
        <v>0</v>
      </c>
    </row>
    <row r="134" spans="1:7" ht="15">
      <c r="A134" s="85" t="s">
        <v>1819</v>
      </c>
      <c r="B134" s="79">
        <v>5</v>
      </c>
      <c r="C134" s="109">
        <v>0.0025658775698178776</v>
      </c>
      <c r="D134" s="79" t="s">
        <v>2085</v>
      </c>
      <c r="E134" s="79" t="b">
        <v>0</v>
      </c>
      <c r="F134" s="79" t="b">
        <v>0</v>
      </c>
      <c r="G134" s="79" t="b">
        <v>0</v>
      </c>
    </row>
    <row r="135" spans="1:7" ht="15">
      <c r="A135" s="85" t="s">
        <v>1820</v>
      </c>
      <c r="B135" s="79">
        <v>5</v>
      </c>
      <c r="C135" s="109">
        <v>0.0025658775698178776</v>
      </c>
      <c r="D135" s="79" t="s">
        <v>2085</v>
      </c>
      <c r="E135" s="79" t="b">
        <v>0</v>
      </c>
      <c r="F135" s="79" t="b">
        <v>0</v>
      </c>
      <c r="G135" s="79" t="b">
        <v>0</v>
      </c>
    </row>
    <row r="136" spans="1:7" ht="15">
      <c r="A136" s="85" t="s">
        <v>1821</v>
      </c>
      <c r="B136" s="79">
        <v>5</v>
      </c>
      <c r="C136" s="109">
        <v>0.0025658775698178776</v>
      </c>
      <c r="D136" s="79" t="s">
        <v>2085</v>
      </c>
      <c r="E136" s="79" t="b">
        <v>0</v>
      </c>
      <c r="F136" s="79" t="b">
        <v>0</v>
      </c>
      <c r="G136" s="79" t="b">
        <v>0</v>
      </c>
    </row>
    <row r="137" spans="1:7" ht="15">
      <c r="A137" s="85" t="s">
        <v>1822</v>
      </c>
      <c r="B137" s="79">
        <v>5</v>
      </c>
      <c r="C137" s="109">
        <v>0.0025658775698178776</v>
      </c>
      <c r="D137" s="79" t="s">
        <v>2085</v>
      </c>
      <c r="E137" s="79" t="b">
        <v>0</v>
      </c>
      <c r="F137" s="79" t="b">
        <v>0</v>
      </c>
      <c r="G137" s="79" t="b">
        <v>0</v>
      </c>
    </row>
    <row r="138" spans="1:7" ht="15">
      <c r="A138" s="85" t="s">
        <v>1823</v>
      </c>
      <c r="B138" s="79">
        <v>5</v>
      </c>
      <c r="C138" s="109">
        <v>0.0025658775698178776</v>
      </c>
      <c r="D138" s="79" t="s">
        <v>2085</v>
      </c>
      <c r="E138" s="79" t="b">
        <v>0</v>
      </c>
      <c r="F138" s="79" t="b">
        <v>0</v>
      </c>
      <c r="G138" s="79" t="b">
        <v>0</v>
      </c>
    </row>
    <row r="139" spans="1:7" ht="15">
      <c r="A139" s="85" t="s">
        <v>1824</v>
      </c>
      <c r="B139" s="79">
        <v>5</v>
      </c>
      <c r="C139" s="109">
        <v>0.0025658775698178776</v>
      </c>
      <c r="D139" s="79" t="s">
        <v>2085</v>
      </c>
      <c r="E139" s="79" t="b">
        <v>0</v>
      </c>
      <c r="F139" s="79" t="b">
        <v>0</v>
      </c>
      <c r="G139" s="79" t="b">
        <v>0</v>
      </c>
    </row>
    <row r="140" spans="1:7" ht="15">
      <c r="A140" s="85" t="s">
        <v>1825</v>
      </c>
      <c r="B140" s="79">
        <v>5</v>
      </c>
      <c r="C140" s="109">
        <v>0.0025658775698178776</v>
      </c>
      <c r="D140" s="79" t="s">
        <v>2085</v>
      </c>
      <c r="E140" s="79" t="b">
        <v>0</v>
      </c>
      <c r="F140" s="79" t="b">
        <v>0</v>
      </c>
      <c r="G140" s="79" t="b">
        <v>0</v>
      </c>
    </row>
    <row r="141" spans="1:7" ht="15">
      <c r="A141" s="85" t="s">
        <v>1826</v>
      </c>
      <c r="B141" s="79">
        <v>5</v>
      </c>
      <c r="C141" s="109">
        <v>0.0025658775698178776</v>
      </c>
      <c r="D141" s="79" t="s">
        <v>2085</v>
      </c>
      <c r="E141" s="79" t="b">
        <v>1</v>
      </c>
      <c r="F141" s="79" t="b">
        <v>0</v>
      </c>
      <c r="G141" s="79" t="b">
        <v>0</v>
      </c>
    </row>
    <row r="142" spans="1:7" ht="15">
      <c r="A142" s="85" t="s">
        <v>1827</v>
      </c>
      <c r="B142" s="79">
        <v>5</v>
      </c>
      <c r="C142" s="109">
        <v>0.0025658775698178776</v>
      </c>
      <c r="D142" s="79" t="s">
        <v>2085</v>
      </c>
      <c r="E142" s="79" t="b">
        <v>0</v>
      </c>
      <c r="F142" s="79" t="b">
        <v>0</v>
      </c>
      <c r="G142" s="79" t="b">
        <v>0</v>
      </c>
    </row>
    <row r="143" spans="1:7" ht="15">
      <c r="A143" s="85" t="s">
        <v>1828</v>
      </c>
      <c r="B143" s="79">
        <v>5</v>
      </c>
      <c r="C143" s="109">
        <v>0.0025658775698178776</v>
      </c>
      <c r="D143" s="79" t="s">
        <v>2085</v>
      </c>
      <c r="E143" s="79" t="b">
        <v>0</v>
      </c>
      <c r="F143" s="79" t="b">
        <v>0</v>
      </c>
      <c r="G143" s="79" t="b">
        <v>0</v>
      </c>
    </row>
    <row r="144" spans="1:7" ht="15">
      <c r="A144" s="85" t="s">
        <v>1829</v>
      </c>
      <c r="B144" s="79">
        <v>5</v>
      </c>
      <c r="C144" s="109">
        <v>0.0025658775698178776</v>
      </c>
      <c r="D144" s="79" t="s">
        <v>2085</v>
      </c>
      <c r="E144" s="79" t="b">
        <v>0</v>
      </c>
      <c r="F144" s="79" t="b">
        <v>0</v>
      </c>
      <c r="G144" s="79" t="b">
        <v>0</v>
      </c>
    </row>
    <row r="145" spans="1:7" ht="15">
      <c r="A145" s="85" t="s">
        <v>1830</v>
      </c>
      <c r="B145" s="79">
        <v>5</v>
      </c>
      <c r="C145" s="109">
        <v>0.0025658775698178776</v>
      </c>
      <c r="D145" s="79" t="s">
        <v>2085</v>
      </c>
      <c r="E145" s="79" t="b">
        <v>0</v>
      </c>
      <c r="F145" s="79" t="b">
        <v>0</v>
      </c>
      <c r="G145" s="79" t="b">
        <v>0</v>
      </c>
    </row>
    <row r="146" spans="1:7" ht="15">
      <c r="A146" s="85" t="s">
        <v>1831</v>
      </c>
      <c r="B146" s="79">
        <v>5</v>
      </c>
      <c r="C146" s="109">
        <v>0.0025658775698178776</v>
      </c>
      <c r="D146" s="79" t="s">
        <v>2085</v>
      </c>
      <c r="E146" s="79" t="b">
        <v>0</v>
      </c>
      <c r="F146" s="79" t="b">
        <v>0</v>
      </c>
      <c r="G146" s="79" t="b">
        <v>0</v>
      </c>
    </row>
    <row r="147" spans="1:7" ht="15">
      <c r="A147" s="85" t="s">
        <v>1832</v>
      </c>
      <c r="B147" s="79">
        <v>5</v>
      </c>
      <c r="C147" s="109">
        <v>0.0025658775698178776</v>
      </c>
      <c r="D147" s="79" t="s">
        <v>2085</v>
      </c>
      <c r="E147" s="79" t="b">
        <v>0</v>
      </c>
      <c r="F147" s="79" t="b">
        <v>0</v>
      </c>
      <c r="G147" s="79" t="b">
        <v>0</v>
      </c>
    </row>
    <row r="148" spans="1:7" ht="15">
      <c r="A148" s="85" t="s">
        <v>1833</v>
      </c>
      <c r="B148" s="79">
        <v>5</v>
      </c>
      <c r="C148" s="109">
        <v>0.0025658775698178776</v>
      </c>
      <c r="D148" s="79" t="s">
        <v>2085</v>
      </c>
      <c r="E148" s="79" t="b">
        <v>0</v>
      </c>
      <c r="F148" s="79" t="b">
        <v>0</v>
      </c>
      <c r="G148" s="79" t="b">
        <v>0</v>
      </c>
    </row>
    <row r="149" spans="1:7" ht="15">
      <c r="A149" s="85" t="s">
        <v>1834</v>
      </c>
      <c r="B149" s="79">
        <v>5</v>
      </c>
      <c r="C149" s="109">
        <v>0.0025658775698178776</v>
      </c>
      <c r="D149" s="79" t="s">
        <v>2085</v>
      </c>
      <c r="E149" s="79" t="b">
        <v>0</v>
      </c>
      <c r="F149" s="79" t="b">
        <v>0</v>
      </c>
      <c r="G149" s="79" t="b">
        <v>0</v>
      </c>
    </row>
    <row r="150" spans="1:7" ht="15">
      <c r="A150" s="85" t="s">
        <v>1835</v>
      </c>
      <c r="B150" s="79">
        <v>5</v>
      </c>
      <c r="C150" s="109">
        <v>0.0025658775698178776</v>
      </c>
      <c r="D150" s="79" t="s">
        <v>2085</v>
      </c>
      <c r="E150" s="79" t="b">
        <v>0</v>
      </c>
      <c r="F150" s="79" t="b">
        <v>0</v>
      </c>
      <c r="G150" s="79" t="b">
        <v>0</v>
      </c>
    </row>
    <row r="151" spans="1:7" ht="15">
      <c r="A151" s="85" t="s">
        <v>1836</v>
      </c>
      <c r="B151" s="79">
        <v>5</v>
      </c>
      <c r="C151" s="109">
        <v>0.0025658775698178776</v>
      </c>
      <c r="D151" s="79" t="s">
        <v>2085</v>
      </c>
      <c r="E151" s="79" t="b">
        <v>0</v>
      </c>
      <c r="F151" s="79" t="b">
        <v>0</v>
      </c>
      <c r="G151" s="79" t="b">
        <v>0</v>
      </c>
    </row>
    <row r="152" spans="1:7" ht="15">
      <c r="A152" s="85" t="s">
        <v>1837</v>
      </c>
      <c r="B152" s="79">
        <v>5</v>
      </c>
      <c r="C152" s="109">
        <v>0.0025658775698178776</v>
      </c>
      <c r="D152" s="79" t="s">
        <v>2085</v>
      </c>
      <c r="E152" s="79" t="b">
        <v>0</v>
      </c>
      <c r="F152" s="79" t="b">
        <v>0</v>
      </c>
      <c r="G152" s="79" t="b">
        <v>0</v>
      </c>
    </row>
    <row r="153" spans="1:7" ht="15">
      <c r="A153" s="85" t="s">
        <v>1838</v>
      </c>
      <c r="B153" s="79">
        <v>5</v>
      </c>
      <c r="C153" s="109">
        <v>0.0025658775698178776</v>
      </c>
      <c r="D153" s="79" t="s">
        <v>2085</v>
      </c>
      <c r="E153" s="79" t="b">
        <v>0</v>
      </c>
      <c r="F153" s="79" t="b">
        <v>0</v>
      </c>
      <c r="G153" s="79" t="b">
        <v>0</v>
      </c>
    </row>
    <row r="154" spans="1:7" ht="15">
      <c r="A154" s="85" t="s">
        <v>1839</v>
      </c>
      <c r="B154" s="79">
        <v>5</v>
      </c>
      <c r="C154" s="109">
        <v>0.002935133145078125</v>
      </c>
      <c r="D154" s="79" t="s">
        <v>2085</v>
      </c>
      <c r="E154" s="79" t="b">
        <v>0</v>
      </c>
      <c r="F154" s="79" t="b">
        <v>0</v>
      </c>
      <c r="G154" s="79" t="b">
        <v>0</v>
      </c>
    </row>
    <row r="155" spans="1:7" ht="15">
      <c r="A155" s="85" t="s">
        <v>1840</v>
      </c>
      <c r="B155" s="79">
        <v>5</v>
      </c>
      <c r="C155" s="109">
        <v>0.0025658775698178776</v>
      </c>
      <c r="D155" s="79" t="s">
        <v>2085</v>
      </c>
      <c r="E155" s="79" t="b">
        <v>0</v>
      </c>
      <c r="F155" s="79" t="b">
        <v>0</v>
      </c>
      <c r="G155" s="79" t="b">
        <v>0</v>
      </c>
    </row>
    <row r="156" spans="1:7" ht="15">
      <c r="A156" s="85" t="s">
        <v>1841</v>
      </c>
      <c r="B156" s="79">
        <v>5</v>
      </c>
      <c r="C156" s="109">
        <v>0.0025658775698178776</v>
      </c>
      <c r="D156" s="79" t="s">
        <v>2085</v>
      </c>
      <c r="E156" s="79" t="b">
        <v>0</v>
      </c>
      <c r="F156" s="79" t="b">
        <v>0</v>
      </c>
      <c r="G156" s="79" t="b">
        <v>0</v>
      </c>
    </row>
    <row r="157" spans="1:7" ht="15">
      <c r="A157" s="85" t="s">
        <v>1842</v>
      </c>
      <c r="B157" s="79">
        <v>5</v>
      </c>
      <c r="C157" s="109">
        <v>0.0025658775698178776</v>
      </c>
      <c r="D157" s="79" t="s">
        <v>2085</v>
      </c>
      <c r="E157" s="79" t="b">
        <v>0</v>
      </c>
      <c r="F157" s="79" t="b">
        <v>0</v>
      </c>
      <c r="G157" s="79" t="b">
        <v>0</v>
      </c>
    </row>
    <row r="158" spans="1:7" ht="15">
      <c r="A158" s="85" t="s">
        <v>1843</v>
      </c>
      <c r="B158" s="79">
        <v>5</v>
      </c>
      <c r="C158" s="109">
        <v>0.0025658775698178776</v>
      </c>
      <c r="D158" s="79" t="s">
        <v>2085</v>
      </c>
      <c r="E158" s="79" t="b">
        <v>0</v>
      </c>
      <c r="F158" s="79" t="b">
        <v>0</v>
      </c>
      <c r="G158" s="79" t="b">
        <v>0</v>
      </c>
    </row>
    <row r="159" spans="1:7" ht="15">
      <c r="A159" s="85" t="s">
        <v>1844</v>
      </c>
      <c r="B159" s="79">
        <v>5</v>
      </c>
      <c r="C159" s="109">
        <v>0.0025658775698178776</v>
      </c>
      <c r="D159" s="79" t="s">
        <v>2085</v>
      </c>
      <c r="E159" s="79" t="b">
        <v>0</v>
      </c>
      <c r="F159" s="79" t="b">
        <v>0</v>
      </c>
      <c r="G159" s="79" t="b">
        <v>0</v>
      </c>
    </row>
    <row r="160" spans="1:7" ht="15">
      <c r="A160" s="85" t="s">
        <v>1845</v>
      </c>
      <c r="B160" s="79">
        <v>5</v>
      </c>
      <c r="C160" s="109">
        <v>0.0025658775698178776</v>
      </c>
      <c r="D160" s="79" t="s">
        <v>2085</v>
      </c>
      <c r="E160" s="79" t="b">
        <v>0</v>
      </c>
      <c r="F160" s="79" t="b">
        <v>0</v>
      </c>
      <c r="G160" s="79" t="b">
        <v>0</v>
      </c>
    </row>
    <row r="161" spans="1:7" ht="15">
      <c r="A161" s="85" t="s">
        <v>1846</v>
      </c>
      <c r="B161" s="79">
        <v>5</v>
      </c>
      <c r="C161" s="109">
        <v>0.0025658775698178776</v>
      </c>
      <c r="D161" s="79" t="s">
        <v>2085</v>
      </c>
      <c r="E161" s="79" t="b">
        <v>0</v>
      </c>
      <c r="F161" s="79" t="b">
        <v>0</v>
      </c>
      <c r="G161" s="79" t="b">
        <v>0</v>
      </c>
    </row>
    <row r="162" spans="1:7" ht="15">
      <c r="A162" s="85" t="s">
        <v>1847</v>
      </c>
      <c r="B162" s="79">
        <v>5</v>
      </c>
      <c r="C162" s="109">
        <v>0.0025658775698178776</v>
      </c>
      <c r="D162" s="79" t="s">
        <v>2085</v>
      </c>
      <c r="E162" s="79" t="b">
        <v>0</v>
      </c>
      <c r="F162" s="79" t="b">
        <v>0</v>
      </c>
      <c r="G162" s="79" t="b">
        <v>0</v>
      </c>
    </row>
    <row r="163" spans="1:7" ht="15">
      <c r="A163" s="85" t="s">
        <v>1848</v>
      </c>
      <c r="B163" s="79">
        <v>5</v>
      </c>
      <c r="C163" s="109">
        <v>0.0025658775698178776</v>
      </c>
      <c r="D163" s="79" t="s">
        <v>2085</v>
      </c>
      <c r="E163" s="79" t="b">
        <v>0</v>
      </c>
      <c r="F163" s="79" t="b">
        <v>0</v>
      </c>
      <c r="G163" s="79" t="b">
        <v>0</v>
      </c>
    </row>
    <row r="164" spans="1:7" ht="15">
      <c r="A164" s="85" t="s">
        <v>1849</v>
      </c>
      <c r="B164" s="79">
        <v>5</v>
      </c>
      <c r="C164" s="109">
        <v>0.0025658775698178776</v>
      </c>
      <c r="D164" s="79" t="s">
        <v>2085</v>
      </c>
      <c r="E164" s="79" t="b">
        <v>0</v>
      </c>
      <c r="F164" s="79" t="b">
        <v>0</v>
      </c>
      <c r="G164" s="79" t="b">
        <v>0</v>
      </c>
    </row>
    <row r="165" spans="1:7" ht="15">
      <c r="A165" s="85" t="s">
        <v>1850</v>
      </c>
      <c r="B165" s="79">
        <v>5</v>
      </c>
      <c r="C165" s="109">
        <v>0.0025658775698178776</v>
      </c>
      <c r="D165" s="79" t="s">
        <v>2085</v>
      </c>
      <c r="E165" s="79" t="b">
        <v>0</v>
      </c>
      <c r="F165" s="79" t="b">
        <v>0</v>
      </c>
      <c r="G165" s="79" t="b">
        <v>0</v>
      </c>
    </row>
    <row r="166" spans="1:7" ht="15">
      <c r="A166" s="85" t="s">
        <v>1851</v>
      </c>
      <c r="B166" s="79">
        <v>5</v>
      </c>
      <c r="C166" s="109">
        <v>0.0025658775698178776</v>
      </c>
      <c r="D166" s="79" t="s">
        <v>2085</v>
      </c>
      <c r="E166" s="79" t="b">
        <v>0</v>
      </c>
      <c r="F166" s="79" t="b">
        <v>0</v>
      </c>
      <c r="G166" s="79" t="b">
        <v>0</v>
      </c>
    </row>
    <row r="167" spans="1:7" ht="15">
      <c r="A167" s="85" t="s">
        <v>1852</v>
      </c>
      <c r="B167" s="79">
        <v>5</v>
      </c>
      <c r="C167" s="109">
        <v>0.0025658775698178776</v>
      </c>
      <c r="D167" s="79" t="s">
        <v>2085</v>
      </c>
      <c r="E167" s="79" t="b">
        <v>0</v>
      </c>
      <c r="F167" s="79" t="b">
        <v>0</v>
      </c>
      <c r="G167" s="79" t="b">
        <v>0</v>
      </c>
    </row>
    <row r="168" spans="1:7" ht="15">
      <c r="A168" s="85" t="s">
        <v>1853</v>
      </c>
      <c r="B168" s="79">
        <v>5</v>
      </c>
      <c r="C168" s="109">
        <v>0.0025658775698178776</v>
      </c>
      <c r="D168" s="79" t="s">
        <v>2085</v>
      </c>
      <c r="E168" s="79" t="b">
        <v>0</v>
      </c>
      <c r="F168" s="79" t="b">
        <v>0</v>
      </c>
      <c r="G168" s="79" t="b">
        <v>0</v>
      </c>
    </row>
    <row r="169" spans="1:7" ht="15">
      <c r="A169" s="85" t="s">
        <v>1854</v>
      </c>
      <c r="B169" s="79">
        <v>5</v>
      </c>
      <c r="C169" s="109">
        <v>0.0025658775698178776</v>
      </c>
      <c r="D169" s="79" t="s">
        <v>2085</v>
      </c>
      <c r="E169" s="79" t="b">
        <v>0</v>
      </c>
      <c r="F169" s="79" t="b">
        <v>0</v>
      </c>
      <c r="G169" s="79" t="b">
        <v>0</v>
      </c>
    </row>
    <row r="170" spans="1:7" ht="15">
      <c r="A170" s="85" t="s">
        <v>1855</v>
      </c>
      <c r="B170" s="79">
        <v>5</v>
      </c>
      <c r="C170" s="109">
        <v>0.0025658775698178776</v>
      </c>
      <c r="D170" s="79" t="s">
        <v>2085</v>
      </c>
      <c r="E170" s="79" t="b">
        <v>0</v>
      </c>
      <c r="F170" s="79" t="b">
        <v>0</v>
      </c>
      <c r="G170" s="79" t="b">
        <v>0</v>
      </c>
    </row>
    <row r="171" spans="1:7" ht="15">
      <c r="A171" s="85" t="s">
        <v>1856</v>
      </c>
      <c r="B171" s="79">
        <v>5</v>
      </c>
      <c r="C171" s="109">
        <v>0.0025658775698178776</v>
      </c>
      <c r="D171" s="79" t="s">
        <v>2085</v>
      </c>
      <c r="E171" s="79" t="b">
        <v>0</v>
      </c>
      <c r="F171" s="79" t="b">
        <v>0</v>
      </c>
      <c r="G171" s="79" t="b">
        <v>0</v>
      </c>
    </row>
    <row r="172" spans="1:7" ht="15">
      <c r="A172" s="85" t="s">
        <v>1857</v>
      </c>
      <c r="B172" s="79">
        <v>4</v>
      </c>
      <c r="C172" s="109">
        <v>0.0021817433514708887</v>
      </c>
      <c r="D172" s="79" t="s">
        <v>2085</v>
      </c>
      <c r="E172" s="79" t="b">
        <v>0</v>
      </c>
      <c r="F172" s="79" t="b">
        <v>0</v>
      </c>
      <c r="G172" s="79" t="b">
        <v>0</v>
      </c>
    </row>
    <row r="173" spans="1:7" ht="15">
      <c r="A173" s="85" t="s">
        <v>363</v>
      </c>
      <c r="B173" s="79">
        <v>4</v>
      </c>
      <c r="C173" s="109">
        <v>0.0021817433514708887</v>
      </c>
      <c r="D173" s="79" t="s">
        <v>2085</v>
      </c>
      <c r="E173" s="79" t="b">
        <v>0</v>
      </c>
      <c r="F173" s="79" t="b">
        <v>0</v>
      </c>
      <c r="G173" s="79" t="b">
        <v>0</v>
      </c>
    </row>
    <row r="174" spans="1:7" ht="15">
      <c r="A174" s="85" t="s">
        <v>1858</v>
      </c>
      <c r="B174" s="79">
        <v>4</v>
      </c>
      <c r="C174" s="109">
        <v>0.0021817433514708887</v>
      </c>
      <c r="D174" s="79" t="s">
        <v>2085</v>
      </c>
      <c r="E174" s="79" t="b">
        <v>0</v>
      </c>
      <c r="F174" s="79" t="b">
        <v>0</v>
      </c>
      <c r="G174" s="79" t="b">
        <v>0</v>
      </c>
    </row>
    <row r="175" spans="1:7" ht="15">
      <c r="A175" s="85" t="s">
        <v>1859</v>
      </c>
      <c r="B175" s="79">
        <v>4</v>
      </c>
      <c r="C175" s="109">
        <v>0.0021817433514708887</v>
      </c>
      <c r="D175" s="79" t="s">
        <v>2085</v>
      </c>
      <c r="E175" s="79" t="b">
        <v>0</v>
      </c>
      <c r="F175" s="79" t="b">
        <v>0</v>
      </c>
      <c r="G175" s="79" t="b">
        <v>0</v>
      </c>
    </row>
    <row r="176" spans="1:7" ht="15">
      <c r="A176" s="85" t="s">
        <v>1860</v>
      </c>
      <c r="B176" s="79">
        <v>4</v>
      </c>
      <c r="C176" s="109">
        <v>0.0021817433514708887</v>
      </c>
      <c r="D176" s="79" t="s">
        <v>2085</v>
      </c>
      <c r="E176" s="79" t="b">
        <v>0</v>
      </c>
      <c r="F176" s="79" t="b">
        <v>0</v>
      </c>
      <c r="G176" s="79" t="b">
        <v>0</v>
      </c>
    </row>
    <row r="177" spans="1:7" ht="15">
      <c r="A177" s="85" t="s">
        <v>1861</v>
      </c>
      <c r="B177" s="79">
        <v>4</v>
      </c>
      <c r="C177" s="109">
        <v>0.0021817433514708887</v>
      </c>
      <c r="D177" s="79" t="s">
        <v>2085</v>
      </c>
      <c r="E177" s="79" t="b">
        <v>0</v>
      </c>
      <c r="F177" s="79" t="b">
        <v>0</v>
      </c>
      <c r="G177" s="79" t="b">
        <v>0</v>
      </c>
    </row>
    <row r="178" spans="1:7" ht="15">
      <c r="A178" s="85" t="s">
        <v>1862</v>
      </c>
      <c r="B178" s="79">
        <v>4</v>
      </c>
      <c r="C178" s="109">
        <v>0.0021817433514708887</v>
      </c>
      <c r="D178" s="79" t="s">
        <v>2085</v>
      </c>
      <c r="E178" s="79" t="b">
        <v>0</v>
      </c>
      <c r="F178" s="79" t="b">
        <v>0</v>
      </c>
      <c r="G178" s="79" t="b">
        <v>0</v>
      </c>
    </row>
    <row r="179" spans="1:7" ht="15">
      <c r="A179" s="85" t="s">
        <v>1863</v>
      </c>
      <c r="B179" s="79">
        <v>4</v>
      </c>
      <c r="C179" s="109">
        <v>0.0021817433514708887</v>
      </c>
      <c r="D179" s="79" t="s">
        <v>2085</v>
      </c>
      <c r="E179" s="79" t="b">
        <v>0</v>
      </c>
      <c r="F179" s="79" t="b">
        <v>0</v>
      </c>
      <c r="G179" s="79" t="b">
        <v>0</v>
      </c>
    </row>
    <row r="180" spans="1:7" ht="15">
      <c r="A180" s="85" t="s">
        <v>1864</v>
      </c>
      <c r="B180" s="79">
        <v>4</v>
      </c>
      <c r="C180" s="109">
        <v>0.0021817433514708887</v>
      </c>
      <c r="D180" s="79" t="s">
        <v>2085</v>
      </c>
      <c r="E180" s="79" t="b">
        <v>0</v>
      </c>
      <c r="F180" s="79" t="b">
        <v>0</v>
      </c>
      <c r="G180" s="79" t="b">
        <v>0</v>
      </c>
    </row>
    <row r="181" spans="1:7" ht="15">
      <c r="A181" s="85" t="s">
        <v>1865</v>
      </c>
      <c r="B181" s="79">
        <v>4</v>
      </c>
      <c r="C181" s="109">
        <v>0.0021817433514708887</v>
      </c>
      <c r="D181" s="79" t="s">
        <v>2085</v>
      </c>
      <c r="E181" s="79" t="b">
        <v>0</v>
      </c>
      <c r="F181" s="79" t="b">
        <v>0</v>
      </c>
      <c r="G181" s="79" t="b">
        <v>0</v>
      </c>
    </row>
    <row r="182" spans="1:7" ht="15">
      <c r="A182" s="85" t="s">
        <v>1866</v>
      </c>
      <c r="B182" s="79">
        <v>4</v>
      </c>
      <c r="C182" s="109">
        <v>0.0021817433514708887</v>
      </c>
      <c r="D182" s="79" t="s">
        <v>2085</v>
      </c>
      <c r="E182" s="79" t="b">
        <v>0</v>
      </c>
      <c r="F182" s="79" t="b">
        <v>0</v>
      </c>
      <c r="G182" s="79" t="b">
        <v>0</v>
      </c>
    </row>
    <row r="183" spans="1:7" ht="15">
      <c r="A183" s="85" t="s">
        <v>1867</v>
      </c>
      <c r="B183" s="79">
        <v>4</v>
      </c>
      <c r="C183" s="109">
        <v>0.0021817433514708887</v>
      </c>
      <c r="D183" s="79" t="s">
        <v>2085</v>
      </c>
      <c r="E183" s="79" t="b">
        <v>0</v>
      </c>
      <c r="F183" s="79" t="b">
        <v>0</v>
      </c>
      <c r="G183" s="79" t="b">
        <v>0</v>
      </c>
    </row>
    <row r="184" spans="1:7" ht="15">
      <c r="A184" s="85" t="s">
        <v>1868</v>
      </c>
      <c r="B184" s="79">
        <v>4</v>
      </c>
      <c r="C184" s="109">
        <v>0.0021817433514708887</v>
      </c>
      <c r="D184" s="79" t="s">
        <v>2085</v>
      </c>
      <c r="E184" s="79" t="b">
        <v>0</v>
      </c>
      <c r="F184" s="79" t="b">
        <v>0</v>
      </c>
      <c r="G184" s="79" t="b">
        <v>0</v>
      </c>
    </row>
    <row r="185" spans="1:7" ht="15">
      <c r="A185" s="85" t="s">
        <v>1869</v>
      </c>
      <c r="B185" s="79">
        <v>4</v>
      </c>
      <c r="C185" s="109">
        <v>0.0021817433514708887</v>
      </c>
      <c r="D185" s="79" t="s">
        <v>2085</v>
      </c>
      <c r="E185" s="79" t="b">
        <v>0</v>
      </c>
      <c r="F185" s="79" t="b">
        <v>0</v>
      </c>
      <c r="G185" s="79" t="b">
        <v>0</v>
      </c>
    </row>
    <row r="186" spans="1:7" ht="15">
      <c r="A186" s="85" t="s">
        <v>1870</v>
      </c>
      <c r="B186" s="79">
        <v>4</v>
      </c>
      <c r="C186" s="109">
        <v>0.0021817433514708887</v>
      </c>
      <c r="D186" s="79" t="s">
        <v>2085</v>
      </c>
      <c r="E186" s="79" t="b">
        <v>0</v>
      </c>
      <c r="F186" s="79" t="b">
        <v>0</v>
      </c>
      <c r="G186" s="79" t="b">
        <v>0</v>
      </c>
    </row>
    <row r="187" spans="1:7" ht="15">
      <c r="A187" s="85" t="s">
        <v>1871</v>
      </c>
      <c r="B187" s="79">
        <v>4</v>
      </c>
      <c r="C187" s="109">
        <v>0.0021817433514708887</v>
      </c>
      <c r="D187" s="79" t="s">
        <v>2085</v>
      </c>
      <c r="E187" s="79" t="b">
        <v>0</v>
      </c>
      <c r="F187" s="79" t="b">
        <v>0</v>
      </c>
      <c r="G187" s="79" t="b">
        <v>0</v>
      </c>
    </row>
    <row r="188" spans="1:7" ht="15">
      <c r="A188" s="85" t="s">
        <v>1872</v>
      </c>
      <c r="B188" s="79">
        <v>4</v>
      </c>
      <c r="C188" s="109">
        <v>0.0021817433514708887</v>
      </c>
      <c r="D188" s="79" t="s">
        <v>2085</v>
      </c>
      <c r="E188" s="79" t="b">
        <v>0</v>
      </c>
      <c r="F188" s="79" t="b">
        <v>0</v>
      </c>
      <c r="G188" s="79" t="b">
        <v>0</v>
      </c>
    </row>
    <row r="189" spans="1:7" ht="15">
      <c r="A189" s="85" t="s">
        <v>1873</v>
      </c>
      <c r="B189" s="79">
        <v>4</v>
      </c>
      <c r="C189" s="109">
        <v>0.0021817433514708887</v>
      </c>
      <c r="D189" s="79" t="s">
        <v>2085</v>
      </c>
      <c r="E189" s="79" t="b">
        <v>0</v>
      </c>
      <c r="F189" s="79" t="b">
        <v>0</v>
      </c>
      <c r="G189" s="79" t="b">
        <v>0</v>
      </c>
    </row>
    <row r="190" spans="1:7" ht="15">
      <c r="A190" s="85" t="s">
        <v>1874</v>
      </c>
      <c r="B190" s="79">
        <v>4</v>
      </c>
      <c r="C190" s="109">
        <v>0.0021817433514708887</v>
      </c>
      <c r="D190" s="79" t="s">
        <v>2085</v>
      </c>
      <c r="E190" s="79" t="b">
        <v>0</v>
      </c>
      <c r="F190" s="79" t="b">
        <v>0</v>
      </c>
      <c r="G190" s="79" t="b">
        <v>0</v>
      </c>
    </row>
    <row r="191" spans="1:7" ht="15">
      <c r="A191" s="85" t="s">
        <v>1875</v>
      </c>
      <c r="B191" s="79">
        <v>4</v>
      </c>
      <c r="C191" s="109">
        <v>0.0021817433514708887</v>
      </c>
      <c r="D191" s="79" t="s">
        <v>2085</v>
      </c>
      <c r="E191" s="79" t="b">
        <v>0</v>
      </c>
      <c r="F191" s="79" t="b">
        <v>0</v>
      </c>
      <c r="G191" s="79" t="b">
        <v>0</v>
      </c>
    </row>
    <row r="192" spans="1:7" ht="15">
      <c r="A192" s="85" t="s">
        <v>1876</v>
      </c>
      <c r="B192" s="79">
        <v>4</v>
      </c>
      <c r="C192" s="109">
        <v>0.0021817433514708887</v>
      </c>
      <c r="D192" s="79" t="s">
        <v>2085</v>
      </c>
      <c r="E192" s="79" t="b">
        <v>0</v>
      </c>
      <c r="F192" s="79" t="b">
        <v>0</v>
      </c>
      <c r="G192" s="79" t="b">
        <v>0</v>
      </c>
    </row>
    <row r="193" spans="1:7" ht="15">
      <c r="A193" s="85" t="s">
        <v>1877</v>
      </c>
      <c r="B193" s="79">
        <v>4</v>
      </c>
      <c r="C193" s="109">
        <v>0.0021817433514708887</v>
      </c>
      <c r="D193" s="79" t="s">
        <v>2085</v>
      </c>
      <c r="E193" s="79" t="b">
        <v>0</v>
      </c>
      <c r="F193" s="79" t="b">
        <v>0</v>
      </c>
      <c r="G193" s="79" t="b">
        <v>0</v>
      </c>
    </row>
    <row r="194" spans="1:7" ht="15">
      <c r="A194" s="85" t="s">
        <v>1878</v>
      </c>
      <c r="B194" s="79">
        <v>4</v>
      </c>
      <c r="C194" s="109">
        <v>0.0021817433514708887</v>
      </c>
      <c r="D194" s="79" t="s">
        <v>2085</v>
      </c>
      <c r="E194" s="79" t="b">
        <v>0</v>
      </c>
      <c r="F194" s="79" t="b">
        <v>0</v>
      </c>
      <c r="G194" s="79" t="b">
        <v>0</v>
      </c>
    </row>
    <row r="195" spans="1:7" ht="15">
      <c r="A195" s="85" t="s">
        <v>1879</v>
      </c>
      <c r="B195" s="79">
        <v>4</v>
      </c>
      <c r="C195" s="109">
        <v>0.0021817433514708887</v>
      </c>
      <c r="D195" s="79" t="s">
        <v>2085</v>
      </c>
      <c r="E195" s="79" t="b">
        <v>0</v>
      </c>
      <c r="F195" s="79" t="b">
        <v>0</v>
      </c>
      <c r="G195" s="79" t="b">
        <v>0</v>
      </c>
    </row>
    <row r="196" spans="1:7" ht="15">
      <c r="A196" s="85" t="s">
        <v>1880</v>
      </c>
      <c r="B196" s="79">
        <v>4</v>
      </c>
      <c r="C196" s="109">
        <v>0.0021817433514708887</v>
      </c>
      <c r="D196" s="79" t="s">
        <v>2085</v>
      </c>
      <c r="E196" s="79" t="b">
        <v>0</v>
      </c>
      <c r="F196" s="79" t="b">
        <v>0</v>
      </c>
      <c r="G196" s="79" t="b">
        <v>0</v>
      </c>
    </row>
    <row r="197" spans="1:7" ht="15">
      <c r="A197" s="85" t="s">
        <v>1881</v>
      </c>
      <c r="B197" s="79">
        <v>4</v>
      </c>
      <c r="C197" s="109">
        <v>0.0021817433514708887</v>
      </c>
      <c r="D197" s="79" t="s">
        <v>2085</v>
      </c>
      <c r="E197" s="79" t="b">
        <v>0</v>
      </c>
      <c r="F197" s="79" t="b">
        <v>0</v>
      </c>
      <c r="G197" s="79" t="b">
        <v>0</v>
      </c>
    </row>
    <row r="198" spans="1:7" ht="15">
      <c r="A198" s="85" t="s">
        <v>1882</v>
      </c>
      <c r="B198" s="79">
        <v>4</v>
      </c>
      <c r="C198" s="109">
        <v>0.0021817433514708887</v>
      </c>
      <c r="D198" s="79" t="s">
        <v>2085</v>
      </c>
      <c r="E198" s="79" t="b">
        <v>0</v>
      </c>
      <c r="F198" s="79" t="b">
        <v>0</v>
      </c>
      <c r="G198" s="79" t="b">
        <v>0</v>
      </c>
    </row>
    <row r="199" spans="1:7" ht="15">
      <c r="A199" s="85" t="s">
        <v>1883</v>
      </c>
      <c r="B199" s="79">
        <v>4</v>
      </c>
      <c r="C199" s="109">
        <v>0.0021817433514708887</v>
      </c>
      <c r="D199" s="79" t="s">
        <v>2085</v>
      </c>
      <c r="E199" s="79" t="b">
        <v>0</v>
      </c>
      <c r="F199" s="79" t="b">
        <v>0</v>
      </c>
      <c r="G199" s="79" t="b">
        <v>0</v>
      </c>
    </row>
    <row r="200" spans="1:7" ht="15">
      <c r="A200" s="85" t="s">
        <v>1884</v>
      </c>
      <c r="B200" s="79">
        <v>4</v>
      </c>
      <c r="C200" s="109">
        <v>0.0021817433514708887</v>
      </c>
      <c r="D200" s="79" t="s">
        <v>2085</v>
      </c>
      <c r="E200" s="79" t="b">
        <v>0</v>
      </c>
      <c r="F200" s="79" t="b">
        <v>0</v>
      </c>
      <c r="G200" s="79" t="b">
        <v>0</v>
      </c>
    </row>
    <row r="201" spans="1:7" ht="15">
      <c r="A201" s="85" t="s">
        <v>1885</v>
      </c>
      <c r="B201" s="79">
        <v>4</v>
      </c>
      <c r="C201" s="109">
        <v>0.0021817433514708887</v>
      </c>
      <c r="D201" s="79" t="s">
        <v>2085</v>
      </c>
      <c r="E201" s="79" t="b">
        <v>0</v>
      </c>
      <c r="F201" s="79" t="b">
        <v>0</v>
      </c>
      <c r="G201" s="79" t="b">
        <v>0</v>
      </c>
    </row>
    <row r="202" spans="1:7" ht="15">
      <c r="A202" s="85" t="s">
        <v>1886</v>
      </c>
      <c r="B202" s="79">
        <v>4</v>
      </c>
      <c r="C202" s="109">
        <v>0.0025825822271885734</v>
      </c>
      <c r="D202" s="79" t="s">
        <v>2085</v>
      </c>
      <c r="E202" s="79" t="b">
        <v>0</v>
      </c>
      <c r="F202" s="79" t="b">
        <v>0</v>
      </c>
      <c r="G202" s="79" t="b">
        <v>0</v>
      </c>
    </row>
    <row r="203" spans="1:7" ht="15">
      <c r="A203" s="85" t="s">
        <v>1887</v>
      </c>
      <c r="B203" s="79">
        <v>3</v>
      </c>
      <c r="C203" s="109">
        <v>0.0017610798870468748</v>
      </c>
      <c r="D203" s="79" t="s">
        <v>2085</v>
      </c>
      <c r="E203" s="79" t="b">
        <v>0</v>
      </c>
      <c r="F203" s="79" t="b">
        <v>0</v>
      </c>
      <c r="G203" s="79" t="b">
        <v>0</v>
      </c>
    </row>
    <row r="204" spans="1:7" ht="15">
      <c r="A204" s="85" t="s">
        <v>1888</v>
      </c>
      <c r="B204" s="79">
        <v>3</v>
      </c>
      <c r="C204" s="109">
        <v>0.0017610798870468748</v>
      </c>
      <c r="D204" s="79" t="s">
        <v>2085</v>
      </c>
      <c r="E204" s="79" t="b">
        <v>0</v>
      </c>
      <c r="F204" s="79" t="b">
        <v>0</v>
      </c>
      <c r="G204" s="79" t="b">
        <v>0</v>
      </c>
    </row>
    <row r="205" spans="1:7" ht="15">
      <c r="A205" s="85" t="s">
        <v>1889</v>
      </c>
      <c r="B205" s="79">
        <v>3</v>
      </c>
      <c r="C205" s="109">
        <v>0.0017610798870468748</v>
      </c>
      <c r="D205" s="79" t="s">
        <v>2085</v>
      </c>
      <c r="E205" s="79" t="b">
        <v>0</v>
      </c>
      <c r="F205" s="79" t="b">
        <v>0</v>
      </c>
      <c r="G205" s="79" t="b">
        <v>0</v>
      </c>
    </row>
    <row r="206" spans="1:7" ht="15">
      <c r="A206" s="85" t="s">
        <v>1890</v>
      </c>
      <c r="B206" s="79">
        <v>3</v>
      </c>
      <c r="C206" s="109">
        <v>0.0017610798870468748</v>
      </c>
      <c r="D206" s="79" t="s">
        <v>2085</v>
      </c>
      <c r="E206" s="79" t="b">
        <v>0</v>
      </c>
      <c r="F206" s="79" t="b">
        <v>0</v>
      </c>
      <c r="G206" s="79" t="b">
        <v>0</v>
      </c>
    </row>
    <row r="207" spans="1:7" ht="15">
      <c r="A207" s="85" t="s">
        <v>1891</v>
      </c>
      <c r="B207" s="79">
        <v>3</v>
      </c>
      <c r="C207" s="109">
        <v>0.0017610798870468748</v>
      </c>
      <c r="D207" s="79" t="s">
        <v>2085</v>
      </c>
      <c r="E207" s="79" t="b">
        <v>0</v>
      </c>
      <c r="F207" s="79" t="b">
        <v>0</v>
      </c>
      <c r="G207" s="79" t="b">
        <v>0</v>
      </c>
    </row>
    <row r="208" spans="1:7" ht="15">
      <c r="A208" s="85" t="s">
        <v>1892</v>
      </c>
      <c r="B208" s="79">
        <v>3</v>
      </c>
      <c r="C208" s="109">
        <v>0.0017610798870468748</v>
      </c>
      <c r="D208" s="79" t="s">
        <v>2085</v>
      </c>
      <c r="E208" s="79" t="b">
        <v>0</v>
      </c>
      <c r="F208" s="79" t="b">
        <v>0</v>
      </c>
      <c r="G208" s="79" t="b">
        <v>0</v>
      </c>
    </row>
    <row r="209" spans="1:7" ht="15">
      <c r="A209" s="85" t="s">
        <v>1893</v>
      </c>
      <c r="B209" s="79">
        <v>3</v>
      </c>
      <c r="C209" s="109">
        <v>0.0017610798870468748</v>
      </c>
      <c r="D209" s="79" t="s">
        <v>2085</v>
      </c>
      <c r="E209" s="79" t="b">
        <v>0</v>
      </c>
      <c r="F209" s="79" t="b">
        <v>0</v>
      </c>
      <c r="G209" s="79" t="b">
        <v>0</v>
      </c>
    </row>
    <row r="210" spans="1:7" ht="15">
      <c r="A210" s="85" t="s">
        <v>1894</v>
      </c>
      <c r="B210" s="79">
        <v>3</v>
      </c>
      <c r="C210" s="109">
        <v>0.0017610798870468748</v>
      </c>
      <c r="D210" s="79" t="s">
        <v>2085</v>
      </c>
      <c r="E210" s="79" t="b">
        <v>0</v>
      </c>
      <c r="F210" s="79" t="b">
        <v>0</v>
      </c>
      <c r="G210" s="79" t="b">
        <v>0</v>
      </c>
    </row>
    <row r="211" spans="1:7" ht="15">
      <c r="A211" s="85" t="s">
        <v>1895</v>
      </c>
      <c r="B211" s="79">
        <v>3</v>
      </c>
      <c r="C211" s="109">
        <v>0.0017610798870468748</v>
      </c>
      <c r="D211" s="79" t="s">
        <v>2085</v>
      </c>
      <c r="E211" s="79" t="b">
        <v>0</v>
      </c>
      <c r="F211" s="79" t="b">
        <v>0</v>
      </c>
      <c r="G211" s="79" t="b">
        <v>0</v>
      </c>
    </row>
    <row r="212" spans="1:7" ht="15">
      <c r="A212" s="85" t="s">
        <v>1896</v>
      </c>
      <c r="B212" s="79">
        <v>3</v>
      </c>
      <c r="C212" s="109">
        <v>0.0017610798870468748</v>
      </c>
      <c r="D212" s="79" t="s">
        <v>2085</v>
      </c>
      <c r="E212" s="79" t="b">
        <v>0</v>
      </c>
      <c r="F212" s="79" t="b">
        <v>0</v>
      </c>
      <c r="G212" s="79" t="b">
        <v>0</v>
      </c>
    </row>
    <row r="213" spans="1:7" ht="15">
      <c r="A213" s="85" t="s">
        <v>1897</v>
      </c>
      <c r="B213" s="79">
        <v>3</v>
      </c>
      <c r="C213" s="109">
        <v>0.0017610798870468748</v>
      </c>
      <c r="D213" s="79" t="s">
        <v>2085</v>
      </c>
      <c r="E213" s="79" t="b">
        <v>0</v>
      </c>
      <c r="F213" s="79" t="b">
        <v>0</v>
      </c>
      <c r="G213" s="79" t="b">
        <v>0</v>
      </c>
    </row>
    <row r="214" spans="1:7" ht="15">
      <c r="A214" s="85" t="s">
        <v>1898</v>
      </c>
      <c r="B214" s="79">
        <v>3</v>
      </c>
      <c r="C214" s="109">
        <v>0.0017610798870468748</v>
      </c>
      <c r="D214" s="79" t="s">
        <v>2085</v>
      </c>
      <c r="E214" s="79" t="b">
        <v>0</v>
      </c>
      <c r="F214" s="79" t="b">
        <v>0</v>
      </c>
      <c r="G214" s="79" t="b">
        <v>0</v>
      </c>
    </row>
    <row r="215" spans="1:7" ht="15">
      <c r="A215" s="85" t="s">
        <v>1899</v>
      </c>
      <c r="B215" s="79">
        <v>3</v>
      </c>
      <c r="C215" s="109">
        <v>0.0017610798870468748</v>
      </c>
      <c r="D215" s="79" t="s">
        <v>2085</v>
      </c>
      <c r="E215" s="79" t="b">
        <v>0</v>
      </c>
      <c r="F215" s="79" t="b">
        <v>0</v>
      </c>
      <c r="G215" s="79" t="b">
        <v>0</v>
      </c>
    </row>
    <row r="216" spans="1:7" ht="15">
      <c r="A216" s="85" t="s">
        <v>1900</v>
      </c>
      <c r="B216" s="79">
        <v>3</v>
      </c>
      <c r="C216" s="109">
        <v>0.0017610798870468748</v>
      </c>
      <c r="D216" s="79" t="s">
        <v>2085</v>
      </c>
      <c r="E216" s="79" t="b">
        <v>0</v>
      </c>
      <c r="F216" s="79" t="b">
        <v>0</v>
      </c>
      <c r="G216" s="79" t="b">
        <v>0</v>
      </c>
    </row>
    <row r="217" spans="1:7" ht="15">
      <c r="A217" s="85" t="s">
        <v>1901</v>
      </c>
      <c r="B217" s="79">
        <v>3</v>
      </c>
      <c r="C217" s="109">
        <v>0.0017610798870468748</v>
      </c>
      <c r="D217" s="79" t="s">
        <v>2085</v>
      </c>
      <c r="E217" s="79" t="b">
        <v>0</v>
      </c>
      <c r="F217" s="79" t="b">
        <v>0</v>
      </c>
      <c r="G217" s="79" t="b">
        <v>0</v>
      </c>
    </row>
    <row r="218" spans="1:7" ht="15">
      <c r="A218" s="85" t="s">
        <v>1902</v>
      </c>
      <c r="B218" s="79">
        <v>3</v>
      </c>
      <c r="C218" s="109">
        <v>0.0017610798870468748</v>
      </c>
      <c r="D218" s="79" t="s">
        <v>2085</v>
      </c>
      <c r="E218" s="79" t="b">
        <v>0</v>
      </c>
      <c r="F218" s="79" t="b">
        <v>0</v>
      </c>
      <c r="G218" s="79" t="b">
        <v>0</v>
      </c>
    </row>
    <row r="219" spans="1:7" ht="15">
      <c r="A219" s="85" t="s">
        <v>1903</v>
      </c>
      <c r="B219" s="79">
        <v>3</v>
      </c>
      <c r="C219" s="109">
        <v>0.0017610798870468748</v>
      </c>
      <c r="D219" s="79" t="s">
        <v>2085</v>
      </c>
      <c r="E219" s="79" t="b">
        <v>0</v>
      </c>
      <c r="F219" s="79" t="b">
        <v>0</v>
      </c>
      <c r="G219" s="79" t="b">
        <v>0</v>
      </c>
    </row>
    <row r="220" spans="1:7" ht="15">
      <c r="A220" s="85" t="s">
        <v>1904</v>
      </c>
      <c r="B220" s="79">
        <v>3</v>
      </c>
      <c r="C220" s="109">
        <v>0.0017610798870468748</v>
      </c>
      <c r="D220" s="79" t="s">
        <v>2085</v>
      </c>
      <c r="E220" s="79" t="b">
        <v>0</v>
      </c>
      <c r="F220" s="79" t="b">
        <v>0</v>
      </c>
      <c r="G220" s="79" t="b">
        <v>0</v>
      </c>
    </row>
    <row r="221" spans="1:7" ht="15">
      <c r="A221" s="85" t="s">
        <v>1905</v>
      </c>
      <c r="B221" s="79">
        <v>3</v>
      </c>
      <c r="C221" s="109">
        <v>0.0017610798870468748</v>
      </c>
      <c r="D221" s="79" t="s">
        <v>2085</v>
      </c>
      <c r="E221" s="79" t="b">
        <v>0</v>
      </c>
      <c r="F221" s="79" t="b">
        <v>0</v>
      </c>
      <c r="G221" s="79" t="b">
        <v>0</v>
      </c>
    </row>
    <row r="222" spans="1:7" ht="15">
      <c r="A222" s="85" t="s">
        <v>1906</v>
      </c>
      <c r="B222" s="79">
        <v>3</v>
      </c>
      <c r="C222" s="109">
        <v>0.0017610798870468748</v>
      </c>
      <c r="D222" s="79" t="s">
        <v>2085</v>
      </c>
      <c r="E222" s="79" t="b">
        <v>0</v>
      </c>
      <c r="F222" s="79" t="b">
        <v>0</v>
      </c>
      <c r="G222" s="79" t="b">
        <v>0</v>
      </c>
    </row>
    <row r="223" spans="1:7" ht="15">
      <c r="A223" s="85" t="s">
        <v>1907</v>
      </c>
      <c r="B223" s="79">
        <v>3</v>
      </c>
      <c r="C223" s="109">
        <v>0.0017610798870468748</v>
      </c>
      <c r="D223" s="79" t="s">
        <v>2085</v>
      </c>
      <c r="E223" s="79" t="b">
        <v>0</v>
      </c>
      <c r="F223" s="79" t="b">
        <v>0</v>
      </c>
      <c r="G223" s="79" t="b">
        <v>0</v>
      </c>
    </row>
    <row r="224" spans="1:7" ht="15">
      <c r="A224" s="85" t="s">
        <v>1908</v>
      </c>
      <c r="B224" s="79">
        <v>3</v>
      </c>
      <c r="C224" s="109">
        <v>0.0017610798870468748</v>
      </c>
      <c r="D224" s="79" t="s">
        <v>2085</v>
      </c>
      <c r="E224" s="79" t="b">
        <v>0</v>
      </c>
      <c r="F224" s="79" t="b">
        <v>0</v>
      </c>
      <c r="G224" s="79" t="b">
        <v>0</v>
      </c>
    </row>
    <row r="225" spans="1:7" ht="15">
      <c r="A225" s="85" t="s">
        <v>1909</v>
      </c>
      <c r="B225" s="79">
        <v>3</v>
      </c>
      <c r="C225" s="109">
        <v>0.0017610798870468748</v>
      </c>
      <c r="D225" s="79" t="s">
        <v>2085</v>
      </c>
      <c r="E225" s="79" t="b">
        <v>0</v>
      </c>
      <c r="F225" s="79" t="b">
        <v>0</v>
      </c>
      <c r="G225" s="79" t="b">
        <v>0</v>
      </c>
    </row>
    <row r="226" spans="1:7" ht="15">
      <c r="A226" s="85" t="s">
        <v>1910</v>
      </c>
      <c r="B226" s="79">
        <v>3</v>
      </c>
      <c r="C226" s="109">
        <v>0.0017610798870468748</v>
      </c>
      <c r="D226" s="79" t="s">
        <v>2085</v>
      </c>
      <c r="E226" s="79" t="b">
        <v>0</v>
      </c>
      <c r="F226" s="79" t="b">
        <v>0</v>
      </c>
      <c r="G226" s="79" t="b">
        <v>0</v>
      </c>
    </row>
    <row r="227" spans="1:7" ht="15">
      <c r="A227" s="85" t="s">
        <v>1911</v>
      </c>
      <c r="B227" s="79">
        <v>3</v>
      </c>
      <c r="C227" s="109">
        <v>0.0017610798870468748</v>
      </c>
      <c r="D227" s="79" t="s">
        <v>2085</v>
      </c>
      <c r="E227" s="79" t="b">
        <v>0</v>
      </c>
      <c r="F227" s="79" t="b">
        <v>0</v>
      </c>
      <c r="G227" s="79" t="b">
        <v>0</v>
      </c>
    </row>
    <row r="228" spans="1:7" ht="15">
      <c r="A228" s="85" t="s">
        <v>1912</v>
      </c>
      <c r="B228" s="79">
        <v>3</v>
      </c>
      <c r="C228" s="109">
        <v>0.0017610798870468748</v>
      </c>
      <c r="D228" s="79" t="s">
        <v>2085</v>
      </c>
      <c r="E228" s="79" t="b">
        <v>0</v>
      </c>
      <c r="F228" s="79" t="b">
        <v>0</v>
      </c>
      <c r="G228" s="79" t="b">
        <v>0</v>
      </c>
    </row>
    <row r="229" spans="1:7" ht="15">
      <c r="A229" s="85" t="s">
        <v>1913</v>
      </c>
      <c r="B229" s="79">
        <v>3</v>
      </c>
      <c r="C229" s="109">
        <v>0.0017610798870468748</v>
      </c>
      <c r="D229" s="79" t="s">
        <v>2085</v>
      </c>
      <c r="E229" s="79" t="b">
        <v>0</v>
      </c>
      <c r="F229" s="79" t="b">
        <v>0</v>
      </c>
      <c r="G229" s="79" t="b">
        <v>0</v>
      </c>
    </row>
    <row r="230" spans="1:7" ht="15">
      <c r="A230" s="85" t="s">
        <v>1914</v>
      </c>
      <c r="B230" s="79">
        <v>3</v>
      </c>
      <c r="C230" s="109">
        <v>0.0017610798870468748</v>
      </c>
      <c r="D230" s="79" t="s">
        <v>2085</v>
      </c>
      <c r="E230" s="79" t="b">
        <v>0</v>
      </c>
      <c r="F230" s="79" t="b">
        <v>0</v>
      </c>
      <c r="G230" s="79" t="b">
        <v>0</v>
      </c>
    </row>
    <row r="231" spans="1:7" ht="15">
      <c r="A231" s="85" t="s">
        <v>1915</v>
      </c>
      <c r="B231" s="79">
        <v>3</v>
      </c>
      <c r="C231" s="109">
        <v>0.0017610798870468748</v>
      </c>
      <c r="D231" s="79" t="s">
        <v>2085</v>
      </c>
      <c r="E231" s="79" t="b">
        <v>0</v>
      </c>
      <c r="F231" s="79" t="b">
        <v>0</v>
      </c>
      <c r="G231" s="79" t="b">
        <v>0</v>
      </c>
    </row>
    <row r="232" spans="1:7" ht="15">
      <c r="A232" s="85" t="s">
        <v>1916</v>
      </c>
      <c r="B232" s="79">
        <v>3</v>
      </c>
      <c r="C232" s="109">
        <v>0.0017610798870468748</v>
      </c>
      <c r="D232" s="79" t="s">
        <v>2085</v>
      </c>
      <c r="E232" s="79" t="b">
        <v>0</v>
      </c>
      <c r="F232" s="79" t="b">
        <v>0</v>
      </c>
      <c r="G232" s="79" t="b">
        <v>0</v>
      </c>
    </row>
    <row r="233" spans="1:7" ht="15">
      <c r="A233" s="85" t="s">
        <v>1917</v>
      </c>
      <c r="B233" s="79">
        <v>3</v>
      </c>
      <c r="C233" s="109">
        <v>0.0017610798870468748</v>
      </c>
      <c r="D233" s="79" t="s">
        <v>2085</v>
      </c>
      <c r="E233" s="79" t="b">
        <v>0</v>
      </c>
      <c r="F233" s="79" t="b">
        <v>0</v>
      </c>
      <c r="G233" s="79" t="b">
        <v>0</v>
      </c>
    </row>
    <row r="234" spans="1:7" ht="15">
      <c r="A234" s="85" t="s">
        <v>1918</v>
      </c>
      <c r="B234" s="79">
        <v>3</v>
      </c>
      <c r="C234" s="109">
        <v>0.0017610798870468748</v>
      </c>
      <c r="D234" s="79" t="s">
        <v>2085</v>
      </c>
      <c r="E234" s="79" t="b">
        <v>0</v>
      </c>
      <c r="F234" s="79" t="b">
        <v>0</v>
      </c>
      <c r="G234" s="79" t="b">
        <v>0</v>
      </c>
    </row>
    <row r="235" spans="1:7" ht="15">
      <c r="A235" s="85" t="s">
        <v>1919</v>
      </c>
      <c r="B235" s="79">
        <v>3</v>
      </c>
      <c r="C235" s="109">
        <v>0.0017610798870468748</v>
      </c>
      <c r="D235" s="79" t="s">
        <v>2085</v>
      </c>
      <c r="E235" s="79" t="b">
        <v>0</v>
      </c>
      <c r="F235" s="79" t="b">
        <v>0</v>
      </c>
      <c r="G235" s="79" t="b">
        <v>0</v>
      </c>
    </row>
    <row r="236" spans="1:7" ht="15">
      <c r="A236" s="85" t="s">
        <v>1920</v>
      </c>
      <c r="B236" s="79">
        <v>3</v>
      </c>
      <c r="C236" s="109">
        <v>0.0017610798870468748</v>
      </c>
      <c r="D236" s="79" t="s">
        <v>2085</v>
      </c>
      <c r="E236" s="79" t="b">
        <v>0</v>
      </c>
      <c r="F236" s="79" t="b">
        <v>0</v>
      </c>
      <c r="G236" s="79" t="b">
        <v>0</v>
      </c>
    </row>
    <row r="237" spans="1:7" ht="15">
      <c r="A237" s="85" t="s">
        <v>1921</v>
      </c>
      <c r="B237" s="79">
        <v>3</v>
      </c>
      <c r="C237" s="109">
        <v>0.0017610798870468748</v>
      </c>
      <c r="D237" s="79" t="s">
        <v>2085</v>
      </c>
      <c r="E237" s="79" t="b">
        <v>0</v>
      </c>
      <c r="F237" s="79" t="b">
        <v>0</v>
      </c>
      <c r="G237" s="79" t="b">
        <v>0</v>
      </c>
    </row>
    <row r="238" spans="1:7" ht="15">
      <c r="A238" s="85" t="s">
        <v>1922</v>
      </c>
      <c r="B238" s="79">
        <v>3</v>
      </c>
      <c r="C238" s="109">
        <v>0.0017610798870468748</v>
      </c>
      <c r="D238" s="79" t="s">
        <v>2085</v>
      </c>
      <c r="E238" s="79" t="b">
        <v>0</v>
      </c>
      <c r="F238" s="79" t="b">
        <v>0</v>
      </c>
      <c r="G238" s="79" t="b">
        <v>0</v>
      </c>
    </row>
    <row r="239" spans="1:7" ht="15">
      <c r="A239" s="85" t="s">
        <v>1923</v>
      </c>
      <c r="B239" s="79">
        <v>3</v>
      </c>
      <c r="C239" s="109">
        <v>0.0017610798870468748</v>
      </c>
      <c r="D239" s="79" t="s">
        <v>2085</v>
      </c>
      <c r="E239" s="79" t="b">
        <v>0</v>
      </c>
      <c r="F239" s="79" t="b">
        <v>0</v>
      </c>
      <c r="G239" s="79" t="b">
        <v>0</v>
      </c>
    </row>
    <row r="240" spans="1:7" ht="15">
      <c r="A240" s="85" t="s">
        <v>1924</v>
      </c>
      <c r="B240" s="79">
        <v>3</v>
      </c>
      <c r="C240" s="109">
        <v>0.0017610798870468748</v>
      </c>
      <c r="D240" s="79" t="s">
        <v>2085</v>
      </c>
      <c r="E240" s="79" t="b">
        <v>0</v>
      </c>
      <c r="F240" s="79" t="b">
        <v>0</v>
      </c>
      <c r="G240" s="79" t="b">
        <v>0</v>
      </c>
    </row>
    <row r="241" spans="1:7" ht="15">
      <c r="A241" s="85" t="s">
        <v>1925</v>
      </c>
      <c r="B241" s="79">
        <v>3</v>
      </c>
      <c r="C241" s="109">
        <v>0.0017610798870468748</v>
      </c>
      <c r="D241" s="79" t="s">
        <v>2085</v>
      </c>
      <c r="E241" s="79" t="b">
        <v>0</v>
      </c>
      <c r="F241" s="79" t="b">
        <v>0</v>
      </c>
      <c r="G241" s="79" t="b">
        <v>0</v>
      </c>
    </row>
    <row r="242" spans="1:7" ht="15">
      <c r="A242" s="85" t="s">
        <v>1926</v>
      </c>
      <c r="B242" s="79">
        <v>3</v>
      </c>
      <c r="C242" s="109">
        <v>0.0017610798870468748</v>
      </c>
      <c r="D242" s="79" t="s">
        <v>2085</v>
      </c>
      <c r="E242" s="79" t="b">
        <v>0</v>
      </c>
      <c r="F242" s="79" t="b">
        <v>0</v>
      </c>
      <c r="G242" s="79" t="b">
        <v>0</v>
      </c>
    </row>
    <row r="243" spans="1:7" ht="15">
      <c r="A243" s="85" t="s">
        <v>1927</v>
      </c>
      <c r="B243" s="79">
        <v>3</v>
      </c>
      <c r="C243" s="109">
        <v>0.0017610798870468748</v>
      </c>
      <c r="D243" s="79" t="s">
        <v>2085</v>
      </c>
      <c r="E243" s="79" t="b">
        <v>0</v>
      </c>
      <c r="F243" s="79" t="b">
        <v>0</v>
      </c>
      <c r="G243" s="79" t="b">
        <v>0</v>
      </c>
    </row>
    <row r="244" spans="1:7" ht="15">
      <c r="A244" s="85" t="s">
        <v>1928</v>
      </c>
      <c r="B244" s="79">
        <v>3</v>
      </c>
      <c r="C244" s="109">
        <v>0.0017610798870468748</v>
      </c>
      <c r="D244" s="79" t="s">
        <v>2085</v>
      </c>
      <c r="E244" s="79" t="b">
        <v>0</v>
      </c>
      <c r="F244" s="79" t="b">
        <v>0</v>
      </c>
      <c r="G244" s="79" t="b">
        <v>0</v>
      </c>
    </row>
    <row r="245" spans="1:7" ht="15">
      <c r="A245" s="85" t="s">
        <v>1929</v>
      </c>
      <c r="B245" s="79">
        <v>3</v>
      </c>
      <c r="C245" s="109">
        <v>0.0017610798870468748</v>
      </c>
      <c r="D245" s="79" t="s">
        <v>2085</v>
      </c>
      <c r="E245" s="79" t="b">
        <v>0</v>
      </c>
      <c r="F245" s="79" t="b">
        <v>0</v>
      </c>
      <c r="G245" s="79" t="b">
        <v>0</v>
      </c>
    </row>
    <row r="246" spans="1:7" ht="15">
      <c r="A246" s="85" t="s">
        <v>1930</v>
      </c>
      <c r="B246" s="79">
        <v>3</v>
      </c>
      <c r="C246" s="109">
        <v>0.0017610798870468748</v>
      </c>
      <c r="D246" s="79" t="s">
        <v>2085</v>
      </c>
      <c r="E246" s="79" t="b">
        <v>0</v>
      </c>
      <c r="F246" s="79" t="b">
        <v>0</v>
      </c>
      <c r="G246" s="79" t="b">
        <v>0</v>
      </c>
    </row>
    <row r="247" spans="1:7" ht="15">
      <c r="A247" s="85" t="s">
        <v>1931</v>
      </c>
      <c r="B247" s="79">
        <v>3</v>
      </c>
      <c r="C247" s="109">
        <v>0.0017610798870468748</v>
      </c>
      <c r="D247" s="79" t="s">
        <v>2085</v>
      </c>
      <c r="E247" s="79" t="b">
        <v>0</v>
      </c>
      <c r="F247" s="79" t="b">
        <v>0</v>
      </c>
      <c r="G247" s="79" t="b">
        <v>0</v>
      </c>
    </row>
    <row r="248" spans="1:7" ht="15">
      <c r="A248" s="85" t="s">
        <v>1932</v>
      </c>
      <c r="B248" s="79">
        <v>3</v>
      </c>
      <c r="C248" s="109">
        <v>0.0017610798870468748</v>
      </c>
      <c r="D248" s="79" t="s">
        <v>2085</v>
      </c>
      <c r="E248" s="79" t="b">
        <v>0</v>
      </c>
      <c r="F248" s="79" t="b">
        <v>0</v>
      </c>
      <c r="G248" s="79" t="b">
        <v>0</v>
      </c>
    </row>
    <row r="249" spans="1:7" ht="15">
      <c r="A249" s="85" t="s">
        <v>1933</v>
      </c>
      <c r="B249" s="79">
        <v>3</v>
      </c>
      <c r="C249" s="109">
        <v>0.0017610798870468748</v>
      </c>
      <c r="D249" s="79" t="s">
        <v>2085</v>
      </c>
      <c r="E249" s="79" t="b">
        <v>0</v>
      </c>
      <c r="F249" s="79" t="b">
        <v>0</v>
      </c>
      <c r="G249" s="79" t="b">
        <v>0</v>
      </c>
    </row>
    <row r="250" spans="1:7" ht="15">
      <c r="A250" s="85" t="s">
        <v>1934</v>
      </c>
      <c r="B250" s="79">
        <v>3</v>
      </c>
      <c r="C250" s="109">
        <v>0.0017610798870468748</v>
      </c>
      <c r="D250" s="79" t="s">
        <v>2085</v>
      </c>
      <c r="E250" s="79" t="b">
        <v>0</v>
      </c>
      <c r="F250" s="79" t="b">
        <v>0</v>
      </c>
      <c r="G250" s="79" t="b">
        <v>0</v>
      </c>
    </row>
    <row r="251" spans="1:7" ht="15">
      <c r="A251" s="85" t="s">
        <v>1935</v>
      </c>
      <c r="B251" s="79">
        <v>3</v>
      </c>
      <c r="C251" s="109">
        <v>0.0017610798870468748</v>
      </c>
      <c r="D251" s="79" t="s">
        <v>2085</v>
      </c>
      <c r="E251" s="79" t="b">
        <v>0</v>
      </c>
      <c r="F251" s="79" t="b">
        <v>0</v>
      </c>
      <c r="G251" s="79" t="b">
        <v>0</v>
      </c>
    </row>
    <row r="252" spans="1:7" ht="15">
      <c r="A252" s="85" t="s">
        <v>1936</v>
      </c>
      <c r="B252" s="79">
        <v>3</v>
      </c>
      <c r="C252" s="109">
        <v>0.0017610798870468748</v>
      </c>
      <c r="D252" s="79" t="s">
        <v>2085</v>
      </c>
      <c r="E252" s="79" t="b">
        <v>0</v>
      </c>
      <c r="F252" s="79" t="b">
        <v>0</v>
      </c>
      <c r="G252" s="79" t="b">
        <v>0</v>
      </c>
    </row>
    <row r="253" spans="1:7" ht="15">
      <c r="A253" s="85" t="s">
        <v>1937</v>
      </c>
      <c r="B253" s="79">
        <v>3</v>
      </c>
      <c r="C253" s="109">
        <v>0.0017610798870468748</v>
      </c>
      <c r="D253" s="79" t="s">
        <v>2085</v>
      </c>
      <c r="E253" s="79" t="b">
        <v>0</v>
      </c>
      <c r="F253" s="79" t="b">
        <v>0</v>
      </c>
      <c r="G253" s="79" t="b">
        <v>0</v>
      </c>
    </row>
    <row r="254" spans="1:7" ht="15">
      <c r="A254" s="85" t="s">
        <v>1938</v>
      </c>
      <c r="B254" s="79">
        <v>3</v>
      </c>
      <c r="C254" s="109">
        <v>0.0017610798870468748</v>
      </c>
      <c r="D254" s="79" t="s">
        <v>2085</v>
      </c>
      <c r="E254" s="79" t="b">
        <v>0</v>
      </c>
      <c r="F254" s="79" t="b">
        <v>0</v>
      </c>
      <c r="G254" s="79" t="b">
        <v>0</v>
      </c>
    </row>
    <row r="255" spans="1:7" ht="15">
      <c r="A255" s="85" t="s">
        <v>1939</v>
      </c>
      <c r="B255" s="79">
        <v>3</v>
      </c>
      <c r="C255" s="109">
        <v>0.0017610798870468748</v>
      </c>
      <c r="D255" s="79" t="s">
        <v>2085</v>
      </c>
      <c r="E255" s="79" t="b">
        <v>0</v>
      </c>
      <c r="F255" s="79" t="b">
        <v>0</v>
      </c>
      <c r="G255" s="79" t="b">
        <v>0</v>
      </c>
    </row>
    <row r="256" spans="1:7" ht="15">
      <c r="A256" s="85" t="s">
        <v>1940</v>
      </c>
      <c r="B256" s="79">
        <v>3</v>
      </c>
      <c r="C256" s="109">
        <v>0.0017610798870468748</v>
      </c>
      <c r="D256" s="79" t="s">
        <v>2085</v>
      </c>
      <c r="E256" s="79" t="b">
        <v>0</v>
      </c>
      <c r="F256" s="79" t="b">
        <v>0</v>
      </c>
      <c r="G256" s="79" t="b">
        <v>0</v>
      </c>
    </row>
    <row r="257" spans="1:7" ht="15">
      <c r="A257" s="85" t="s">
        <v>1941</v>
      </c>
      <c r="B257" s="79">
        <v>2</v>
      </c>
      <c r="C257" s="109">
        <v>0.0012912911135942867</v>
      </c>
      <c r="D257" s="79" t="s">
        <v>2085</v>
      </c>
      <c r="E257" s="79" t="b">
        <v>0</v>
      </c>
      <c r="F257" s="79" t="b">
        <v>0</v>
      </c>
      <c r="G257" s="79" t="b">
        <v>0</v>
      </c>
    </row>
    <row r="258" spans="1:7" ht="15">
      <c r="A258" s="85" t="s">
        <v>1942</v>
      </c>
      <c r="B258" s="79">
        <v>2</v>
      </c>
      <c r="C258" s="109">
        <v>0.0012912911135942867</v>
      </c>
      <c r="D258" s="79" t="s">
        <v>2085</v>
      </c>
      <c r="E258" s="79" t="b">
        <v>0</v>
      </c>
      <c r="F258" s="79" t="b">
        <v>0</v>
      </c>
      <c r="G258" s="79" t="b">
        <v>0</v>
      </c>
    </row>
    <row r="259" spans="1:7" ht="15">
      <c r="A259" s="85" t="s">
        <v>1943</v>
      </c>
      <c r="B259" s="79">
        <v>2</v>
      </c>
      <c r="C259" s="109">
        <v>0.0012912911135942867</v>
      </c>
      <c r="D259" s="79" t="s">
        <v>2085</v>
      </c>
      <c r="E259" s="79" t="b">
        <v>0</v>
      </c>
      <c r="F259" s="79" t="b">
        <v>0</v>
      </c>
      <c r="G259" s="79" t="b">
        <v>0</v>
      </c>
    </row>
    <row r="260" spans="1:7" ht="15">
      <c r="A260" s="85" t="s">
        <v>1944</v>
      </c>
      <c r="B260" s="79">
        <v>2</v>
      </c>
      <c r="C260" s="109">
        <v>0.0012912911135942867</v>
      </c>
      <c r="D260" s="79" t="s">
        <v>2085</v>
      </c>
      <c r="E260" s="79" t="b">
        <v>0</v>
      </c>
      <c r="F260" s="79" t="b">
        <v>0</v>
      </c>
      <c r="G260" s="79" t="b">
        <v>0</v>
      </c>
    </row>
    <row r="261" spans="1:7" ht="15">
      <c r="A261" s="85" t="s">
        <v>1945</v>
      </c>
      <c r="B261" s="79">
        <v>2</v>
      </c>
      <c r="C261" s="109">
        <v>0.0012912911135942867</v>
      </c>
      <c r="D261" s="79" t="s">
        <v>2085</v>
      </c>
      <c r="E261" s="79" t="b">
        <v>0</v>
      </c>
      <c r="F261" s="79" t="b">
        <v>0</v>
      </c>
      <c r="G261" s="79" t="b">
        <v>0</v>
      </c>
    </row>
    <row r="262" spans="1:7" ht="15">
      <c r="A262" s="85" t="s">
        <v>1946</v>
      </c>
      <c r="B262" s="79">
        <v>2</v>
      </c>
      <c r="C262" s="109">
        <v>0.0012912911135942867</v>
      </c>
      <c r="D262" s="79" t="s">
        <v>2085</v>
      </c>
      <c r="E262" s="79" t="b">
        <v>0</v>
      </c>
      <c r="F262" s="79" t="b">
        <v>0</v>
      </c>
      <c r="G262" s="79" t="b">
        <v>0</v>
      </c>
    </row>
    <row r="263" spans="1:7" ht="15">
      <c r="A263" s="85" t="s">
        <v>1947</v>
      </c>
      <c r="B263" s="79">
        <v>2</v>
      </c>
      <c r="C263" s="109">
        <v>0.0012912911135942867</v>
      </c>
      <c r="D263" s="79" t="s">
        <v>2085</v>
      </c>
      <c r="E263" s="79" t="b">
        <v>0</v>
      </c>
      <c r="F263" s="79" t="b">
        <v>0</v>
      </c>
      <c r="G263" s="79" t="b">
        <v>0</v>
      </c>
    </row>
    <row r="264" spans="1:7" ht="15">
      <c r="A264" s="85" t="s">
        <v>1948</v>
      </c>
      <c r="B264" s="79">
        <v>2</v>
      </c>
      <c r="C264" s="109">
        <v>0.0012912911135942867</v>
      </c>
      <c r="D264" s="79" t="s">
        <v>2085</v>
      </c>
      <c r="E264" s="79" t="b">
        <v>0</v>
      </c>
      <c r="F264" s="79" t="b">
        <v>0</v>
      </c>
      <c r="G264" s="79" t="b">
        <v>0</v>
      </c>
    </row>
    <row r="265" spans="1:7" ht="15">
      <c r="A265" s="85" t="s">
        <v>1949</v>
      </c>
      <c r="B265" s="79">
        <v>2</v>
      </c>
      <c r="C265" s="109">
        <v>0.0012912911135942867</v>
      </c>
      <c r="D265" s="79" t="s">
        <v>2085</v>
      </c>
      <c r="E265" s="79" t="b">
        <v>0</v>
      </c>
      <c r="F265" s="79" t="b">
        <v>0</v>
      </c>
      <c r="G265" s="79" t="b">
        <v>0</v>
      </c>
    </row>
    <row r="266" spans="1:7" ht="15">
      <c r="A266" s="85" t="s">
        <v>1950</v>
      </c>
      <c r="B266" s="79">
        <v>2</v>
      </c>
      <c r="C266" s="109">
        <v>0.0012912911135942867</v>
      </c>
      <c r="D266" s="79" t="s">
        <v>2085</v>
      </c>
      <c r="E266" s="79" t="b">
        <v>0</v>
      </c>
      <c r="F266" s="79" t="b">
        <v>0</v>
      </c>
      <c r="G266" s="79" t="b">
        <v>0</v>
      </c>
    </row>
    <row r="267" spans="1:7" ht="15">
      <c r="A267" s="85" t="s">
        <v>1951</v>
      </c>
      <c r="B267" s="79">
        <v>2</v>
      </c>
      <c r="C267" s="109">
        <v>0.0012912911135942867</v>
      </c>
      <c r="D267" s="79" t="s">
        <v>2085</v>
      </c>
      <c r="E267" s="79" t="b">
        <v>0</v>
      </c>
      <c r="F267" s="79" t="b">
        <v>0</v>
      </c>
      <c r="G267" s="79" t="b">
        <v>0</v>
      </c>
    </row>
    <row r="268" spans="1:7" ht="15">
      <c r="A268" s="85" t="s">
        <v>1952</v>
      </c>
      <c r="B268" s="79">
        <v>2</v>
      </c>
      <c r="C268" s="109">
        <v>0.0012912911135942867</v>
      </c>
      <c r="D268" s="79" t="s">
        <v>2085</v>
      </c>
      <c r="E268" s="79" t="b">
        <v>0</v>
      </c>
      <c r="F268" s="79" t="b">
        <v>0</v>
      </c>
      <c r="G268" s="79" t="b">
        <v>0</v>
      </c>
    </row>
    <row r="269" spans="1:7" ht="15">
      <c r="A269" s="85" t="s">
        <v>1953</v>
      </c>
      <c r="B269" s="79">
        <v>2</v>
      </c>
      <c r="C269" s="109">
        <v>0.0012912911135942867</v>
      </c>
      <c r="D269" s="79" t="s">
        <v>2085</v>
      </c>
      <c r="E269" s="79" t="b">
        <v>0</v>
      </c>
      <c r="F269" s="79" t="b">
        <v>0</v>
      </c>
      <c r="G269" s="79" t="b">
        <v>0</v>
      </c>
    </row>
    <row r="270" spans="1:7" ht="15">
      <c r="A270" s="85" t="s">
        <v>1954</v>
      </c>
      <c r="B270" s="79">
        <v>2</v>
      </c>
      <c r="C270" s="109">
        <v>0.0012912911135942867</v>
      </c>
      <c r="D270" s="79" t="s">
        <v>2085</v>
      </c>
      <c r="E270" s="79" t="b">
        <v>0</v>
      </c>
      <c r="F270" s="79" t="b">
        <v>0</v>
      </c>
      <c r="G270" s="79" t="b">
        <v>0</v>
      </c>
    </row>
    <row r="271" spans="1:7" ht="15">
      <c r="A271" s="85" t="s">
        <v>1955</v>
      </c>
      <c r="B271" s="79">
        <v>2</v>
      </c>
      <c r="C271" s="109">
        <v>0.0012912911135942867</v>
      </c>
      <c r="D271" s="79" t="s">
        <v>2085</v>
      </c>
      <c r="E271" s="79" t="b">
        <v>0</v>
      </c>
      <c r="F271" s="79" t="b">
        <v>0</v>
      </c>
      <c r="G271" s="79" t="b">
        <v>0</v>
      </c>
    </row>
    <row r="272" spans="1:7" ht="15">
      <c r="A272" s="85" t="s">
        <v>1956</v>
      </c>
      <c r="B272" s="79">
        <v>2</v>
      </c>
      <c r="C272" s="109">
        <v>0.0012912911135942867</v>
      </c>
      <c r="D272" s="79" t="s">
        <v>2085</v>
      </c>
      <c r="E272" s="79" t="b">
        <v>0</v>
      </c>
      <c r="F272" s="79" t="b">
        <v>0</v>
      </c>
      <c r="G272" s="79" t="b">
        <v>0</v>
      </c>
    </row>
    <row r="273" spans="1:7" ht="15">
      <c r="A273" s="85" t="s">
        <v>1957</v>
      </c>
      <c r="B273" s="79">
        <v>2</v>
      </c>
      <c r="C273" s="109">
        <v>0.0012912911135942867</v>
      </c>
      <c r="D273" s="79" t="s">
        <v>2085</v>
      </c>
      <c r="E273" s="79" t="b">
        <v>0</v>
      </c>
      <c r="F273" s="79" t="b">
        <v>0</v>
      </c>
      <c r="G273" s="79" t="b">
        <v>0</v>
      </c>
    </row>
    <row r="274" spans="1:7" ht="15">
      <c r="A274" s="85" t="s">
        <v>1958</v>
      </c>
      <c r="B274" s="79">
        <v>2</v>
      </c>
      <c r="C274" s="109">
        <v>0.0012912911135942867</v>
      </c>
      <c r="D274" s="79" t="s">
        <v>2085</v>
      </c>
      <c r="E274" s="79" t="b">
        <v>0</v>
      </c>
      <c r="F274" s="79" t="b">
        <v>0</v>
      </c>
      <c r="G274" s="79" t="b">
        <v>0</v>
      </c>
    </row>
    <row r="275" spans="1:7" ht="15">
      <c r="A275" s="85" t="s">
        <v>1959</v>
      </c>
      <c r="B275" s="79">
        <v>2</v>
      </c>
      <c r="C275" s="109">
        <v>0.0012912911135942867</v>
      </c>
      <c r="D275" s="79" t="s">
        <v>2085</v>
      </c>
      <c r="E275" s="79" t="b">
        <v>0</v>
      </c>
      <c r="F275" s="79" t="b">
        <v>0</v>
      </c>
      <c r="G275" s="79" t="b">
        <v>0</v>
      </c>
    </row>
    <row r="276" spans="1:7" ht="15">
      <c r="A276" s="85" t="s">
        <v>1960</v>
      </c>
      <c r="B276" s="79">
        <v>2</v>
      </c>
      <c r="C276" s="109">
        <v>0.0012912911135942867</v>
      </c>
      <c r="D276" s="79" t="s">
        <v>2085</v>
      </c>
      <c r="E276" s="79" t="b">
        <v>0</v>
      </c>
      <c r="F276" s="79" t="b">
        <v>0</v>
      </c>
      <c r="G276" s="79" t="b">
        <v>0</v>
      </c>
    </row>
    <row r="277" spans="1:7" ht="15">
      <c r="A277" s="85" t="s">
        <v>1961</v>
      </c>
      <c r="B277" s="79">
        <v>2</v>
      </c>
      <c r="C277" s="109">
        <v>0.0012912911135942867</v>
      </c>
      <c r="D277" s="79" t="s">
        <v>2085</v>
      </c>
      <c r="E277" s="79" t="b">
        <v>0</v>
      </c>
      <c r="F277" s="79" t="b">
        <v>0</v>
      </c>
      <c r="G277" s="79" t="b">
        <v>0</v>
      </c>
    </row>
    <row r="278" spans="1:7" ht="15">
      <c r="A278" s="85" t="s">
        <v>1962</v>
      </c>
      <c r="B278" s="79">
        <v>2</v>
      </c>
      <c r="C278" s="109">
        <v>0.0012912911135942867</v>
      </c>
      <c r="D278" s="79" t="s">
        <v>2085</v>
      </c>
      <c r="E278" s="79" t="b">
        <v>0</v>
      </c>
      <c r="F278" s="79" t="b">
        <v>0</v>
      </c>
      <c r="G278" s="79" t="b">
        <v>0</v>
      </c>
    </row>
    <row r="279" spans="1:7" ht="15">
      <c r="A279" s="85" t="s">
        <v>1963</v>
      </c>
      <c r="B279" s="79">
        <v>2</v>
      </c>
      <c r="C279" s="109">
        <v>0.0012912911135942867</v>
      </c>
      <c r="D279" s="79" t="s">
        <v>2085</v>
      </c>
      <c r="E279" s="79" t="b">
        <v>0</v>
      </c>
      <c r="F279" s="79" t="b">
        <v>0</v>
      </c>
      <c r="G279" s="79" t="b">
        <v>0</v>
      </c>
    </row>
    <row r="280" spans="1:7" ht="15">
      <c r="A280" s="85" t="s">
        <v>1964</v>
      </c>
      <c r="B280" s="79">
        <v>2</v>
      </c>
      <c r="C280" s="109">
        <v>0.0012912911135942867</v>
      </c>
      <c r="D280" s="79" t="s">
        <v>2085</v>
      </c>
      <c r="E280" s="79" t="b">
        <v>0</v>
      </c>
      <c r="F280" s="79" t="b">
        <v>0</v>
      </c>
      <c r="G280" s="79" t="b">
        <v>0</v>
      </c>
    </row>
    <row r="281" spans="1:7" ht="15">
      <c r="A281" s="85" t="s">
        <v>1965</v>
      </c>
      <c r="B281" s="79">
        <v>2</v>
      </c>
      <c r="C281" s="109">
        <v>0.0012912911135942867</v>
      </c>
      <c r="D281" s="79" t="s">
        <v>2085</v>
      </c>
      <c r="E281" s="79" t="b">
        <v>0</v>
      </c>
      <c r="F281" s="79" t="b">
        <v>0</v>
      </c>
      <c r="G281" s="79" t="b">
        <v>0</v>
      </c>
    </row>
    <row r="282" spans="1:7" ht="15">
      <c r="A282" s="85" t="s">
        <v>1966</v>
      </c>
      <c r="B282" s="79">
        <v>2</v>
      </c>
      <c r="C282" s="109">
        <v>0.0012912911135942867</v>
      </c>
      <c r="D282" s="79" t="s">
        <v>2085</v>
      </c>
      <c r="E282" s="79" t="b">
        <v>0</v>
      </c>
      <c r="F282" s="79" t="b">
        <v>1</v>
      </c>
      <c r="G282" s="79" t="b">
        <v>0</v>
      </c>
    </row>
    <row r="283" spans="1:7" ht="15">
      <c r="A283" s="85" t="s">
        <v>1967</v>
      </c>
      <c r="B283" s="79">
        <v>2</v>
      </c>
      <c r="C283" s="109">
        <v>0.0012912911135942867</v>
      </c>
      <c r="D283" s="79" t="s">
        <v>2085</v>
      </c>
      <c r="E283" s="79" t="b">
        <v>0</v>
      </c>
      <c r="F283" s="79" t="b">
        <v>0</v>
      </c>
      <c r="G283" s="79" t="b">
        <v>0</v>
      </c>
    </row>
    <row r="284" spans="1:7" ht="15">
      <c r="A284" s="85" t="s">
        <v>1968</v>
      </c>
      <c r="B284" s="79">
        <v>2</v>
      </c>
      <c r="C284" s="109">
        <v>0.0012912911135942867</v>
      </c>
      <c r="D284" s="79" t="s">
        <v>2085</v>
      </c>
      <c r="E284" s="79" t="b">
        <v>0</v>
      </c>
      <c r="F284" s="79" t="b">
        <v>0</v>
      </c>
      <c r="G284" s="79" t="b">
        <v>0</v>
      </c>
    </row>
    <row r="285" spans="1:7" ht="15">
      <c r="A285" s="85" t="s">
        <v>1969</v>
      </c>
      <c r="B285" s="79">
        <v>2</v>
      </c>
      <c r="C285" s="109">
        <v>0.0012912911135942867</v>
      </c>
      <c r="D285" s="79" t="s">
        <v>2085</v>
      </c>
      <c r="E285" s="79" t="b">
        <v>0</v>
      </c>
      <c r="F285" s="79" t="b">
        <v>0</v>
      </c>
      <c r="G285" s="79" t="b">
        <v>0</v>
      </c>
    </row>
    <row r="286" spans="1:7" ht="15">
      <c r="A286" s="85" t="s">
        <v>1970</v>
      </c>
      <c r="B286" s="79">
        <v>2</v>
      </c>
      <c r="C286" s="109">
        <v>0.0012912911135942867</v>
      </c>
      <c r="D286" s="79" t="s">
        <v>2085</v>
      </c>
      <c r="E286" s="79" t="b">
        <v>0</v>
      </c>
      <c r="F286" s="79" t="b">
        <v>0</v>
      </c>
      <c r="G286" s="79" t="b">
        <v>0</v>
      </c>
    </row>
    <row r="287" spans="1:7" ht="15">
      <c r="A287" s="85" t="s">
        <v>1971</v>
      </c>
      <c r="B287" s="79">
        <v>2</v>
      </c>
      <c r="C287" s="109">
        <v>0.0012912911135942867</v>
      </c>
      <c r="D287" s="79" t="s">
        <v>2085</v>
      </c>
      <c r="E287" s="79" t="b">
        <v>0</v>
      </c>
      <c r="F287" s="79" t="b">
        <v>0</v>
      </c>
      <c r="G287" s="79" t="b">
        <v>0</v>
      </c>
    </row>
    <row r="288" spans="1:7" ht="15">
      <c r="A288" s="85" t="s">
        <v>1972</v>
      </c>
      <c r="B288" s="79">
        <v>2</v>
      </c>
      <c r="C288" s="109">
        <v>0.0012912911135942867</v>
      </c>
      <c r="D288" s="79" t="s">
        <v>2085</v>
      </c>
      <c r="E288" s="79" t="b">
        <v>0</v>
      </c>
      <c r="F288" s="79" t="b">
        <v>0</v>
      </c>
      <c r="G288" s="79" t="b">
        <v>0</v>
      </c>
    </row>
    <row r="289" spans="1:7" ht="15">
      <c r="A289" s="85" t="s">
        <v>1973</v>
      </c>
      <c r="B289" s="79">
        <v>2</v>
      </c>
      <c r="C289" s="109">
        <v>0.0012912911135942867</v>
      </c>
      <c r="D289" s="79" t="s">
        <v>2085</v>
      </c>
      <c r="E289" s="79" t="b">
        <v>0</v>
      </c>
      <c r="F289" s="79" t="b">
        <v>0</v>
      </c>
      <c r="G289" s="79" t="b">
        <v>0</v>
      </c>
    </row>
    <row r="290" spans="1:7" ht="15">
      <c r="A290" s="85" t="s">
        <v>1974</v>
      </c>
      <c r="B290" s="79">
        <v>2</v>
      </c>
      <c r="C290" s="109">
        <v>0.0012912911135942867</v>
      </c>
      <c r="D290" s="79" t="s">
        <v>2085</v>
      </c>
      <c r="E290" s="79" t="b">
        <v>0</v>
      </c>
      <c r="F290" s="79" t="b">
        <v>0</v>
      </c>
      <c r="G290" s="79" t="b">
        <v>0</v>
      </c>
    </row>
    <row r="291" spans="1:7" ht="15">
      <c r="A291" s="85" t="s">
        <v>1975</v>
      </c>
      <c r="B291" s="79">
        <v>2</v>
      </c>
      <c r="C291" s="109">
        <v>0.0012912911135942867</v>
      </c>
      <c r="D291" s="79" t="s">
        <v>2085</v>
      </c>
      <c r="E291" s="79" t="b">
        <v>0</v>
      </c>
      <c r="F291" s="79" t="b">
        <v>0</v>
      </c>
      <c r="G291" s="79" t="b">
        <v>0</v>
      </c>
    </row>
    <row r="292" spans="1:7" ht="15">
      <c r="A292" s="85" t="s">
        <v>1976</v>
      </c>
      <c r="B292" s="79">
        <v>2</v>
      </c>
      <c r="C292" s="109">
        <v>0.0012912911135942867</v>
      </c>
      <c r="D292" s="79" t="s">
        <v>2085</v>
      </c>
      <c r="E292" s="79" t="b">
        <v>0</v>
      </c>
      <c r="F292" s="79" t="b">
        <v>0</v>
      </c>
      <c r="G292" s="79" t="b">
        <v>0</v>
      </c>
    </row>
    <row r="293" spans="1:7" ht="15">
      <c r="A293" s="85" t="s">
        <v>1977</v>
      </c>
      <c r="B293" s="79">
        <v>2</v>
      </c>
      <c r="C293" s="109">
        <v>0.0012912911135942867</v>
      </c>
      <c r="D293" s="79" t="s">
        <v>2085</v>
      </c>
      <c r="E293" s="79" t="b">
        <v>0</v>
      </c>
      <c r="F293" s="79" t="b">
        <v>0</v>
      </c>
      <c r="G293" s="79" t="b">
        <v>0</v>
      </c>
    </row>
    <row r="294" spans="1:7" ht="15">
      <c r="A294" s="85" t="s">
        <v>1978</v>
      </c>
      <c r="B294" s="79">
        <v>2</v>
      </c>
      <c r="C294" s="109">
        <v>0.0012912911135942867</v>
      </c>
      <c r="D294" s="79" t="s">
        <v>2085</v>
      </c>
      <c r="E294" s="79" t="b">
        <v>0</v>
      </c>
      <c r="F294" s="79" t="b">
        <v>0</v>
      </c>
      <c r="G294" s="79" t="b">
        <v>0</v>
      </c>
    </row>
    <row r="295" spans="1:7" ht="15">
      <c r="A295" s="85" t="s">
        <v>1979</v>
      </c>
      <c r="B295" s="79">
        <v>2</v>
      </c>
      <c r="C295" s="109">
        <v>0.0012912911135942867</v>
      </c>
      <c r="D295" s="79" t="s">
        <v>2085</v>
      </c>
      <c r="E295" s="79" t="b">
        <v>0</v>
      </c>
      <c r="F295" s="79" t="b">
        <v>0</v>
      </c>
      <c r="G295" s="79" t="b">
        <v>0</v>
      </c>
    </row>
    <row r="296" spans="1:7" ht="15">
      <c r="A296" s="85" t="s">
        <v>369</v>
      </c>
      <c r="B296" s="79">
        <v>2</v>
      </c>
      <c r="C296" s="109">
        <v>0.0012912911135942867</v>
      </c>
      <c r="D296" s="79" t="s">
        <v>2085</v>
      </c>
      <c r="E296" s="79" t="b">
        <v>0</v>
      </c>
      <c r="F296" s="79" t="b">
        <v>0</v>
      </c>
      <c r="G296" s="79" t="b">
        <v>0</v>
      </c>
    </row>
    <row r="297" spans="1:7" ht="15">
      <c r="A297" s="85" t="s">
        <v>1980</v>
      </c>
      <c r="B297" s="79">
        <v>2</v>
      </c>
      <c r="C297" s="109">
        <v>0.0012912911135942867</v>
      </c>
      <c r="D297" s="79" t="s">
        <v>2085</v>
      </c>
      <c r="E297" s="79" t="b">
        <v>0</v>
      </c>
      <c r="F297" s="79" t="b">
        <v>0</v>
      </c>
      <c r="G297" s="79" t="b">
        <v>0</v>
      </c>
    </row>
    <row r="298" spans="1:7" ht="15">
      <c r="A298" s="85" t="s">
        <v>1981</v>
      </c>
      <c r="B298" s="79">
        <v>2</v>
      </c>
      <c r="C298" s="109">
        <v>0.0012912911135942867</v>
      </c>
      <c r="D298" s="79" t="s">
        <v>2085</v>
      </c>
      <c r="E298" s="79" t="b">
        <v>0</v>
      </c>
      <c r="F298" s="79" t="b">
        <v>0</v>
      </c>
      <c r="G298" s="79" t="b">
        <v>0</v>
      </c>
    </row>
    <row r="299" spans="1:7" ht="15">
      <c r="A299" s="85" t="s">
        <v>1982</v>
      </c>
      <c r="B299" s="79">
        <v>2</v>
      </c>
      <c r="C299" s="109">
        <v>0.0012912911135942867</v>
      </c>
      <c r="D299" s="79" t="s">
        <v>2085</v>
      </c>
      <c r="E299" s="79" t="b">
        <v>0</v>
      </c>
      <c r="F299" s="79" t="b">
        <v>0</v>
      </c>
      <c r="G299" s="79" t="b">
        <v>0</v>
      </c>
    </row>
    <row r="300" spans="1:7" ht="15">
      <c r="A300" s="85" t="s">
        <v>1983</v>
      </c>
      <c r="B300" s="79">
        <v>2</v>
      </c>
      <c r="C300" s="109">
        <v>0.0012912911135942867</v>
      </c>
      <c r="D300" s="79" t="s">
        <v>2085</v>
      </c>
      <c r="E300" s="79" t="b">
        <v>0</v>
      </c>
      <c r="F300" s="79" t="b">
        <v>0</v>
      </c>
      <c r="G300" s="79" t="b">
        <v>0</v>
      </c>
    </row>
    <row r="301" spans="1:7" ht="15">
      <c r="A301" s="85" t="s">
        <v>1984</v>
      </c>
      <c r="B301" s="79">
        <v>2</v>
      </c>
      <c r="C301" s="109">
        <v>0.0012912911135942867</v>
      </c>
      <c r="D301" s="79" t="s">
        <v>2085</v>
      </c>
      <c r="E301" s="79" t="b">
        <v>0</v>
      </c>
      <c r="F301" s="79" t="b">
        <v>0</v>
      </c>
      <c r="G301" s="79" t="b">
        <v>0</v>
      </c>
    </row>
    <row r="302" spans="1:7" ht="15">
      <c r="A302" s="85" t="s">
        <v>1985</v>
      </c>
      <c r="B302" s="79">
        <v>2</v>
      </c>
      <c r="C302" s="109">
        <v>0.0012912911135942867</v>
      </c>
      <c r="D302" s="79" t="s">
        <v>2085</v>
      </c>
      <c r="E302" s="79" t="b">
        <v>0</v>
      </c>
      <c r="F302" s="79" t="b">
        <v>0</v>
      </c>
      <c r="G302" s="79" t="b">
        <v>0</v>
      </c>
    </row>
    <row r="303" spans="1:7" ht="15">
      <c r="A303" s="85" t="s">
        <v>1986</v>
      </c>
      <c r="B303" s="79">
        <v>2</v>
      </c>
      <c r="C303" s="109">
        <v>0.0012912911135942867</v>
      </c>
      <c r="D303" s="79" t="s">
        <v>2085</v>
      </c>
      <c r="E303" s="79" t="b">
        <v>0</v>
      </c>
      <c r="F303" s="79" t="b">
        <v>0</v>
      </c>
      <c r="G303" s="79" t="b">
        <v>0</v>
      </c>
    </row>
    <row r="304" spans="1:7" ht="15">
      <c r="A304" s="85" t="s">
        <v>1038</v>
      </c>
      <c r="B304" s="79">
        <v>2</v>
      </c>
      <c r="C304" s="109">
        <v>0.0012912911135942867</v>
      </c>
      <c r="D304" s="79" t="s">
        <v>2085</v>
      </c>
      <c r="E304" s="79" t="b">
        <v>0</v>
      </c>
      <c r="F304" s="79" t="b">
        <v>0</v>
      </c>
      <c r="G304" s="79" t="b">
        <v>0</v>
      </c>
    </row>
    <row r="305" spans="1:7" ht="15">
      <c r="A305" s="85" t="s">
        <v>1987</v>
      </c>
      <c r="B305" s="79">
        <v>2</v>
      </c>
      <c r="C305" s="109">
        <v>0.0012912911135942867</v>
      </c>
      <c r="D305" s="79" t="s">
        <v>2085</v>
      </c>
      <c r="E305" s="79" t="b">
        <v>0</v>
      </c>
      <c r="F305" s="79" t="b">
        <v>0</v>
      </c>
      <c r="G305" s="79" t="b">
        <v>0</v>
      </c>
    </row>
    <row r="306" spans="1:7" ht="15">
      <c r="A306" s="85" t="s">
        <v>1988</v>
      </c>
      <c r="B306" s="79">
        <v>2</v>
      </c>
      <c r="C306" s="109">
        <v>0.0012912911135942867</v>
      </c>
      <c r="D306" s="79" t="s">
        <v>2085</v>
      </c>
      <c r="E306" s="79" t="b">
        <v>0</v>
      </c>
      <c r="F306" s="79" t="b">
        <v>0</v>
      </c>
      <c r="G306" s="79" t="b">
        <v>0</v>
      </c>
    </row>
    <row r="307" spans="1:7" ht="15">
      <c r="A307" s="85" t="s">
        <v>1989</v>
      </c>
      <c r="B307" s="79">
        <v>2</v>
      </c>
      <c r="C307" s="109">
        <v>0.0012912911135942867</v>
      </c>
      <c r="D307" s="79" t="s">
        <v>2085</v>
      </c>
      <c r="E307" s="79" t="b">
        <v>0</v>
      </c>
      <c r="F307" s="79" t="b">
        <v>0</v>
      </c>
      <c r="G307" s="79" t="b">
        <v>0</v>
      </c>
    </row>
    <row r="308" spans="1:7" ht="15">
      <c r="A308" s="85" t="s">
        <v>1990</v>
      </c>
      <c r="B308" s="79">
        <v>2</v>
      </c>
      <c r="C308" s="109">
        <v>0.0012912911135942867</v>
      </c>
      <c r="D308" s="79" t="s">
        <v>2085</v>
      </c>
      <c r="E308" s="79" t="b">
        <v>0</v>
      </c>
      <c r="F308" s="79" t="b">
        <v>0</v>
      </c>
      <c r="G308" s="79" t="b">
        <v>0</v>
      </c>
    </row>
    <row r="309" spans="1:7" ht="15">
      <c r="A309" s="85" t="s">
        <v>1991</v>
      </c>
      <c r="B309" s="79">
        <v>2</v>
      </c>
      <c r="C309" s="109">
        <v>0.0012912911135942867</v>
      </c>
      <c r="D309" s="79" t="s">
        <v>2085</v>
      </c>
      <c r="E309" s="79" t="b">
        <v>0</v>
      </c>
      <c r="F309" s="79" t="b">
        <v>0</v>
      </c>
      <c r="G309" s="79" t="b">
        <v>0</v>
      </c>
    </row>
    <row r="310" spans="1:7" ht="15">
      <c r="A310" s="85" t="s">
        <v>1992</v>
      </c>
      <c r="B310" s="79">
        <v>2</v>
      </c>
      <c r="C310" s="109">
        <v>0.0012912911135942867</v>
      </c>
      <c r="D310" s="79" t="s">
        <v>2085</v>
      </c>
      <c r="E310" s="79" t="b">
        <v>0</v>
      </c>
      <c r="F310" s="79" t="b">
        <v>0</v>
      </c>
      <c r="G310" s="79" t="b">
        <v>0</v>
      </c>
    </row>
    <row r="311" spans="1:7" ht="15">
      <c r="A311" s="85" t="s">
        <v>1993</v>
      </c>
      <c r="B311" s="79">
        <v>2</v>
      </c>
      <c r="C311" s="109">
        <v>0.0012912911135942867</v>
      </c>
      <c r="D311" s="79" t="s">
        <v>2085</v>
      </c>
      <c r="E311" s="79" t="b">
        <v>0</v>
      </c>
      <c r="F311" s="79" t="b">
        <v>0</v>
      </c>
      <c r="G311" s="79" t="b">
        <v>0</v>
      </c>
    </row>
    <row r="312" spans="1:7" ht="15">
      <c r="A312" s="85" t="s">
        <v>1994</v>
      </c>
      <c r="B312" s="79">
        <v>2</v>
      </c>
      <c r="C312" s="109">
        <v>0.0012912911135942867</v>
      </c>
      <c r="D312" s="79" t="s">
        <v>2085</v>
      </c>
      <c r="E312" s="79" t="b">
        <v>0</v>
      </c>
      <c r="F312" s="79" t="b">
        <v>0</v>
      </c>
      <c r="G312" s="79" t="b">
        <v>0</v>
      </c>
    </row>
    <row r="313" spans="1:7" ht="15">
      <c r="A313" s="85" t="s">
        <v>1995</v>
      </c>
      <c r="B313" s="79">
        <v>2</v>
      </c>
      <c r="C313" s="109">
        <v>0.0012912911135942867</v>
      </c>
      <c r="D313" s="79" t="s">
        <v>2085</v>
      </c>
      <c r="E313" s="79" t="b">
        <v>0</v>
      </c>
      <c r="F313" s="79" t="b">
        <v>0</v>
      </c>
      <c r="G313" s="79" t="b">
        <v>0</v>
      </c>
    </row>
    <row r="314" spans="1:7" ht="15">
      <c r="A314" s="85" t="s">
        <v>1996</v>
      </c>
      <c r="B314" s="79">
        <v>2</v>
      </c>
      <c r="C314" s="109">
        <v>0.0012912911135942867</v>
      </c>
      <c r="D314" s="79" t="s">
        <v>2085</v>
      </c>
      <c r="E314" s="79" t="b">
        <v>0</v>
      </c>
      <c r="F314" s="79" t="b">
        <v>0</v>
      </c>
      <c r="G314" s="79" t="b">
        <v>0</v>
      </c>
    </row>
    <row r="315" spans="1:7" ht="15">
      <c r="A315" s="85" t="s">
        <v>1997</v>
      </c>
      <c r="B315" s="79">
        <v>2</v>
      </c>
      <c r="C315" s="109">
        <v>0.0012912911135942867</v>
      </c>
      <c r="D315" s="79" t="s">
        <v>2085</v>
      </c>
      <c r="E315" s="79" t="b">
        <v>0</v>
      </c>
      <c r="F315" s="79" t="b">
        <v>0</v>
      </c>
      <c r="G315" s="79" t="b">
        <v>0</v>
      </c>
    </row>
    <row r="316" spans="1:7" ht="15">
      <c r="A316" s="85" t="s">
        <v>1998</v>
      </c>
      <c r="B316" s="79">
        <v>2</v>
      </c>
      <c r="C316" s="109">
        <v>0.0012912911135942867</v>
      </c>
      <c r="D316" s="79" t="s">
        <v>2085</v>
      </c>
      <c r="E316" s="79" t="b">
        <v>0</v>
      </c>
      <c r="F316" s="79" t="b">
        <v>0</v>
      </c>
      <c r="G316" s="79" t="b">
        <v>0</v>
      </c>
    </row>
    <row r="317" spans="1:7" ht="15">
      <c r="A317" s="85" t="s">
        <v>1999</v>
      </c>
      <c r="B317" s="79">
        <v>2</v>
      </c>
      <c r="C317" s="109">
        <v>0.0012912911135942867</v>
      </c>
      <c r="D317" s="79" t="s">
        <v>2085</v>
      </c>
      <c r="E317" s="79" t="b">
        <v>0</v>
      </c>
      <c r="F317" s="79" t="b">
        <v>0</v>
      </c>
      <c r="G317" s="79" t="b">
        <v>0</v>
      </c>
    </row>
    <row r="318" spans="1:7" ht="15">
      <c r="A318" s="85" t="s">
        <v>2000</v>
      </c>
      <c r="B318" s="79">
        <v>2</v>
      </c>
      <c r="C318" s="109">
        <v>0.0012912911135942867</v>
      </c>
      <c r="D318" s="79" t="s">
        <v>2085</v>
      </c>
      <c r="E318" s="79" t="b">
        <v>0</v>
      </c>
      <c r="F318" s="79" t="b">
        <v>0</v>
      </c>
      <c r="G318" s="79" t="b">
        <v>0</v>
      </c>
    </row>
    <row r="319" spans="1:7" ht="15">
      <c r="A319" s="85" t="s">
        <v>2001</v>
      </c>
      <c r="B319" s="79">
        <v>2</v>
      </c>
      <c r="C319" s="109">
        <v>0.0012912911135942867</v>
      </c>
      <c r="D319" s="79" t="s">
        <v>2085</v>
      </c>
      <c r="E319" s="79" t="b">
        <v>0</v>
      </c>
      <c r="F319" s="79" t="b">
        <v>0</v>
      </c>
      <c r="G319" s="79" t="b">
        <v>0</v>
      </c>
    </row>
    <row r="320" spans="1:7" ht="15">
      <c r="A320" s="85" t="s">
        <v>2002</v>
      </c>
      <c r="B320" s="79">
        <v>2</v>
      </c>
      <c r="C320" s="109">
        <v>0.0012912911135942867</v>
      </c>
      <c r="D320" s="79" t="s">
        <v>2085</v>
      </c>
      <c r="E320" s="79" t="b">
        <v>0</v>
      </c>
      <c r="F320" s="79" t="b">
        <v>0</v>
      </c>
      <c r="G320" s="79" t="b">
        <v>0</v>
      </c>
    </row>
    <row r="321" spans="1:7" ht="15">
      <c r="A321" s="85" t="s">
        <v>2003</v>
      </c>
      <c r="B321" s="79">
        <v>2</v>
      </c>
      <c r="C321" s="109">
        <v>0.0012912911135942867</v>
      </c>
      <c r="D321" s="79" t="s">
        <v>2085</v>
      </c>
      <c r="E321" s="79" t="b">
        <v>0</v>
      </c>
      <c r="F321" s="79" t="b">
        <v>0</v>
      </c>
      <c r="G321" s="79" t="b">
        <v>0</v>
      </c>
    </row>
    <row r="322" spans="1:7" ht="15">
      <c r="A322" s="85" t="s">
        <v>2004</v>
      </c>
      <c r="B322" s="79">
        <v>2</v>
      </c>
      <c r="C322" s="109">
        <v>0.0012912911135942867</v>
      </c>
      <c r="D322" s="79" t="s">
        <v>2085</v>
      </c>
      <c r="E322" s="79" t="b">
        <v>0</v>
      </c>
      <c r="F322" s="79" t="b">
        <v>0</v>
      </c>
      <c r="G322" s="79" t="b">
        <v>0</v>
      </c>
    </row>
    <row r="323" spans="1:7" ht="15">
      <c r="A323" s="85" t="s">
        <v>2005</v>
      </c>
      <c r="B323" s="79">
        <v>2</v>
      </c>
      <c r="C323" s="109">
        <v>0.0012912911135942867</v>
      </c>
      <c r="D323" s="79" t="s">
        <v>2085</v>
      </c>
      <c r="E323" s="79" t="b">
        <v>0</v>
      </c>
      <c r="F323" s="79" t="b">
        <v>0</v>
      </c>
      <c r="G323" s="79" t="b">
        <v>0</v>
      </c>
    </row>
    <row r="324" spans="1:7" ht="15">
      <c r="A324" s="85" t="s">
        <v>2006</v>
      </c>
      <c r="B324" s="79">
        <v>2</v>
      </c>
      <c r="C324" s="109">
        <v>0.0012912911135942867</v>
      </c>
      <c r="D324" s="79" t="s">
        <v>2085</v>
      </c>
      <c r="E324" s="79" t="b">
        <v>0</v>
      </c>
      <c r="F324" s="79" t="b">
        <v>0</v>
      </c>
      <c r="G324" s="79" t="b">
        <v>0</v>
      </c>
    </row>
    <row r="325" spans="1:7" ht="15">
      <c r="A325" s="85" t="s">
        <v>2007</v>
      </c>
      <c r="B325" s="79">
        <v>2</v>
      </c>
      <c r="C325" s="109">
        <v>0.0012912911135942867</v>
      </c>
      <c r="D325" s="79" t="s">
        <v>2085</v>
      </c>
      <c r="E325" s="79" t="b">
        <v>0</v>
      </c>
      <c r="F325" s="79" t="b">
        <v>0</v>
      </c>
      <c r="G325" s="79" t="b">
        <v>0</v>
      </c>
    </row>
    <row r="326" spans="1:7" ht="15">
      <c r="A326" s="85" t="s">
        <v>2008</v>
      </c>
      <c r="B326" s="79">
        <v>2</v>
      </c>
      <c r="C326" s="109">
        <v>0.0012912911135942867</v>
      </c>
      <c r="D326" s="79" t="s">
        <v>2085</v>
      </c>
      <c r="E326" s="79" t="b">
        <v>0</v>
      </c>
      <c r="F326" s="79" t="b">
        <v>0</v>
      </c>
      <c r="G326" s="79" t="b">
        <v>0</v>
      </c>
    </row>
    <row r="327" spans="1:7" ht="15">
      <c r="A327" s="85" t="s">
        <v>367</v>
      </c>
      <c r="B327" s="79">
        <v>2</v>
      </c>
      <c r="C327" s="109">
        <v>0.0012912911135942867</v>
      </c>
      <c r="D327" s="79" t="s">
        <v>2085</v>
      </c>
      <c r="E327" s="79" t="b">
        <v>0</v>
      </c>
      <c r="F327" s="79" t="b">
        <v>0</v>
      </c>
      <c r="G327" s="79" t="b">
        <v>0</v>
      </c>
    </row>
    <row r="328" spans="1:7" ht="15">
      <c r="A328" s="85" t="s">
        <v>2009</v>
      </c>
      <c r="B328" s="79">
        <v>2</v>
      </c>
      <c r="C328" s="109">
        <v>0.0012912911135942867</v>
      </c>
      <c r="D328" s="79" t="s">
        <v>2085</v>
      </c>
      <c r="E328" s="79" t="b">
        <v>0</v>
      </c>
      <c r="F328" s="79" t="b">
        <v>0</v>
      </c>
      <c r="G328" s="79" t="b">
        <v>0</v>
      </c>
    </row>
    <row r="329" spans="1:7" ht="15">
      <c r="A329" s="85" t="s">
        <v>2010</v>
      </c>
      <c r="B329" s="79">
        <v>2</v>
      </c>
      <c r="C329" s="109">
        <v>0.0012912911135942867</v>
      </c>
      <c r="D329" s="79" t="s">
        <v>2085</v>
      </c>
      <c r="E329" s="79" t="b">
        <v>0</v>
      </c>
      <c r="F329" s="79" t="b">
        <v>0</v>
      </c>
      <c r="G329" s="79" t="b">
        <v>0</v>
      </c>
    </row>
    <row r="330" spans="1:7" ht="15">
      <c r="A330" s="85" t="s">
        <v>2011</v>
      </c>
      <c r="B330" s="79">
        <v>2</v>
      </c>
      <c r="C330" s="109">
        <v>0.0012912911135942867</v>
      </c>
      <c r="D330" s="79" t="s">
        <v>2085</v>
      </c>
      <c r="E330" s="79" t="b">
        <v>0</v>
      </c>
      <c r="F330" s="79" t="b">
        <v>0</v>
      </c>
      <c r="G330" s="79" t="b">
        <v>0</v>
      </c>
    </row>
    <row r="331" spans="1:7" ht="15">
      <c r="A331" s="85" t="s">
        <v>2012</v>
      </c>
      <c r="B331" s="79">
        <v>2</v>
      </c>
      <c r="C331" s="109">
        <v>0.0012912911135942867</v>
      </c>
      <c r="D331" s="79" t="s">
        <v>2085</v>
      </c>
      <c r="E331" s="79" t="b">
        <v>0</v>
      </c>
      <c r="F331" s="79" t="b">
        <v>0</v>
      </c>
      <c r="G331" s="79" t="b">
        <v>0</v>
      </c>
    </row>
    <row r="332" spans="1:7" ht="15">
      <c r="A332" s="85" t="s">
        <v>2013</v>
      </c>
      <c r="B332" s="79">
        <v>2</v>
      </c>
      <c r="C332" s="109">
        <v>0.0012912911135942867</v>
      </c>
      <c r="D332" s="79" t="s">
        <v>2085</v>
      </c>
      <c r="E332" s="79" t="b">
        <v>0</v>
      </c>
      <c r="F332" s="79" t="b">
        <v>0</v>
      </c>
      <c r="G332" s="79" t="b">
        <v>0</v>
      </c>
    </row>
    <row r="333" spans="1:7" ht="15">
      <c r="A333" s="85" t="s">
        <v>2014</v>
      </c>
      <c r="B333" s="79">
        <v>2</v>
      </c>
      <c r="C333" s="109">
        <v>0.0012912911135942867</v>
      </c>
      <c r="D333" s="79" t="s">
        <v>2085</v>
      </c>
      <c r="E333" s="79" t="b">
        <v>0</v>
      </c>
      <c r="F333" s="79" t="b">
        <v>0</v>
      </c>
      <c r="G333" s="79" t="b">
        <v>0</v>
      </c>
    </row>
    <row r="334" spans="1:7" ht="15">
      <c r="A334" s="85" t="s">
        <v>2015</v>
      </c>
      <c r="B334" s="79">
        <v>2</v>
      </c>
      <c r="C334" s="109">
        <v>0.0012912911135942867</v>
      </c>
      <c r="D334" s="79" t="s">
        <v>2085</v>
      </c>
      <c r="E334" s="79" t="b">
        <v>0</v>
      </c>
      <c r="F334" s="79" t="b">
        <v>0</v>
      </c>
      <c r="G334" s="79" t="b">
        <v>0</v>
      </c>
    </row>
    <row r="335" spans="1:7" ht="15">
      <c r="A335" s="85" t="s">
        <v>2016</v>
      </c>
      <c r="B335" s="79">
        <v>2</v>
      </c>
      <c r="C335" s="109">
        <v>0.0012912911135942867</v>
      </c>
      <c r="D335" s="79" t="s">
        <v>2085</v>
      </c>
      <c r="E335" s="79" t="b">
        <v>0</v>
      </c>
      <c r="F335" s="79" t="b">
        <v>0</v>
      </c>
      <c r="G335" s="79" t="b">
        <v>0</v>
      </c>
    </row>
    <row r="336" spans="1:7" ht="15">
      <c r="A336" s="85" t="s">
        <v>2017</v>
      </c>
      <c r="B336" s="79">
        <v>2</v>
      </c>
      <c r="C336" s="109">
        <v>0.0012912911135942867</v>
      </c>
      <c r="D336" s="79" t="s">
        <v>2085</v>
      </c>
      <c r="E336" s="79" t="b">
        <v>0</v>
      </c>
      <c r="F336" s="79" t="b">
        <v>0</v>
      </c>
      <c r="G336" s="79" t="b">
        <v>0</v>
      </c>
    </row>
    <row r="337" spans="1:7" ht="15">
      <c r="A337" s="85" t="s">
        <v>2018</v>
      </c>
      <c r="B337" s="79">
        <v>2</v>
      </c>
      <c r="C337" s="109">
        <v>0.0012912911135942867</v>
      </c>
      <c r="D337" s="79" t="s">
        <v>2085</v>
      </c>
      <c r="E337" s="79" t="b">
        <v>0</v>
      </c>
      <c r="F337" s="79" t="b">
        <v>0</v>
      </c>
      <c r="G337" s="79" t="b">
        <v>0</v>
      </c>
    </row>
    <row r="338" spans="1:7" ht="15">
      <c r="A338" s="85" t="s">
        <v>2019</v>
      </c>
      <c r="B338" s="79">
        <v>2</v>
      </c>
      <c r="C338" s="109">
        <v>0.0012912911135942867</v>
      </c>
      <c r="D338" s="79" t="s">
        <v>2085</v>
      </c>
      <c r="E338" s="79" t="b">
        <v>0</v>
      </c>
      <c r="F338" s="79" t="b">
        <v>0</v>
      </c>
      <c r="G338" s="79" t="b">
        <v>0</v>
      </c>
    </row>
    <row r="339" spans="1:7" ht="15">
      <c r="A339" s="85" t="s">
        <v>2020</v>
      </c>
      <c r="B339" s="79">
        <v>2</v>
      </c>
      <c r="C339" s="109">
        <v>0.0012912911135942867</v>
      </c>
      <c r="D339" s="79" t="s">
        <v>2085</v>
      </c>
      <c r="E339" s="79" t="b">
        <v>0</v>
      </c>
      <c r="F339" s="79" t="b">
        <v>0</v>
      </c>
      <c r="G339" s="79" t="b">
        <v>0</v>
      </c>
    </row>
    <row r="340" spans="1:7" ht="15">
      <c r="A340" s="85" t="s">
        <v>2021</v>
      </c>
      <c r="B340" s="79">
        <v>2</v>
      </c>
      <c r="C340" s="109">
        <v>0.0012912911135942867</v>
      </c>
      <c r="D340" s="79" t="s">
        <v>2085</v>
      </c>
      <c r="E340" s="79" t="b">
        <v>0</v>
      </c>
      <c r="F340" s="79" t="b">
        <v>0</v>
      </c>
      <c r="G340" s="79" t="b">
        <v>0</v>
      </c>
    </row>
    <row r="341" spans="1:7" ht="15">
      <c r="A341" s="85" t="s">
        <v>366</v>
      </c>
      <c r="B341" s="79">
        <v>2</v>
      </c>
      <c r="C341" s="109">
        <v>0.0012912911135942867</v>
      </c>
      <c r="D341" s="79" t="s">
        <v>2085</v>
      </c>
      <c r="E341" s="79" t="b">
        <v>0</v>
      </c>
      <c r="F341" s="79" t="b">
        <v>0</v>
      </c>
      <c r="G341" s="79" t="b">
        <v>0</v>
      </c>
    </row>
    <row r="342" spans="1:7" ht="15">
      <c r="A342" s="85" t="s">
        <v>365</v>
      </c>
      <c r="B342" s="79">
        <v>2</v>
      </c>
      <c r="C342" s="109">
        <v>0.0012912911135942867</v>
      </c>
      <c r="D342" s="79" t="s">
        <v>2085</v>
      </c>
      <c r="E342" s="79" t="b">
        <v>0</v>
      </c>
      <c r="F342" s="79" t="b">
        <v>0</v>
      </c>
      <c r="G342" s="79" t="b">
        <v>0</v>
      </c>
    </row>
    <row r="343" spans="1:7" ht="15">
      <c r="A343" s="85" t="s">
        <v>2022</v>
      </c>
      <c r="B343" s="79">
        <v>2</v>
      </c>
      <c r="C343" s="109">
        <v>0.0012912911135942867</v>
      </c>
      <c r="D343" s="79" t="s">
        <v>2085</v>
      </c>
      <c r="E343" s="79" t="b">
        <v>0</v>
      </c>
      <c r="F343" s="79" t="b">
        <v>0</v>
      </c>
      <c r="G343" s="79" t="b">
        <v>0</v>
      </c>
    </row>
    <row r="344" spans="1:7" ht="15">
      <c r="A344" s="85" t="s">
        <v>2023</v>
      </c>
      <c r="B344" s="79">
        <v>2</v>
      </c>
      <c r="C344" s="109">
        <v>0.0012912911135942867</v>
      </c>
      <c r="D344" s="79" t="s">
        <v>2085</v>
      </c>
      <c r="E344" s="79" t="b">
        <v>0</v>
      </c>
      <c r="F344" s="79" t="b">
        <v>0</v>
      </c>
      <c r="G344" s="79" t="b">
        <v>0</v>
      </c>
    </row>
    <row r="345" spans="1:7" ht="15">
      <c r="A345" s="85" t="s">
        <v>2024</v>
      </c>
      <c r="B345" s="79">
        <v>2</v>
      </c>
      <c r="C345" s="109">
        <v>0.0012912911135942867</v>
      </c>
      <c r="D345" s="79" t="s">
        <v>2085</v>
      </c>
      <c r="E345" s="79" t="b">
        <v>0</v>
      </c>
      <c r="F345" s="79" t="b">
        <v>0</v>
      </c>
      <c r="G345" s="79" t="b">
        <v>0</v>
      </c>
    </row>
    <row r="346" spans="1:7" ht="15">
      <c r="A346" s="85" t="s">
        <v>2025</v>
      </c>
      <c r="B346" s="79">
        <v>2</v>
      </c>
      <c r="C346" s="109">
        <v>0.0012912911135942867</v>
      </c>
      <c r="D346" s="79" t="s">
        <v>2085</v>
      </c>
      <c r="E346" s="79" t="b">
        <v>0</v>
      </c>
      <c r="F346" s="79" t="b">
        <v>0</v>
      </c>
      <c r="G346" s="79" t="b">
        <v>0</v>
      </c>
    </row>
    <row r="347" spans="1:7" ht="15">
      <c r="A347" s="85" t="s">
        <v>2026</v>
      </c>
      <c r="B347" s="79">
        <v>2</v>
      </c>
      <c r="C347" s="109">
        <v>0.0012912911135942867</v>
      </c>
      <c r="D347" s="79" t="s">
        <v>2085</v>
      </c>
      <c r="E347" s="79" t="b">
        <v>0</v>
      </c>
      <c r="F347" s="79" t="b">
        <v>0</v>
      </c>
      <c r="G347" s="79" t="b">
        <v>0</v>
      </c>
    </row>
    <row r="348" spans="1:7" ht="15">
      <c r="A348" s="85" t="s">
        <v>2027</v>
      </c>
      <c r="B348" s="79">
        <v>2</v>
      </c>
      <c r="C348" s="109">
        <v>0.0012912911135942867</v>
      </c>
      <c r="D348" s="79" t="s">
        <v>2085</v>
      </c>
      <c r="E348" s="79" t="b">
        <v>0</v>
      </c>
      <c r="F348" s="79" t="b">
        <v>0</v>
      </c>
      <c r="G348" s="79" t="b">
        <v>0</v>
      </c>
    </row>
    <row r="349" spans="1:7" ht="15">
      <c r="A349" s="85" t="s">
        <v>2028</v>
      </c>
      <c r="B349" s="79">
        <v>2</v>
      </c>
      <c r="C349" s="109">
        <v>0.0012912911135942867</v>
      </c>
      <c r="D349" s="79" t="s">
        <v>2085</v>
      </c>
      <c r="E349" s="79" t="b">
        <v>0</v>
      </c>
      <c r="F349" s="79" t="b">
        <v>0</v>
      </c>
      <c r="G349" s="79" t="b">
        <v>0</v>
      </c>
    </row>
    <row r="350" spans="1:7" ht="15">
      <c r="A350" s="85" t="s">
        <v>2029</v>
      </c>
      <c r="B350" s="79">
        <v>2</v>
      </c>
      <c r="C350" s="109">
        <v>0.0012912911135942867</v>
      </c>
      <c r="D350" s="79" t="s">
        <v>2085</v>
      </c>
      <c r="E350" s="79" t="b">
        <v>0</v>
      </c>
      <c r="F350" s="79" t="b">
        <v>0</v>
      </c>
      <c r="G350" s="79" t="b">
        <v>0</v>
      </c>
    </row>
    <row r="351" spans="1:7" ht="15">
      <c r="A351" s="85" t="s">
        <v>2030</v>
      </c>
      <c r="B351" s="79">
        <v>2</v>
      </c>
      <c r="C351" s="109">
        <v>0.0012912911135942867</v>
      </c>
      <c r="D351" s="79" t="s">
        <v>2085</v>
      </c>
      <c r="E351" s="79" t="b">
        <v>0</v>
      </c>
      <c r="F351" s="79" t="b">
        <v>0</v>
      </c>
      <c r="G351" s="79" t="b">
        <v>0</v>
      </c>
    </row>
    <row r="352" spans="1:7" ht="15">
      <c r="A352" s="85" t="s">
        <v>362</v>
      </c>
      <c r="B352" s="79">
        <v>2</v>
      </c>
      <c r="C352" s="109">
        <v>0.0012912911135942867</v>
      </c>
      <c r="D352" s="79" t="s">
        <v>2085</v>
      </c>
      <c r="E352" s="79" t="b">
        <v>0</v>
      </c>
      <c r="F352" s="79" t="b">
        <v>0</v>
      </c>
      <c r="G352" s="79" t="b">
        <v>0</v>
      </c>
    </row>
    <row r="353" spans="1:7" ht="15">
      <c r="A353" s="85" t="s">
        <v>2031</v>
      </c>
      <c r="B353" s="79">
        <v>2</v>
      </c>
      <c r="C353" s="109">
        <v>0.0012912911135942867</v>
      </c>
      <c r="D353" s="79" t="s">
        <v>2085</v>
      </c>
      <c r="E353" s="79" t="b">
        <v>0</v>
      </c>
      <c r="F353" s="79" t="b">
        <v>0</v>
      </c>
      <c r="G353" s="79" t="b">
        <v>0</v>
      </c>
    </row>
    <row r="354" spans="1:7" ht="15">
      <c r="A354" s="85" t="s">
        <v>2032</v>
      </c>
      <c r="B354" s="79">
        <v>2</v>
      </c>
      <c r="C354" s="109">
        <v>0.0012912911135942867</v>
      </c>
      <c r="D354" s="79" t="s">
        <v>2085</v>
      </c>
      <c r="E354" s="79" t="b">
        <v>0</v>
      </c>
      <c r="F354" s="79" t="b">
        <v>1</v>
      </c>
      <c r="G354" s="79" t="b">
        <v>0</v>
      </c>
    </row>
    <row r="355" spans="1:7" ht="15">
      <c r="A355" s="85" t="s">
        <v>2033</v>
      </c>
      <c r="B355" s="79">
        <v>2</v>
      </c>
      <c r="C355" s="109">
        <v>0.0012912911135942867</v>
      </c>
      <c r="D355" s="79" t="s">
        <v>2085</v>
      </c>
      <c r="E355" s="79" t="b">
        <v>0</v>
      </c>
      <c r="F355" s="79" t="b">
        <v>0</v>
      </c>
      <c r="G355" s="79" t="b">
        <v>0</v>
      </c>
    </row>
    <row r="356" spans="1:7" ht="15">
      <c r="A356" s="85" t="s">
        <v>2034</v>
      </c>
      <c r="B356" s="79">
        <v>2</v>
      </c>
      <c r="C356" s="109">
        <v>0.0012912911135942867</v>
      </c>
      <c r="D356" s="79" t="s">
        <v>2085</v>
      </c>
      <c r="E356" s="79" t="b">
        <v>0</v>
      </c>
      <c r="F356" s="79" t="b">
        <v>0</v>
      </c>
      <c r="G356" s="79" t="b">
        <v>0</v>
      </c>
    </row>
    <row r="357" spans="1:7" ht="15">
      <c r="A357" s="85" t="s">
        <v>2035</v>
      </c>
      <c r="B357" s="79">
        <v>2</v>
      </c>
      <c r="C357" s="109">
        <v>0.0012912911135942867</v>
      </c>
      <c r="D357" s="79" t="s">
        <v>2085</v>
      </c>
      <c r="E357" s="79" t="b">
        <v>0</v>
      </c>
      <c r="F357" s="79" t="b">
        <v>0</v>
      </c>
      <c r="G357" s="79" t="b">
        <v>0</v>
      </c>
    </row>
    <row r="358" spans="1:7" ht="15">
      <c r="A358" s="85" t="s">
        <v>2036</v>
      </c>
      <c r="B358" s="79">
        <v>2</v>
      </c>
      <c r="C358" s="109">
        <v>0.0012912911135942867</v>
      </c>
      <c r="D358" s="79" t="s">
        <v>2085</v>
      </c>
      <c r="E358" s="79" t="b">
        <v>0</v>
      </c>
      <c r="F358" s="79" t="b">
        <v>0</v>
      </c>
      <c r="G358" s="79" t="b">
        <v>0</v>
      </c>
    </row>
    <row r="359" spans="1:7" ht="15">
      <c r="A359" s="85" t="s">
        <v>2037</v>
      </c>
      <c r="B359" s="79">
        <v>2</v>
      </c>
      <c r="C359" s="109">
        <v>0.0012912911135942867</v>
      </c>
      <c r="D359" s="79" t="s">
        <v>2085</v>
      </c>
      <c r="E359" s="79" t="b">
        <v>0</v>
      </c>
      <c r="F359" s="79" t="b">
        <v>0</v>
      </c>
      <c r="G359" s="79" t="b">
        <v>0</v>
      </c>
    </row>
    <row r="360" spans="1:7" ht="15">
      <c r="A360" s="85" t="s">
        <v>361</v>
      </c>
      <c r="B360" s="79">
        <v>2</v>
      </c>
      <c r="C360" s="109">
        <v>0.0012912911135942867</v>
      </c>
      <c r="D360" s="79" t="s">
        <v>2085</v>
      </c>
      <c r="E360" s="79" t="b">
        <v>0</v>
      </c>
      <c r="F360" s="79" t="b">
        <v>0</v>
      </c>
      <c r="G360" s="79" t="b">
        <v>0</v>
      </c>
    </row>
    <row r="361" spans="1:7" ht="15">
      <c r="A361" s="85" t="s">
        <v>2038</v>
      </c>
      <c r="B361" s="79">
        <v>2</v>
      </c>
      <c r="C361" s="109">
        <v>0.0012912911135942867</v>
      </c>
      <c r="D361" s="79" t="s">
        <v>2085</v>
      </c>
      <c r="E361" s="79" t="b">
        <v>0</v>
      </c>
      <c r="F361" s="79" t="b">
        <v>0</v>
      </c>
      <c r="G361" s="79" t="b">
        <v>0</v>
      </c>
    </row>
    <row r="362" spans="1:7" ht="15">
      <c r="A362" s="85" t="s">
        <v>2039</v>
      </c>
      <c r="B362" s="79">
        <v>2</v>
      </c>
      <c r="C362" s="109">
        <v>0.0012912911135942867</v>
      </c>
      <c r="D362" s="79" t="s">
        <v>2085</v>
      </c>
      <c r="E362" s="79" t="b">
        <v>0</v>
      </c>
      <c r="F362" s="79" t="b">
        <v>0</v>
      </c>
      <c r="G362" s="79" t="b">
        <v>0</v>
      </c>
    </row>
    <row r="363" spans="1:7" ht="15">
      <c r="A363" s="85" t="s">
        <v>2040</v>
      </c>
      <c r="B363" s="79">
        <v>2</v>
      </c>
      <c r="C363" s="109">
        <v>0.0012912911135942867</v>
      </c>
      <c r="D363" s="79" t="s">
        <v>2085</v>
      </c>
      <c r="E363" s="79" t="b">
        <v>0</v>
      </c>
      <c r="F363" s="79" t="b">
        <v>0</v>
      </c>
      <c r="G363" s="79" t="b">
        <v>0</v>
      </c>
    </row>
    <row r="364" spans="1:7" ht="15">
      <c r="A364" s="85" t="s">
        <v>2041</v>
      </c>
      <c r="B364" s="79">
        <v>2</v>
      </c>
      <c r="C364" s="109">
        <v>0.0012912911135942867</v>
      </c>
      <c r="D364" s="79" t="s">
        <v>2085</v>
      </c>
      <c r="E364" s="79" t="b">
        <v>0</v>
      </c>
      <c r="F364" s="79" t="b">
        <v>0</v>
      </c>
      <c r="G364" s="79" t="b">
        <v>0</v>
      </c>
    </row>
    <row r="365" spans="1:7" ht="15">
      <c r="A365" s="85" t="s">
        <v>2042</v>
      </c>
      <c r="B365" s="79">
        <v>2</v>
      </c>
      <c r="C365" s="109">
        <v>0.0012912911135942867</v>
      </c>
      <c r="D365" s="79" t="s">
        <v>2085</v>
      </c>
      <c r="E365" s="79" t="b">
        <v>0</v>
      </c>
      <c r="F365" s="79" t="b">
        <v>0</v>
      </c>
      <c r="G365" s="79" t="b">
        <v>0</v>
      </c>
    </row>
    <row r="366" spans="1:7" ht="15">
      <c r="A366" s="85" t="s">
        <v>2043</v>
      </c>
      <c r="B366" s="79">
        <v>2</v>
      </c>
      <c r="C366" s="109">
        <v>0.0012912911135942867</v>
      </c>
      <c r="D366" s="79" t="s">
        <v>2085</v>
      </c>
      <c r="E366" s="79" t="b">
        <v>0</v>
      </c>
      <c r="F366" s="79" t="b">
        <v>0</v>
      </c>
      <c r="G366" s="79" t="b">
        <v>0</v>
      </c>
    </row>
    <row r="367" spans="1:7" ht="15">
      <c r="A367" s="85" t="s">
        <v>2044</v>
      </c>
      <c r="B367" s="79">
        <v>2</v>
      </c>
      <c r="C367" s="109">
        <v>0.0012912911135942867</v>
      </c>
      <c r="D367" s="79" t="s">
        <v>2085</v>
      </c>
      <c r="E367" s="79" t="b">
        <v>0</v>
      </c>
      <c r="F367" s="79" t="b">
        <v>0</v>
      </c>
      <c r="G367" s="79" t="b">
        <v>0</v>
      </c>
    </row>
    <row r="368" spans="1:7" ht="15">
      <c r="A368" s="85" t="s">
        <v>2045</v>
      </c>
      <c r="B368" s="79">
        <v>2</v>
      </c>
      <c r="C368" s="109">
        <v>0.0012912911135942867</v>
      </c>
      <c r="D368" s="79" t="s">
        <v>2085</v>
      </c>
      <c r="E368" s="79" t="b">
        <v>0</v>
      </c>
      <c r="F368" s="79" t="b">
        <v>0</v>
      </c>
      <c r="G368" s="79" t="b">
        <v>0</v>
      </c>
    </row>
    <row r="369" spans="1:7" ht="15">
      <c r="A369" s="85" t="s">
        <v>2046</v>
      </c>
      <c r="B369" s="79">
        <v>2</v>
      </c>
      <c r="C369" s="109">
        <v>0.0012912911135942867</v>
      </c>
      <c r="D369" s="79" t="s">
        <v>2085</v>
      </c>
      <c r="E369" s="79" t="b">
        <v>0</v>
      </c>
      <c r="F369" s="79" t="b">
        <v>0</v>
      </c>
      <c r="G369" s="79" t="b">
        <v>0</v>
      </c>
    </row>
    <row r="370" spans="1:7" ht="15">
      <c r="A370" s="85" t="s">
        <v>2047</v>
      </c>
      <c r="B370" s="79">
        <v>2</v>
      </c>
      <c r="C370" s="109">
        <v>0.0012912911135942867</v>
      </c>
      <c r="D370" s="79" t="s">
        <v>2085</v>
      </c>
      <c r="E370" s="79" t="b">
        <v>0</v>
      </c>
      <c r="F370" s="79" t="b">
        <v>0</v>
      </c>
      <c r="G370" s="79" t="b">
        <v>0</v>
      </c>
    </row>
    <row r="371" spans="1:7" ht="15">
      <c r="A371" s="85" t="s">
        <v>2048</v>
      </c>
      <c r="B371" s="79">
        <v>2</v>
      </c>
      <c r="C371" s="109">
        <v>0.0012912911135942867</v>
      </c>
      <c r="D371" s="79" t="s">
        <v>2085</v>
      </c>
      <c r="E371" s="79" t="b">
        <v>0</v>
      </c>
      <c r="F371" s="79" t="b">
        <v>0</v>
      </c>
      <c r="G371" s="79" t="b">
        <v>0</v>
      </c>
    </row>
    <row r="372" spans="1:7" ht="15">
      <c r="A372" s="85" t="s">
        <v>2049</v>
      </c>
      <c r="B372" s="79">
        <v>2</v>
      </c>
      <c r="C372" s="109">
        <v>0.0012912911135942867</v>
      </c>
      <c r="D372" s="79" t="s">
        <v>2085</v>
      </c>
      <c r="E372" s="79" t="b">
        <v>0</v>
      </c>
      <c r="F372" s="79" t="b">
        <v>0</v>
      </c>
      <c r="G372" s="79" t="b">
        <v>0</v>
      </c>
    </row>
    <row r="373" spans="1:7" ht="15">
      <c r="A373" s="85" t="s">
        <v>2050</v>
      </c>
      <c r="B373" s="79">
        <v>2</v>
      </c>
      <c r="C373" s="109">
        <v>0.0012912911135942867</v>
      </c>
      <c r="D373" s="79" t="s">
        <v>2085</v>
      </c>
      <c r="E373" s="79" t="b">
        <v>0</v>
      </c>
      <c r="F373" s="79" t="b">
        <v>0</v>
      </c>
      <c r="G373" s="79" t="b">
        <v>0</v>
      </c>
    </row>
    <row r="374" spans="1:7" ht="15">
      <c r="A374" s="85" t="s">
        <v>2051</v>
      </c>
      <c r="B374" s="79">
        <v>2</v>
      </c>
      <c r="C374" s="109">
        <v>0.0012912911135942867</v>
      </c>
      <c r="D374" s="79" t="s">
        <v>2085</v>
      </c>
      <c r="E374" s="79" t="b">
        <v>0</v>
      </c>
      <c r="F374" s="79" t="b">
        <v>0</v>
      </c>
      <c r="G374" s="79" t="b">
        <v>0</v>
      </c>
    </row>
    <row r="375" spans="1:7" ht="15">
      <c r="A375" s="85" t="s">
        <v>2052</v>
      </c>
      <c r="B375" s="79">
        <v>2</v>
      </c>
      <c r="C375" s="109">
        <v>0.0012912911135942867</v>
      </c>
      <c r="D375" s="79" t="s">
        <v>2085</v>
      </c>
      <c r="E375" s="79" t="b">
        <v>0</v>
      </c>
      <c r="F375" s="79" t="b">
        <v>0</v>
      </c>
      <c r="G375" s="79" t="b">
        <v>0</v>
      </c>
    </row>
    <row r="376" spans="1:7" ht="15">
      <c r="A376" s="85" t="s">
        <v>2053</v>
      </c>
      <c r="B376" s="79">
        <v>2</v>
      </c>
      <c r="C376" s="109">
        <v>0.0012912911135942867</v>
      </c>
      <c r="D376" s="79" t="s">
        <v>2085</v>
      </c>
      <c r="E376" s="79" t="b">
        <v>0</v>
      </c>
      <c r="F376" s="79" t="b">
        <v>0</v>
      </c>
      <c r="G376" s="79" t="b">
        <v>0</v>
      </c>
    </row>
    <row r="377" spans="1:7" ht="15">
      <c r="A377" s="85" t="s">
        <v>2054</v>
      </c>
      <c r="B377" s="79">
        <v>2</v>
      </c>
      <c r="C377" s="109">
        <v>0.0012912911135942867</v>
      </c>
      <c r="D377" s="79" t="s">
        <v>2085</v>
      </c>
      <c r="E377" s="79" t="b">
        <v>0</v>
      </c>
      <c r="F377" s="79" t="b">
        <v>0</v>
      </c>
      <c r="G377" s="79" t="b">
        <v>0</v>
      </c>
    </row>
    <row r="378" spans="1:7" ht="15">
      <c r="A378" s="85" t="s">
        <v>2055</v>
      </c>
      <c r="B378" s="79">
        <v>2</v>
      </c>
      <c r="C378" s="109">
        <v>0.0012912911135942867</v>
      </c>
      <c r="D378" s="79" t="s">
        <v>2085</v>
      </c>
      <c r="E378" s="79" t="b">
        <v>0</v>
      </c>
      <c r="F378" s="79" t="b">
        <v>0</v>
      </c>
      <c r="G378" s="79" t="b">
        <v>0</v>
      </c>
    </row>
    <row r="379" spans="1:7" ht="15">
      <c r="A379" s="85" t="s">
        <v>2056</v>
      </c>
      <c r="B379" s="79">
        <v>2</v>
      </c>
      <c r="C379" s="109">
        <v>0.0012912911135942867</v>
      </c>
      <c r="D379" s="79" t="s">
        <v>2085</v>
      </c>
      <c r="E379" s="79" t="b">
        <v>0</v>
      </c>
      <c r="F379" s="79" t="b">
        <v>0</v>
      </c>
      <c r="G379" s="79" t="b">
        <v>0</v>
      </c>
    </row>
    <row r="380" spans="1:7" ht="15">
      <c r="A380" s="85" t="s">
        <v>2057</v>
      </c>
      <c r="B380" s="79">
        <v>2</v>
      </c>
      <c r="C380" s="109">
        <v>0.0012912911135942867</v>
      </c>
      <c r="D380" s="79" t="s">
        <v>2085</v>
      </c>
      <c r="E380" s="79" t="b">
        <v>0</v>
      </c>
      <c r="F380" s="79" t="b">
        <v>0</v>
      </c>
      <c r="G380" s="79" t="b">
        <v>0</v>
      </c>
    </row>
    <row r="381" spans="1:7" ht="15">
      <c r="A381" s="85" t="s">
        <v>2058</v>
      </c>
      <c r="B381" s="79">
        <v>2</v>
      </c>
      <c r="C381" s="109">
        <v>0.0012912911135942867</v>
      </c>
      <c r="D381" s="79" t="s">
        <v>2085</v>
      </c>
      <c r="E381" s="79" t="b">
        <v>0</v>
      </c>
      <c r="F381" s="79" t="b">
        <v>0</v>
      </c>
      <c r="G381" s="79" t="b">
        <v>0</v>
      </c>
    </row>
    <row r="382" spans="1:7" ht="15">
      <c r="A382" s="85" t="s">
        <v>2059</v>
      </c>
      <c r="B382" s="79">
        <v>2</v>
      </c>
      <c r="C382" s="109">
        <v>0.0012912911135942867</v>
      </c>
      <c r="D382" s="79" t="s">
        <v>2085</v>
      </c>
      <c r="E382" s="79" t="b">
        <v>0</v>
      </c>
      <c r="F382" s="79" t="b">
        <v>0</v>
      </c>
      <c r="G382" s="79" t="b">
        <v>0</v>
      </c>
    </row>
    <row r="383" spans="1:7" ht="15">
      <c r="A383" s="85" t="s">
        <v>2060</v>
      </c>
      <c r="B383" s="79">
        <v>2</v>
      </c>
      <c r="C383" s="109">
        <v>0.0012912911135942867</v>
      </c>
      <c r="D383" s="79" t="s">
        <v>2085</v>
      </c>
      <c r="E383" s="79" t="b">
        <v>0</v>
      </c>
      <c r="F383" s="79" t="b">
        <v>0</v>
      </c>
      <c r="G383" s="79" t="b">
        <v>0</v>
      </c>
    </row>
    <row r="384" spans="1:7" ht="15">
      <c r="A384" s="85" t="s">
        <v>2061</v>
      </c>
      <c r="B384" s="79">
        <v>2</v>
      </c>
      <c r="C384" s="109">
        <v>0.0012912911135942867</v>
      </c>
      <c r="D384" s="79" t="s">
        <v>2085</v>
      </c>
      <c r="E384" s="79" t="b">
        <v>0</v>
      </c>
      <c r="F384" s="79" t="b">
        <v>0</v>
      </c>
      <c r="G384" s="79" t="b">
        <v>0</v>
      </c>
    </row>
    <row r="385" spans="1:7" ht="15">
      <c r="A385" s="85" t="s">
        <v>2062</v>
      </c>
      <c r="B385" s="79">
        <v>2</v>
      </c>
      <c r="C385" s="109">
        <v>0.0012912911135942867</v>
      </c>
      <c r="D385" s="79" t="s">
        <v>2085</v>
      </c>
      <c r="E385" s="79" t="b">
        <v>0</v>
      </c>
      <c r="F385" s="79" t="b">
        <v>0</v>
      </c>
      <c r="G385" s="79" t="b">
        <v>0</v>
      </c>
    </row>
    <row r="386" spans="1:7" ht="15">
      <c r="A386" s="85" t="s">
        <v>2063</v>
      </c>
      <c r="B386" s="79">
        <v>2</v>
      </c>
      <c r="C386" s="109">
        <v>0.0012912911135942867</v>
      </c>
      <c r="D386" s="79" t="s">
        <v>2085</v>
      </c>
      <c r="E386" s="79" t="b">
        <v>0</v>
      </c>
      <c r="F386" s="79" t="b">
        <v>0</v>
      </c>
      <c r="G386" s="79" t="b">
        <v>0</v>
      </c>
    </row>
    <row r="387" spans="1:7" ht="15">
      <c r="A387" s="85" t="s">
        <v>2064</v>
      </c>
      <c r="B387" s="79">
        <v>2</v>
      </c>
      <c r="C387" s="109">
        <v>0.0012912911135942867</v>
      </c>
      <c r="D387" s="79" t="s">
        <v>2085</v>
      </c>
      <c r="E387" s="79" t="b">
        <v>0</v>
      </c>
      <c r="F387" s="79" t="b">
        <v>0</v>
      </c>
      <c r="G387" s="79" t="b">
        <v>0</v>
      </c>
    </row>
    <row r="388" spans="1:7" ht="15">
      <c r="A388" s="85" t="s">
        <v>2065</v>
      </c>
      <c r="B388" s="79">
        <v>2</v>
      </c>
      <c r="C388" s="109">
        <v>0.0012912911135942867</v>
      </c>
      <c r="D388" s="79" t="s">
        <v>2085</v>
      </c>
      <c r="E388" s="79" t="b">
        <v>0</v>
      </c>
      <c r="F388" s="79" t="b">
        <v>0</v>
      </c>
      <c r="G388" s="79" t="b">
        <v>0</v>
      </c>
    </row>
    <row r="389" spans="1:7" ht="15">
      <c r="A389" s="85" t="s">
        <v>2066</v>
      </c>
      <c r="B389" s="79">
        <v>2</v>
      </c>
      <c r="C389" s="109">
        <v>0.0012912911135942867</v>
      </c>
      <c r="D389" s="79" t="s">
        <v>2085</v>
      </c>
      <c r="E389" s="79" t="b">
        <v>0</v>
      </c>
      <c r="F389" s="79" t="b">
        <v>0</v>
      </c>
      <c r="G389" s="79" t="b">
        <v>0</v>
      </c>
    </row>
    <row r="390" spans="1:7" ht="15">
      <c r="A390" s="85" t="s">
        <v>2067</v>
      </c>
      <c r="B390" s="79">
        <v>2</v>
      </c>
      <c r="C390" s="109">
        <v>0.0012912911135942867</v>
      </c>
      <c r="D390" s="79" t="s">
        <v>2085</v>
      </c>
      <c r="E390" s="79" t="b">
        <v>0</v>
      </c>
      <c r="F390" s="79" t="b">
        <v>0</v>
      </c>
      <c r="G390" s="79" t="b">
        <v>0</v>
      </c>
    </row>
    <row r="391" spans="1:7" ht="15">
      <c r="A391" s="85" t="s">
        <v>2068</v>
      </c>
      <c r="B391" s="79">
        <v>2</v>
      </c>
      <c r="C391" s="109">
        <v>0.0012912911135942867</v>
      </c>
      <c r="D391" s="79" t="s">
        <v>2085</v>
      </c>
      <c r="E391" s="79" t="b">
        <v>0</v>
      </c>
      <c r="F391" s="79" t="b">
        <v>0</v>
      </c>
      <c r="G391" s="79" t="b">
        <v>0</v>
      </c>
    </row>
    <row r="392" spans="1:7" ht="15">
      <c r="A392" s="85" t="s">
        <v>2069</v>
      </c>
      <c r="B392" s="79">
        <v>2</v>
      </c>
      <c r="C392" s="109">
        <v>0.0012912911135942867</v>
      </c>
      <c r="D392" s="79" t="s">
        <v>2085</v>
      </c>
      <c r="E392" s="79" t="b">
        <v>0</v>
      </c>
      <c r="F392" s="79" t="b">
        <v>0</v>
      </c>
      <c r="G392" s="79" t="b">
        <v>0</v>
      </c>
    </row>
    <row r="393" spans="1:7" ht="15">
      <c r="A393" s="85" t="s">
        <v>2070</v>
      </c>
      <c r="B393" s="79">
        <v>2</v>
      </c>
      <c r="C393" s="109">
        <v>0.0012912911135942867</v>
      </c>
      <c r="D393" s="79" t="s">
        <v>2085</v>
      </c>
      <c r="E393" s="79" t="b">
        <v>0</v>
      </c>
      <c r="F393" s="79" t="b">
        <v>0</v>
      </c>
      <c r="G393" s="79" t="b">
        <v>0</v>
      </c>
    </row>
    <row r="394" spans="1:7" ht="15">
      <c r="A394" s="85" t="s">
        <v>2071</v>
      </c>
      <c r="B394" s="79">
        <v>2</v>
      </c>
      <c r="C394" s="109">
        <v>0.0012912911135942867</v>
      </c>
      <c r="D394" s="79" t="s">
        <v>2085</v>
      </c>
      <c r="E394" s="79" t="b">
        <v>0</v>
      </c>
      <c r="F394" s="79" t="b">
        <v>0</v>
      </c>
      <c r="G394" s="79" t="b">
        <v>0</v>
      </c>
    </row>
    <row r="395" spans="1:7" ht="15">
      <c r="A395" s="85" t="s">
        <v>2072</v>
      </c>
      <c r="B395" s="79">
        <v>2</v>
      </c>
      <c r="C395" s="109">
        <v>0.0012912911135942867</v>
      </c>
      <c r="D395" s="79" t="s">
        <v>2085</v>
      </c>
      <c r="E395" s="79" t="b">
        <v>0</v>
      </c>
      <c r="F395" s="79" t="b">
        <v>0</v>
      </c>
      <c r="G395" s="79" t="b">
        <v>0</v>
      </c>
    </row>
    <row r="396" spans="1:7" ht="15">
      <c r="A396" s="85" t="s">
        <v>2073</v>
      </c>
      <c r="B396" s="79">
        <v>2</v>
      </c>
      <c r="C396" s="109">
        <v>0.0012912911135942867</v>
      </c>
      <c r="D396" s="79" t="s">
        <v>2085</v>
      </c>
      <c r="E396" s="79" t="b">
        <v>0</v>
      </c>
      <c r="F396" s="79" t="b">
        <v>0</v>
      </c>
      <c r="G396" s="79" t="b">
        <v>0</v>
      </c>
    </row>
    <row r="397" spans="1:7" ht="15">
      <c r="A397" s="85" t="s">
        <v>2074</v>
      </c>
      <c r="B397" s="79">
        <v>2</v>
      </c>
      <c r="C397" s="109">
        <v>0.0012912911135942867</v>
      </c>
      <c r="D397" s="79" t="s">
        <v>2085</v>
      </c>
      <c r="E397" s="79" t="b">
        <v>0</v>
      </c>
      <c r="F397" s="79" t="b">
        <v>0</v>
      </c>
      <c r="G397" s="79" t="b">
        <v>0</v>
      </c>
    </row>
    <row r="398" spans="1:7" ht="15">
      <c r="A398" s="85" t="s">
        <v>2075</v>
      </c>
      <c r="B398" s="79">
        <v>2</v>
      </c>
      <c r="C398" s="109">
        <v>0.0012912911135942867</v>
      </c>
      <c r="D398" s="79" t="s">
        <v>2085</v>
      </c>
      <c r="E398" s="79" t="b">
        <v>0</v>
      </c>
      <c r="F398" s="79" t="b">
        <v>0</v>
      </c>
      <c r="G398" s="79" t="b">
        <v>0</v>
      </c>
    </row>
    <row r="399" spans="1:7" ht="15">
      <c r="A399" s="85" t="s">
        <v>2076</v>
      </c>
      <c r="B399" s="79">
        <v>2</v>
      </c>
      <c r="C399" s="109">
        <v>0.0012912911135942867</v>
      </c>
      <c r="D399" s="79" t="s">
        <v>2085</v>
      </c>
      <c r="E399" s="79" t="b">
        <v>0</v>
      </c>
      <c r="F399" s="79" t="b">
        <v>0</v>
      </c>
      <c r="G399" s="79" t="b">
        <v>0</v>
      </c>
    </row>
    <row r="400" spans="1:7" ht="15">
      <c r="A400" s="85" t="s">
        <v>2077</v>
      </c>
      <c r="B400" s="79">
        <v>2</v>
      </c>
      <c r="C400" s="109">
        <v>0.0012912911135942867</v>
      </c>
      <c r="D400" s="79" t="s">
        <v>2085</v>
      </c>
      <c r="E400" s="79" t="b">
        <v>0</v>
      </c>
      <c r="F400" s="79" t="b">
        <v>0</v>
      </c>
      <c r="G400" s="79" t="b">
        <v>0</v>
      </c>
    </row>
    <row r="401" spans="1:7" ht="15">
      <c r="A401" s="85" t="s">
        <v>2078</v>
      </c>
      <c r="B401" s="79">
        <v>2</v>
      </c>
      <c r="C401" s="109">
        <v>0.0012912911135942867</v>
      </c>
      <c r="D401" s="79" t="s">
        <v>2085</v>
      </c>
      <c r="E401" s="79" t="b">
        <v>0</v>
      </c>
      <c r="F401" s="79" t="b">
        <v>0</v>
      </c>
      <c r="G401" s="79" t="b">
        <v>0</v>
      </c>
    </row>
    <row r="402" spans="1:7" ht="15">
      <c r="A402" s="85" t="s">
        <v>2079</v>
      </c>
      <c r="B402" s="79">
        <v>2</v>
      </c>
      <c r="C402" s="109">
        <v>0.0012912911135942867</v>
      </c>
      <c r="D402" s="79" t="s">
        <v>2085</v>
      </c>
      <c r="E402" s="79" t="b">
        <v>1</v>
      </c>
      <c r="F402" s="79" t="b">
        <v>0</v>
      </c>
      <c r="G402" s="79" t="b">
        <v>0</v>
      </c>
    </row>
    <row r="403" spans="1:7" ht="15">
      <c r="A403" s="85" t="s">
        <v>359</v>
      </c>
      <c r="B403" s="79">
        <v>2</v>
      </c>
      <c r="C403" s="109">
        <v>0.0012912911135942867</v>
      </c>
      <c r="D403" s="79" t="s">
        <v>2085</v>
      </c>
      <c r="E403" s="79" t="b">
        <v>0</v>
      </c>
      <c r="F403" s="79" t="b">
        <v>0</v>
      </c>
      <c r="G403" s="79" t="b">
        <v>0</v>
      </c>
    </row>
    <row r="404" spans="1:7" ht="15">
      <c r="A404" s="85" t="s">
        <v>1704</v>
      </c>
      <c r="B404" s="79">
        <v>74</v>
      </c>
      <c r="C404" s="109">
        <v>0</v>
      </c>
      <c r="D404" s="79" t="s">
        <v>1651</v>
      </c>
      <c r="E404" s="79" t="b">
        <v>0</v>
      </c>
      <c r="F404" s="79" t="b">
        <v>0</v>
      </c>
      <c r="G404" s="79" t="b">
        <v>0</v>
      </c>
    </row>
    <row r="405" spans="1:7" ht="15">
      <c r="A405" s="85" t="s">
        <v>1708</v>
      </c>
      <c r="B405" s="79">
        <v>37</v>
      </c>
      <c r="C405" s="109">
        <v>0</v>
      </c>
      <c r="D405" s="79" t="s">
        <v>1651</v>
      </c>
      <c r="E405" s="79" t="b">
        <v>0</v>
      </c>
      <c r="F405" s="79" t="b">
        <v>0</v>
      </c>
      <c r="G405" s="79" t="b">
        <v>0</v>
      </c>
    </row>
    <row r="406" spans="1:7" ht="15">
      <c r="A406" s="85" t="s">
        <v>1709</v>
      </c>
      <c r="B406" s="79">
        <v>37</v>
      </c>
      <c r="C406" s="109">
        <v>0</v>
      </c>
      <c r="D406" s="79" t="s">
        <v>1651</v>
      </c>
      <c r="E406" s="79" t="b">
        <v>0</v>
      </c>
      <c r="F406" s="79" t="b">
        <v>0</v>
      </c>
      <c r="G406" s="79" t="b">
        <v>0</v>
      </c>
    </row>
    <row r="407" spans="1:7" ht="15">
      <c r="A407" s="85" t="s">
        <v>1710</v>
      </c>
      <c r="B407" s="79">
        <v>37</v>
      </c>
      <c r="C407" s="109">
        <v>0</v>
      </c>
      <c r="D407" s="79" t="s">
        <v>1651</v>
      </c>
      <c r="E407" s="79" t="b">
        <v>0</v>
      </c>
      <c r="F407" s="79" t="b">
        <v>0</v>
      </c>
      <c r="G407" s="79" t="b">
        <v>0</v>
      </c>
    </row>
    <row r="408" spans="1:7" ht="15">
      <c r="A408" s="85" t="s">
        <v>1711</v>
      </c>
      <c r="B408" s="79">
        <v>37</v>
      </c>
      <c r="C408" s="109">
        <v>0</v>
      </c>
      <c r="D408" s="79" t="s">
        <v>1651</v>
      </c>
      <c r="E408" s="79" t="b">
        <v>0</v>
      </c>
      <c r="F408" s="79" t="b">
        <v>0</v>
      </c>
      <c r="G408" s="79" t="b">
        <v>0</v>
      </c>
    </row>
    <row r="409" spans="1:7" ht="15">
      <c r="A409" s="85" t="s">
        <v>1712</v>
      </c>
      <c r="B409" s="79">
        <v>37</v>
      </c>
      <c r="C409" s="109">
        <v>0</v>
      </c>
      <c r="D409" s="79" t="s">
        <v>1651</v>
      </c>
      <c r="E409" s="79" t="b">
        <v>0</v>
      </c>
      <c r="F409" s="79" t="b">
        <v>0</v>
      </c>
      <c r="G409" s="79" t="b">
        <v>0</v>
      </c>
    </row>
    <row r="410" spans="1:7" ht="15">
      <c r="A410" s="85" t="s">
        <v>1713</v>
      </c>
      <c r="B410" s="79">
        <v>37</v>
      </c>
      <c r="C410" s="109">
        <v>0</v>
      </c>
      <c r="D410" s="79" t="s">
        <v>1651</v>
      </c>
      <c r="E410" s="79" t="b">
        <v>0</v>
      </c>
      <c r="F410" s="79" t="b">
        <v>0</v>
      </c>
      <c r="G410" s="79" t="b">
        <v>0</v>
      </c>
    </row>
    <row r="411" spans="1:7" ht="15">
      <c r="A411" s="85" t="s">
        <v>1714</v>
      </c>
      <c r="B411" s="79">
        <v>37</v>
      </c>
      <c r="C411" s="109">
        <v>0</v>
      </c>
      <c r="D411" s="79" t="s">
        <v>1651</v>
      </c>
      <c r="E411" s="79" t="b">
        <v>0</v>
      </c>
      <c r="F411" s="79" t="b">
        <v>0</v>
      </c>
      <c r="G411" s="79" t="b">
        <v>0</v>
      </c>
    </row>
    <row r="412" spans="1:7" ht="15">
      <c r="A412" s="85" t="s">
        <v>1715</v>
      </c>
      <c r="B412" s="79">
        <v>37</v>
      </c>
      <c r="C412" s="109">
        <v>0</v>
      </c>
      <c r="D412" s="79" t="s">
        <v>1651</v>
      </c>
      <c r="E412" s="79" t="b">
        <v>0</v>
      </c>
      <c r="F412" s="79" t="b">
        <v>0</v>
      </c>
      <c r="G412" s="79" t="b">
        <v>0</v>
      </c>
    </row>
    <row r="413" spans="1:7" ht="15">
      <c r="A413" s="85" t="s">
        <v>1707</v>
      </c>
      <c r="B413" s="79">
        <v>37</v>
      </c>
      <c r="C413" s="109">
        <v>0</v>
      </c>
      <c r="D413" s="79" t="s">
        <v>1651</v>
      </c>
      <c r="E413" s="79" t="b">
        <v>0</v>
      </c>
      <c r="F413" s="79" t="b">
        <v>0</v>
      </c>
      <c r="G413" s="79" t="b">
        <v>0</v>
      </c>
    </row>
    <row r="414" spans="1:7" ht="15">
      <c r="A414" s="85" t="s">
        <v>1716</v>
      </c>
      <c r="B414" s="79">
        <v>37</v>
      </c>
      <c r="C414" s="109">
        <v>0</v>
      </c>
      <c r="D414" s="79" t="s">
        <v>1651</v>
      </c>
      <c r="E414" s="79" t="b">
        <v>0</v>
      </c>
      <c r="F414" s="79" t="b">
        <v>0</v>
      </c>
      <c r="G414" s="79" t="b">
        <v>0</v>
      </c>
    </row>
    <row r="415" spans="1:7" ht="15">
      <c r="A415" s="85" t="s">
        <v>1717</v>
      </c>
      <c r="B415" s="79">
        <v>37</v>
      </c>
      <c r="C415" s="109">
        <v>0</v>
      </c>
      <c r="D415" s="79" t="s">
        <v>1651</v>
      </c>
      <c r="E415" s="79" t="b">
        <v>0</v>
      </c>
      <c r="F415" s="79" t="b">
        <v>0</v>
      </c>
      <c r="G415" s="79" t="b">
        <v>0</v>
      </c>
    </row>
    <row r="416" spans="1:7" ht="15">
      <c r="A416" s="85" t="s">
        <v>1705</v>
      </c>
      <c r="B416" s="79">
        <v>37</v>
      </c>
      <c r="C416" s="109">
        <v>0</v>
      </c>
      <c r="D416" s="79" t="s">
        <v>1651</v>
      </c>
      <c r="E416" s="79" t="b">
        <v>0</v>
      </c>
      <c r="F416" s="79" t="b">
        <v>0</v>
      </c>
      <c r="G416" s="79" t="b">
        <v>0</v>
      </c>
    </row>
    <row r="417" spans="1:7" ht="15">
      <c r="A417" s="85" t="s">
        <v>1718</v>
      </c>
      <c r="B417" s="79">
        <v>37</v>
      </c>
      <c r="C417" s="109">
        <v>0</v>
      </c>
      <c r="D417" s="79" t="s">
        <v>1651</v>
      </c>
      <c r="E417" s="79" t="b">
        <v>0</v>
      </c>
      <c r="F417" s="79" t="b">
        <v>0</v>
      </c>
      <c r="G417" s="79" t="b">
        <v>0</v>
      </c>
    </row>
    <row r="418" spans="1:7" ht="15">
      <c r="A418" s="85" t="s">
        <v>1719</v>
      </c>
      <c r="B418" s="79">
        <v>37</v>
      </c>
      <c r="C418" s="109">
        <v>0</v>
      </c>
      <c r="D418" s="79" t="s">
        <v>1651</v>
      </c>
      <c r="E418" s="79" t="b">
        <v>0</v>
      </c>
      <c r="F418" s="79" t="b">
        <v>0</v>
      </c>
      <c r="G418" s="79" t="b">
        <v>0</v>
      </c>
    </row>
    <row r="419" spans="1:7" ht="15">
      <c r="A419" s="85" t="s">
        <v>1720</v>
      </c>
      <c r="B419" s="79">
        <v>37</v>
      </c>
      <c r="C419" s="109">
        <v>0</v>
      </c>
      <c r="D419" s="79" t="s">
        <v>1651</v>
      </c>
      <c r="E419" s="79" t="b">
        <v>0</v>
      </c>
      <c r="F419" s="79" t="b">
        <v>0</v>
      </c>
      <c r="G419" s="79" t="b">
        <v>0</v>
      </c>
    </row>
    <row r="420" spans="1:7" ht="15">
      <c r="A420" s="85" t="s">
        <v>1721</v>
      </c>
      <c r="B420" s="79">
        <v>37</v>
      </c>
      <c r="C420" s="109">
        <v>0</v>
      </c>
      <c r="D420" s="79" t="s">
        <v>1651</v>
      </c>
      <c r="E420" s="79" t="b">
        <v>0</v>
      </c>
      <c r="F420" s="79" t="b">
        <v>0</v>
      </c>
      <c r="G420" s="79" t="b">
        <v>0</v>
      </c>
    </row>
    <row r="421" spans="1:7" ht="15">
      <c r="A421" s="85" t="s">
        <v>1722</v>
      </c>
      <c r="B421" s="79">
        <v>37</v>
      </c>
      <c r="C421" s="109">
        <v>0</v>
      </c>
      <c r="D421" s="79" t="s">
        <v>1651</v>
      </c>
      <c r="E421" s="79" t="b">
        <v>0</v>
      </c>
      <c r="F421" s="79" t="b">
        <v>0</v>
      </c>
      <c r="G421" s="79" t="b">
        <v>0</v>
      </c>
    </row>
    <row r="422" spans="1:7" ht="15">
      <c r="A422" s="85" t="s">
        <v>1723</v>
      </c>
      <c r="B422" s="79">
        <v>37</v>
      </c>
      <c r="C422" s="109">
        <v>0</v>
      </c>
      <c r="D422" s="79" t="s">
        <v>1651</v>
      </c>
      <c r="E422" s="79" t="b">
        <v>0</v>
      </c>
      <c r="F422" s="79" t="b">
        <v>0</v>
      </c>
      <c r="G422" s="79" t="b">
        <v>0</v>
      </c>
    </row>
    <row r="423" spans="1:7" ht="15">
      <c r="A423" s="85" t="s">
        <v>1706</v>
      </c>
      <c r="B423" s="79">
        <v>37</v>
      </c>
      <c r="C423" s="109">
        <v>0</v>
      </c>
      <c r="D423" s="79" t="s">
        <v>1651</v>
      </c>
      <c r="E423" s="79" t="b">
        <v>0</v>
      </c>
      <c r="F423" s="79" t="b">
        <v>0</v>
      </c>
      <c r="G423" s="79" t="b">
        <v>0</v>
      </c>
    </row>
    <row r="424" spans="1:7" ht="15">
      <c r="A424" s="85" t="s">
        <v>1703</v>
      </c>
      <c r="B424" s="79">
        <v>37</v>
      </c>
      <c r="C424" s="109">
        <v>0</v>
      </c>
      <c r="D424" s="79" t="s">
        <v>1651</v>
      </c>
      <c r="E424" s="79" t="b">
        <v>0</v>
      </c>
      <c r="F424" s="79" t="b">
        <v>0</v>
      </c>
      <c r="G424" s="79" t="b">
        <v>0</v>
      </c>
    </row>
    <row r="425" spans="1:7" ht="15">
      <c r="A425" s="85" t="s">
        <v>368</v>
      </c>
      <c r="B425" s="79">
        <v>24</v>
      </c>
      <c r="C425" s="109">
        <v>0</v>
      </c>
      <c r="D425" s="79" t="s">
        <v>1652</v>
      </c>
      <c r="E425" s="79" t="b">
        <v>0</v>
      </c>
      <c r="F425" s="79" t="b">
        <v>0</v>
      </c>
      <c r="G425" s="79" t="b">
        <v>0</v>
      </c>
    </row>
    <row r="426" spans="1:7" ht="15">
      <c r="A426" s="85" t="s">
        <v>1725</v>
      </c>
      <c r="B426" s="79">
        <v>24</v>
      </c>
      <c r="C426" s="109">
        <v>0</v>
      </c>
      <c r="D426" s="79" t="s">
        <v>1652</v>
      </c>
      <c r="E426" s="79" t="b">
        <v>0</v>
      </c>
      <c r="F426" s="79" t="b">
        <v>0</v>
      </c>
      <c r="G426" s="79" t="b">
        <v>0</v>
      </c>
    </row>
    <row r="427" spans="1:7" ht="15">
      <c r="A427" s="85" t="s">
        <v>1703</v>
      </c>
      <c r="B427" s="79">
        <v>24</v>
      </c>
      <c r="C427" s="109">
        <v>0</v>
      </c>
      <c r="D427" s="79" t="s">
        <v>1652</v>
      </c>
      <c r="E427" s="79" t="b">
        <v>0</v>
      </c>
      <c r="F427" s="79" t="b">
        <v>0</v>
      </c>
      <c r="G427" s="79" t="b">
        <v>0</v>
      </c>
    </row>
    <row r="428" spans="1:7" ht="15">
      <c r="A428" s="85" t="s">
        <v>1737</v>
      </c>
      <c r="B428" s="79">
        <v>14</v>
      </c>
      <c r="C428" s="109">
        <v>0.008978533930046991</v>
      </c>
      <c r="D428" s="79" t="s">
        <v>1652</v>
      </c>
      <c r="E428" s="79" t="b">
        <v>0</v>
      </c>
      <c r="F428" s="79" t="b">
        <v>0</v>
      </c>
      <c r="G428" s="79" t="b">
        <v>0</v>
      </c>
    </row>
    <row r="429" spans="1:7" ht="15">
      <c r="A429" s="85" t="s">
        <v>1731</v>
      </c>
      <c r="B429" s="79">
        <v>14</v>
      </c>
      <c r="C429" s="109">
        <v>0.008978533930046991</v>
      </c>
      <c r="D429" s="79" t="s">
        <v>1652</v>
      </c>
      <c r="E429" s="79" t="b">
        <v>0</v>
      </c>
      <c r="F429" s="79" t="b">
        <v>0</v>
      </c>
      <c r="G429" s="79" t="b">
        <v>0</v>
      </c>
    </row>
    <row r="430" spans="1:7" ht="15">
      <c r="A430" s="85" t="s">
        <v>1738</v>
      </c>
      <c r="B430" s="79">
        <v>14</v>
      </c>
      <c r="C430" s="109">
        <v>0.008978533930046991</v>
      </c>
      <c r="D430" s="79" t="s">
        <v>1652</v>
      </c>
      <c r="E430" s="79" t="b">
        <v>0</v>
      </c>
      <c r="F430" s="79" t="b">
        <v>0</v>
      </c>
      <c r="G430" s="79" t="b">
        <v>0</v>
      </c>
    </row>
    <row r="431" spans="1:7" ht="15">
      <c r="A431" s="85" t="s">
        <v>1739</v>
      </c>
      <c r="B431" s="79">
        <v>14</v>
      </c>
      <c r="C431" s="109">
        <v>0.008978533930046991</v>
      </c>
      <c r="D431" s="79" t="s">
        <v>1652</v>
      </c>
      <c r="E431" s="79" t="b">
        <v>0</v>
      </c>
      <c r="F431" s="79" t="b">
        <v>0</v>
      </c>
      <c r="G431" s="79" t="b">
        <v>0</v>
      </c>
    </row>
    <row r="432" spans="1:7" ht="15">
      <c r="A432" s="85" t="s">
        <v>370</v>
      </c>
      <c r="B432" s="79">
        <v>14</v>
      </c>
      <c r="C432" s="109">
        <v>0.008978533930046991</v>
      </c>
      <c r="D432" s="79" t="s">
        <v>1652</v>
      </c>
      <c r="E432" s="79" t="b">
        <v>0</v>
      </c>
      <c r="F432" s="79" t="b">
        <v>0</v>
      </c>
      <c r="G432" s="79" t="b">
        <v>0</v>
      </c>
    </row>
    <row r="433" spans="1:7" ht="15">
      <c r="A433" s="85" t="s">
        <v>1736</v>
      </c>
      <c r="B433" s="79">
        <v>14</v>
      </c>
      <c r="C433" s="109">
        <v>0.008978533930046991</v>
      </c>
      <c r="D433" s="79" t="s">
        <v>1652</v>
      </c>
      <c r="E433" s="79" t="b">
        <v>0</v>
      </c>
      <c r="F433" s="79" t="b">
        <v>0</v>
      </c>
      <c r="G433" s="79" t="b">
        <v>0</v>
      </c>
    </row>
    <row r="434" spans="1:7" ht="15">
      <c r="A434" s="85" t="s">
        <v>1727</v>
      </c>
      <c r="B434" s="79">
        <v>14</v>
      </c>
      <c r="C434" s="109">
        <v>0.008978533930046991</v>
      </c>
      <c r="D434" s="79" t="s">
        <v>1652</v>
      </c>
      <c r="E434" s="79" t="b">
        <v>0</v>
      </c>
      <c r="F434" s="79" t="b">
        <v>0</v>
      </c>
      <c r="G434" s="79" t="b">
        <v>0</v>
      </c>
    </row>
    <row r="435" spans="1:7" ht="15">
      <c r="A435" s="85" t="s">
        <v>1740</v>
      </c>
      <c r="B435" s="79">
        <v>14</v>
      </c>
      <c r="C435" s="109">
        <v>0.008978533930046991</v>
      </c>
      <c r="D435" s="79" t="s">
        <v>1652</v>
      </c>
      <c r="E435" s="79" t="b">
        <v>0</v>
      </c>
      <c r="F435" s="79" t="b">
        <v>0</v>
      </c>
      <c r="G435" s="79" t="b">
        <v>0</v>
      </c>
    </row>
    <row r="436" spans="1:7" ht="15">
      <c r="A436" s="85" t="s">
        <v>1741</v>
      </c>
      <c r="B436" s="79">
        <v>14</v>
      </c>
      <c r="C436" s="109">
        <v>0.008978533930046991</v>
      </c>
      <c r="D436" s="79" t="s">
        <v>1652</v>
      </c>
      <c r="E436" s="79" t="b">
        <v>0</v>
      </c>
      <c r="F436" s="79" t="b">
        <v>0</v>
      </c>
      <c r="G436" s="79" t="b">
        <v>0</v>
      </c>
    </row>
    <row r="437" spans="1:7" ht="15">
      <c r="A437" s="85" t="s">
        <v>1742</v>
      </c>
      <c r="B437" s="79">
        <v>14</v>
      </c>
      <c r="C437" s="109">
        <v>0.008978533930046991</v>
      </c>
      <c r="D437" s="79" t="s">
        <v>1652</v>
      </c>
      <c r="E437" s="79" t="b">
        <v>0</v>
      </c>
      <c r="F437" s="79" t="b">
        <v>0</v>
      </c>
      <c r="G437" s="79" t="b">
        <v>0</v>
      </c>
    </row>
    <row r="438" spans="1:7" ht="15">
      <c r="A438" s="85" t="s">
        <v>1743</v>
      </c>
      <c r="B438" s="79">
        <v>14</v>
      </c>
      <c r="C438" s="109">
        <v>0.008978533930046991</v>
      </c>
      <c r="D438" s="79" t="s">
        <v>1652</v>
      </c>
      <c r="E438" s="79" t="b">
        <v>0</v>
      </c>
      <c r="F438" s="79" t="b">
        <v>0</v>
      </c>
      <c r="G438" s="79" t="b">
        <v>0</v>
      </c>
    </row>
    <row r="439" spans="1:7" ht="15">
      <c r="A439" s="85" t="s">
        <v>1732</v>
      </c>
      <c r="B439" s="79">
        <v>14</v>
      </c>
      <c r="C439" s="109">
        <v>0.020524889928117504</v>
      </c>
      <c r="D439" s="79" t="s">
        <v>1652</v>
      </c>
      <c r="E439" s="79" t="b">
        <v>0</v>
      </c>
      <c r="F439" s="79" t="b">
        <v>0</v>
      </c>
      <c r="G439" s="79" t="b">
        <v>0</v>
      </c>
    </row>
    <row r="440" spans="1:7" ht="15">
      <c r="A440" s="85" t="s">
        <v>1754</v>
      </c>
      <c r="B440" s="79">
        <v>10</v>
      </c>
      <c r="C440" s="109">
        <v>0.010416746348263178</v>
      </c>
      <c r="D440" s="79" t="s">
        <v>1652</v>
      </c>
      <c r="E440" s="79" t="b">
        <v>0</v>
      </c>
      <c r="F440" s="79" t="b">
        <v>0</v>
      </c>
      <c r="G440" s="79" t="b">
        <v>0</v>
      </c>
    </row>
    <row r="441" spans="1:7" ht="15">
      <c r="A441" s="85" t="s">
        <v>1724</v>
      </c>
      <c r="B441" s="79">
        <v>10</v>
      </c>
      <c r="C441" s="109">
        <v>0.010416746348263178</v>
      </c>
      <c r="D441" s="79" t="s">
        <v>1652</v>
      </c>
      <c r="E441" s="79" t="b">
        <v>0</v>
      </c>
      <c r="F441" s="79" t="b">
        <v>0</v>
      </c>
      <c r="G441" s="79" t="b">
        <v>0</v>
      </c>
    </row>
    <row r="442" spans="1:7" ht="15">
      <c r="A442" s="85" t="s">
        <v>1705</v>
      </c>
      <c r="B442" s="79">
        <v>10</v>
      </c>
      <c r="C442" s="109">
        <v>0.010416746348263178</v>
      </c>
      <c r="D442" s="79" t="s">
        <v>1652</v>
      </c>
      <c r="E442" s="79" t="b">
        <v>0</v>
      </c>
      <c r="F442" s="79" t="b">
        <v>0</v>
      </c>
      <c r="G442" s="79" t="b">
        <v>0</v>
      </c>
    </row>
    <row r="443" spans="1:7" ht="15">
      <c r="A443" s="85" t="s">
        <v>1784</v>
      </c>
      <c r="B443" s="79">
        <v>7</v>
      </c>
      <c r="C443" s="109">
        <v>0.010262444964058752</v>
      </c>
      <c r="D443" s="79" t="s">
        <v>1652</v>
      </c>
      <c r="E443" s="79" t="b">
        <v>0</v>
      </c>
      <c r="F443" s="79" t="b">
        <v>0</v>
      </c>
      <c r="G443" s="79" t="b">
        <v>0</v>
      </c>
    </row>
    <row r="444" spans="1:7" ht="15">
      <c r="A444" s="85" t="s">
        <v>1734</v>
      </c>
      <c r="B444" s="79">
        <v>7</v>
      </c>
      <c r="C444" s="109">
        <v>0.010262444964058752</v>
      </c>
      <c r="D444" s="79" t="s">
        <v>1652</v>
      </c>
      <c r="E444" s="79" t="b">
        <v>0</v>
      </c>
      <c r="F444" s="79" t="b">
        <v>0</v>
      </c>
      <c r="G444" s="79" t="b">
        <v>0</v>
      </c>
    </row>
    <row r="445" spans="1:7" ht="15">
      <c r="A445" s="85" t="s">
        <v>1785</v>
      </c>
      <c r="B445" s="79">
        <v>7</v>
      </c>
      <c r="C445" s="109">
        <v>0.010262444964058752</v>
      </c>
      <c r="D445" s="79" t="s">
        <v>1652</v>
      </c>
      <c r="E445" s="79" t="b">
        <v>0</v>
      </c>
      <c r="F445" s="79" t="b">
        <v>0</v>
      </c>
      <c r="G445" s="79" t="b">
        <v>0</v>
      </c>
    </row>
    <row r="446" spans="1:7" ht="15">
      <c r="A446" s="85" t="s">
        <v>1786</v>
      </c>
      <c r="B446" s="79">
        <v>7</v>
      </c>
      <c r="C446" s="109">
        <v>0.010262444964058752</v>
      </c>
      <c r="D446" s="79" t="s">
        <v>1652</v>
      </c>
      <c r="E446" s="79" t="b">
        <v>0</v>
      </c>
      <c r="F446" s="79" t="b">
        <v>0</v>
      </c>
      <c r="G446" s="79" t="b">
        <v>0</v>
      </c>
    </row>
    <row r="447" spans="1:7" ht="15">
      <c r="A447" s="85" t="s">
        <v>1787</v>
      </c>
      <c r="B447" s="79">
        <v>7</v>
      </c>
      <c r="C447" s="109">
        <v>0.010262444964058752</v>
      </c>
      <c r="D447" s="79" t="s">
        <v>1652</v>
      </c>
      <c r="E447" s="79" t="b">
        <v>0</v>
      </c>
      <c r="F447" s="79" t="b">
        <v>0</v>
      </c>
      <c r="G447" s="79" t="b">
        <v>0</v>
      </c>
    </row>
    <row r="448" spans="1:7" ht="15">
      <c r="A448" s="85" t="s">
        <v>1788</v>
      </c>
      <c r="B448" s="79">
        <v>7</v>
      </c>
      <c r="C448" s="109">
        <v>0.010262444964058752</v>
      </c>
      <c r="D448" s="79" t="s">
        <v>1652</v>
      </c>
      <c r="E448" s="79" t="b">
        <v>0</v>
      </c>
      <c r="F448" s="79" t="b">
        <v>0</v>
      </c>
      <c r="G448" s="79" t="b">
        <v>0</v>
      </c>
    </row>
    <row r="449" spans="1:7" ht="15">
      <c r="A449" s="85" t="s">
        <v>1789</v>
      </c>
      <c r="B449" s="79">
        <v>7</v>
      </c>
      <c r="C449" s="109">
        <v>0.010262444964058752</v>
      </c>
      <c r="D449" s="79" t="s">
        <v>1652</v>
      </c>
      <c r="E449" s="79" t="b">
        <v>0</v>
      </c>
      <c r="F449" s="79" t="b">
        <v>0</v>
      </c>
      <c r="G449" s="79" t="b">
        <v>0</v>
      </c>
    </row>
    <row r="450" spans="1:7" ht="15">
      <c r="A450" s="85" t="s">
        <v>1767</v>
      </c>
      <c r="B450" s="79">
        <v>7</v>
      </c>
      <c r="C450" s="109">
        <v>0.010262444964058752</v>
      </c>
      <c r="D450" s="79" t="s">
        <v>1652</v>
      </c>
      <c r="E450" s="79" t="b">
        <v>0</v>
      </c>
      <c r="F450" s="79" t="b">
        <v>0</v>
      </c>
      <c r="G450" s="79" t="b">
        <v>0</v>
      </c>
    </row>
    <row r="451" spans="1:7" ht="15">
      <c r="A451" s="85" t="s">
        <v>1790</v>
      </c>
      <c r="B451" s="79">
        <v>7</v>
      </c>
      <c r="C451" s="109">
        <v>0.010262444964058752</v>
      </c>
      <c r="D451" s="79" t="s">
        <v>1652</v>
      </c>
      <c r="E451" s="79" t="b">
        <v>0</v>
      </c>
      <c r="F451" s="79" t="b">
        <v>0</v>
      </c>
      <c r="G451" s="79" t="b">
        <v>0</v>
      </c>
    </row>
    <row r="452" spans="1:7" ht="15">
      <c r="A452" s="85" t="s">
        <v>1760</v>
      </c>
      <c r="B452" s="79">
        <v>7</v>
      </c>
      <c r="C452" s="109">
        <v>0.010262444964058752</v>
      </c>
      <c r="D452" s="79" t="s">
        <v>1652</v>
      </c>
      <c r="E452" s="79" t="b">
        <v>0</v>
      </c>
      <c r="F452" s="79" t="b">
        <v>0</v>
      </c>
      <c r="G452" s="79" t="b">
        <v>0</v>
      </c>
    </row>
    <row r="453" spans="1:7" ht="15">
      <c r="A453" s="85" t="s">
        <v>1758</v>
      </c>
      <c r="B453" s="79">
        <v>7</v>
      </c>
      <c r="C453" s="109">
        <v>0.010262444964058752</v>
      </c>
      <c r="D453" s="79" t="s">
        <v>1652</v>
      </c>
      <c r="E453" s="79" t="b">
        <v>0</v>
      </c>
      <c r="F453" s="79" t="b">
        <v>0</v>
      </c>
      <c r="G453" s="79" t="b">
        <v>0</v>
      </c>
    </row>
    <row r="454" spans="1:7" ht="15">
      <c r="A454" s="85" t="s">
        <v>1863</v>
      </c>
      <c r="B454" s="79">
        <v>3</v>
      </c>
      <c r="C454" s="109">
        <v>0.007422657427331042</v>
      </c>
      <c r="D454" s="79" t="s">
        <v>1652</v>
      </c>
      <c r="E454" s="79" t="b">
        <v>0</v>
      </c>
      <c r="F454" s="79" t="b">
        <v>0</v>
      </c>
      <c r="G454" s="79" t="b">
        <v>0</v>
      </c>
    </row>
    <row r="455" spans="1:7" ht="15">
      <c r="A455" s="85" t="s">
        <v>1819</v>
      </c>
      <c r="B455" s="79">
        <v>3</v>
      </c>
      <c r="C455" s="109">
        <v>0.007422657427331042</v>
      </c>
      <c r="D455" s="79" t="s">
        <v>1652</v>
      </c>
      <c r="E455" s="79" t="b">
        <v>0</v>
      </c>
      <c r="F455" s="79" t="b">
        <v>0</v>
      </c>
      <c r="G455" s="79" t="b">
        <v>0</v>
      </c>
    </row>
    <row r="456" spans="1:7" ht="15">
      <c r="A456" s="85" t="s">
        <v>1791</v>
      </c>
      <c r="B456" s="79">
        <v>3</v>
      </c>
      <c r="C456" s="109">
        <v>0.007422657427331042</v>
      </c>
      <c r="D456" s="79" t="s">
        <v>1652</v>
      </c>
      <c r="E456" s="79" t="b">
        <v>0</v>
      </c>
      <c r="F456" s="79" t="b">
        <v>0</v>
      </c>
      <c r="G456" s="79" t="b">
        <v>0</v>
      </c>
    </row>
    <row r="457" spans="1:7" ht="15">
      <c r="A457" s="85" t="s">
        <v>1728</v>
      </c>
      <c r="B457" s="79">
        <v>3</v>
      </c>
      <c r="C457" s="109">
        <v>0.007422657427331042</v>
      </c>
      <c r="D457" s="79" t="s">
        <v>1652</v>
      </c>
      <c r="E457" s="79" t="b">
        <v>0</v>
      </c>
      <c r="F457" s="79" t="b">
        <v>0</v>
      </c>
      <c r="G457" s="79" t="b">
        <v>0</v>
      </c>
    </row>
    <row r="458" spans="1:7" ht="15">
      <c r="A458" s="85" t="s">
        <v>1902</v>
      </c>
      <c r="B458" s="79">
        <v>3</v>
      </c>
      <c r="C458" s="109">
        <v>0.007422657427331042</v>
      </c>
      <c r="D458" s="79" t="s">
        <v>1652</v>
      </c>
      <c r="E458" s="79" t="b">
        <v>0</v>
      </c>
      <c r="F458" s="79" t="b">
        <v>0</v>
      </c>
      <c r="G458" s="79" t="b">
        <v>0</v>
      </c>
    </row>
    <row r="459" spans="1:7" ht="15">
      <c r="A459" s="85" t="s">
        <v>1864</v>
      </c>
      <c r="B459" s="79">
        <v>3</v>
      </c>
      <c r="C459" s="109">
        <v>0.007422657427331042</v>
      </c>
      <c r="D459" s="79" t="s">
        <v>1652</v>
      </c>
      <c r="E459" s="79" t="b">
        <v>0</v>
      </c>
      <c r="F459" s="79" t="b">
        <v>0</v>
      </c>
      <c r="G459" s="79" t="b">
        <v>0</v>
      </c>
    </row>
    <row r="460" spans="1:7" ht="15">
      <c r="A460" s="85" t="s">
        <v>1726</v>
      </c>
      <c r="B460" s="79">
        <v>21</v>
      </c>
      <c r="C460" s="109">
        <v>0.0031270096202528543</v>
      </c>
      <c r="D460" s="79" t="s">
        <v>1653</v>
      </c>
      <c r="E460" s="79" t="b">
        <v>0</v>
      </c>
      <c r="F460" s="79" t="b">
        <v>0</v>
      </c>
      <c r="G460" s="79" t="b">
        <v>0</v>
      </c>
    </row>
    <row r="461" spans="1:7" ht="15">
      <c r="A461" s="85" t="s">
        <v>1703</v>
      </c>
      <c r="B461" s="79">
        <v>20</v>
      </c>
      <c r="C461" s="109">
        <v>0</v>
      </c>
      <c r="D461" s="79" t="s">
        <v>1653</v>
      </c>
      <c r="E461" s="79" t="b">
        <v>0</v>
      </c>
      <c r="F461" s="79" t="b">
        <v>0</v>
      </c>
      <c r="G461" s="79" t="b">
        <v>0</v>
      </c>
    </row>
    <row r="462" spans="1:7" ht="15">
      <c r="A462" s="85" t="s">
        <v>1735</v>
      </c>
      <c r="B462" s="79">
        <v>16</v>
      </c>
      <c r="C462" s="109">
        <v>0.013432574132389455</v>
      </c>
      <c r="D462" s="79" t="s">
        <v>1653</v>
      </c>
      <c r="E462" s="79" t="b">
        <v>0</v>
      </c>
      <c r="F462" s="79" t="b">
        <v>0</v>
      </c>
      <c r="G462" s="79" t="b">
        <v>0</v>
      </c>
    </row>
    <row r="463" spans="1:7" ht="15">
      <c r="A463" s="85" t="s">
        <v>1729</v>
      </c>
      <c r="B463" s="79">
        <v>15</v>
      </c>
      <c r="C463" s="109">
        <v>0.003953757487604429</v>
      </c>
      <c r="D463" s="79" t="s">
        <v>1653</v>
      </c>
      <c r="E463" s="79" t="b">
        <v>0</v>
      </c>
      <c r="F463" s="79" t="b">
        <v>0</v>
      </c>
      <c r="G463" s="79" t="b">
        <v>0</v>
      </c>
    </row>
    <row r="464" spans="1:7" ht="15">
      <c r="A464" s="85" t="s">
        <v>1748</v>
      </c>
      <c r="B464" s="79">
        <v>12</v>
      </c>
      <c r="C464" s="109">
        <v>0.005616424040920415</v>
      </c>
      <c r="D464" s="79" t="s">
        <v>1653</v>
      </c>
      <c r="E464" s="79" t="b">
        <v>0</v>
      </c>
      <c r="F464" s="79" t="b">
        <v>0</v>
      </c>
      <c r="G464" s="79" t="b">
        <v>0</v>
      </c>
    </row>
    <row r="465" spans="1:7" ht="15">
      <c r="A465" s="85" t="s">
        <v>1746</v>
      </c>
      <c r="B465" s="79">
        <v>12</v>
      </c>
      <c r="C465" s="109">
        <v>0.005616424040920415</v>
      </c>
      <c r="D465" s="79" t="s">
        <v>1653</v>
      </c>
      <c r="E465" s="79" t="b">
        <v>0</v>
      </c>
      <c r="F465" s="79" t="b">
        <v>0</v>
      </c>
      <c r="G465" s="79" t="b">
        <v>0</v>
      </c>
    </row>
    <row r="466" spans="1:7" ht="15">
      <c r="A466" s="85" t="s">
        <v>1733</v>
      </c>
      <c r="B466" s="79">
        <v>12</v>
      </c>
      <c r="C466" s="109">
        <v>0.005616424040920415</v>
      </c>
      <c r="D466" s="79" t="s">
        <v>1653</v>
      </c>
      <c r="E466" s="79" t="b">
        <v>0</v>
      </c>
      <c r="F466" s="79" t="b">
        <v>0</v>
      </c>
      <c r="G466" s="79" t="b">
        <v>0</v>
      </c>
    </row>
    <row r="467" spans="1:7" ht="15">
      <c r="A467" s="85" t="s">
        <v>1755</v>
      </c>
      <c r="B467" s="79">
        <v>10</v>
      </c>
      <c r="C467" s="109">
        <v>0.0127016875807587</v>
      </c>
      <c r="D467" s="79" t="s">
        <v>1653</v>
      </c>
      <c r="E467" s="79" t="b">
        <v>0</v>
      </c>
      <c r="F467" s="79" t="b">
        <v>0</v>
      </c>
      <c r="G467" s="79" t="b">
        <v>0</v>
      </c>
    </row>
    <row r="468" spans="1:7" ht="15">
      <c r="A468" s="85" t="s">
        <v>1756</v>
      </c>
      <c r="B468" s="79">
        <v>10</v>
      </c>
      <c r="C468" s="109">
        <v>0.0127016875807587</v>
      </c>
      <c r="D468" s="79" t="s">
        <v>1653</v>
      </c>
      <c r="E468" s="79" t="b">
        <v>0</v>
      </c>
      <c r="F468" s="79" t="b">
        <v>0</v>
      </c>
      <c r="G468" s="79" t="b">
        <v>0</v>
      </c>
    </row>
    <row r="469" spans="1:7" ht="15">
      <c r="A469" s="85" t="s">
        <v>1761</v>
      </c>
      <c r="B469" s="79">
        <v>9</v>
      </c>
      <c r="C469" s="109">
        <v>0.006584572523252968</v>
      </c>
      <c r="D469" s="79" t="s">
        <v>1653</v>
      </c>
      <c r="E469" s="79" t="b">
        <v>0</v>
      </c>
      <c r="F469" s="79" t="b">
        <v>0</v>
      </c>
      <c r="G469" s="79" t="b">
        <v>0</v>
      </c>
    </row>
    <row r="470" spans="1:7" ht="15">
      <c r="A470" s="85" t="s">
        <v>1762</v>
      </c>
      <c r="B470" s="79">
        <v>9</v>
      </c>
      <c r="C470" s="109">
        <v>0.006584572523252968</v>
      </c>
      <c r="D470" s="79" t="s">
        <v>1653</v>
      </c>
      <c r="E470" s="79" t="b">
        <v>0</v>
      </c>
      <c r="F470" s="79" t="b">
        <v>0</v>
      </c>
      <c r="G470" s="79" t="b">
        <v>0</v>
      </c>
    </row>
    <row r="471" spans="1:7" ht="15">
      <c r="A471" s="85" t="s">
        <v>1771</v>
      </c>
      <c r="B471" s="79">
        <v>8</v>
      </c>
      <c r="C471" s="109">
        <v>0.006716287066194727</v>
      </c>
      <c r="D471" s="79" t="s">
        <v>1653</v>
      </c>
      <c r="E471" s="79" t="b">
        <v>0</v>
      </c>
      <c r="F471" s="79" t="b">
        <v>0</v>
      </c>
      <c r="G471" s="79" t="b">
        <v>0</v>
      </c>
    </row>
    <row r="472" spans="1:7" ht="15">
      <c r="A472" s="85" t="s">
        <v>1772</v>
      </c>
      <c r="B472" s="79">
        <v>8</v>
      </c>
      <c r="C472" s="109">
        <v>0.006716287066194727</v>
      </c>
      <c r="D472" s="79" t="s">
        <v>1653</v>
      </c>
      <c r="E472" s="79" t="b">
        <v>0</v>
      </c>
      <c r="F472" s="79" t="b">
        <v>0</v>
      </c>
      <c r="G472" s="79" t="b">
        <v>0</v>
      </c>
    </row>
    <row r="473" spans="1:7" ht="15">
      <c r="A473" s="85" t="s">
        <v>1773</v>
      </c>
      <c r="B473" s="79">
        <v>8</v>
      </c>
      <c r="C473" s="109">
        <v>0.006716287066194727</v>
      </c>
      <c r="D473" s="79" t="s">
        <v>1653</v>
      </c>
      <c r="E473" s="79" t="b">
        <v>0</v>
      </c>
      <c r="F473" s="79" t="b">
        <v>0</v>
      </c>
      <c r="G473" s="79" t="b">
        <v>0</v>
      </c>
    </row>
    <row r="474" spans="1:7" ht="15">
      <c r="A474" s="85" t="s">
        <v>1774</v>
      </c>
      <c r="B474" s="79">
        <v>8</v>
      </c>
      <c r="C474" s="109">
        <v>0.006716287066194727</v>
      </c>
      <c r="D474" s="79" t="s">
        <v>1653</v>
      </c>
      <c r="E474" s="79" t="b">
        <v>0</v>
      </c>
      <c r="F474" s="79" t="b">
        <v>0</v>
      </c>
      <c r="G474" s="79" t="b">
        <v>0</v>
      </c>
    </row>
    <row r="475" spans="1:7" ht="15">
      <c r="A475" s="85" t="s">
        <v>1757</v>
      </c>
      <c r="B475" s="79">
        <v>8</v>
      </c>
      <c r="C475" s="109">
        <v>0.006716287066194727</v>
      </c>
      <c r="D475" s="79" t="s">
        <v>1653</v>
      </c>
      <c r="E475" s="79" t="b">
        <v>0</v>
      </c>
      <c r="F475" s="79" t="b">
        <v>0</v>
      </c>
      <c r="G475" s="79" t="b">
        <v>0</v>
      </c>
    </row>
    <row r="476" spans="1:7" ht="15">
      <c r="A476" s="85" t="s">
        <v>1775</v>
      </c>
      <c r="B476" s="79">
        <v>8</v>
      </c>
      <c r="C476" s="109">
        <v>0.006716287066194727</v>
      </c>
      <c r="D476" s="79" t="s">
        <v>1653</v>
      </c>
      <c r="E476" s="79" t="b">
        <v>0</v>
      </c>
      <c r="F476" s="79" t="b">
        <v>0</v>
      </c>
      <c r="G476" s="79" t="b">
        <v>0</v>
      </c>
    </row>
    <row r="477" spans="1:7" ht="15">
      <c r="A477" s="85" t="s">
        <v>1776</v>
      </c>
      <c r="B477" s="79">
        <v>8</v>
      </c>
      <c r="C477" s="109">
        <v>0.006716287066194727</v>
      </c>
      <c r="D477" s="79" t="s">
        <v>1653</v>
      </c>
      <c r="E477" s="79" t="b">
        <v>0</v>
      </c>
      <c r="F477" s="79" t="b">
        <v>0</v>
      </c>
      <c r="G477" s="79" t="b">
        <v>0</v>
      </c>
    </row>
    <row r="478" spans="1:7" ht="15">
      <c r="A478" s="85" t="s">
        <v>268</v>
      </c>
      <c r="B478" s="79">
        <v>8</v>
      </c>
      <c r="C478" s="109">
        <v>0.006716287066194727</v>
      </c>
      <c r="D478" s="79" t="s">
        <v>1653</v>
      </c>
      <c r="E478" s="79" t="b">
        <v>0</v>
      </c>
      <c r="F478" s="79" t="b">
        <v>0</v>
      </c>
      <c r="G478" s="79" t="b">
        <v>0</v>
      </c>
    </row>
    <row r="479" spans="1:7" ht="15">
      <c r="A479" s="85" t="s">
        <v>1777</v>
      </c>
      <c r="B479" s="79">
        <v>8</v>
      </c>
      <c r="C479" s="109">
        <v>0.006716287066194727</v>
      </c>
      <c r="D479" s="79" t="s">
        <v>1653</v>
      </c>
      <c r="E479" s="79" t="b">
        <v>0</v>
      </c>
      <c r="F479" s="79" t="b">
        <v>0</v>
      </c>
      <c r="G479" s="79" t="b">
        <v>0</v>
      </c>
    </row>
    <row r="480" spans="1:7" ht="15">
      <c r="A480" s="85" t="s">
        <v>1778</v>
      </c>
      <c r="B480" s="79">
        <v>8</v>
      </c>
      <c r="C480" s="109">
        <v>0.006716287066194727</v>
      </c>
      <c r="D480" s="79" t="s">
        <v>1653</v>
      </c>
      <c r="E480" s="79" t="b">
        <v>0</v>
      </c>
      <c r="F480" s="79" t="b">
        <v>0</v>
      </c>
      <c r="G480" s="79" t="b">
        <v>0</v>
      </c>
    </row>
    <row r="481" spans="1:7" ht="15">
      <c r="A481" s="85" t="s">
        <v>1779</v>
      </c>
      <c r="B481" s="79">
        <v>8</v>
      </c>
      <c r="C481" s="109">
        <v>0.006716287066194727</v>
      </c>
      <c r="D481" s="79" t="s">
        <v>1653</v>
      </c>
      <c r="E481" s="79" t="b">
        <v>0</v>
      </c>
      <c r="F481" s="79" t="b">
        <v>0</v>
      </c>
      <c r="G481" s="79" t="b">
        <v>0</v>
      </c>
    </row>
    <row r="482" spans="1:7" ht="15">
      <c r="A482" s="85" t="s">
        <v>1780</v>
      </c>
      <c r="B482" s="79">
        <v>8</v>
      </c>
      <c r="C482" s="109">
        <v>0.006716287066194727</v>
      </c>
      <c r="D482" s="79" t="s">
        <v>1653</v>
      </c>
      <c r="E482" s="79" t="b">
        <v>0</v>
      </c>
      <c r="F482" s="79" t="b">
        <v>0</v>
      </c>
      <c r="G482" s="79" t="b">
        <v>0</v>
      </c>
    </row>
    <row r="483" spans="1:7" ht="15">
      <c r="A483" s="85" t="s">
        <v>1781</v>
      </c>
      <c r="B483" s="79">
        <v>8</v>
      </c>
      <c r="C483" s="109">
        <v>0.006716287066194727</v>
      </c>
      <c r="D483" s="79" t="s">
        <v>1653</v>
      </c>
      <c r="E483" s="79" t="b">
        <v>0</v>
      </c>
      <c r="F483" s="79" t="b">
        <v>0</v>
      </c>
      <c r="G483" s="79" t="b">
        <v>0</v>
      </c>
    </row>
    <row r="484" spans="1:7" ht="15">
      <c r="A484" s="85" t="s">
        <v>1747</v>
      </c>
      <c r="B484" s="79">
        <v>8</v>
      </c>
      <c r="C484" s="109">
        <v>0.006716287066194727</v>
      </c>
      <c r="D484" s="79" t="s">
        <v>1653</v>
      </c>
      <c r="E484" s="79" t="b">
        <v>0</v>
      </c>
      <c r="F484" s="79" t="b">
        <v>0</v>
      </c>
      <c r="G484" s="79" t="b">
        <v>0</v>
      </c>
    </row>
    <row r="485" spans="1:7" ht="15">
      <c r="A485" s="85" t="s">
        <v>1768</v>
      </c>
      <c r="B485" s="79">
        <v>8</v>
      </c>
      <c r="C485" s="109">
        <v>0.006716287066194727</v>
      </c>
      <c r="D485" s="79" t="s">
        <v>1653</v>
      </c>
      <c r="E485" s="79" t="b">
        <v>0</v>
      </c>
      <c r="F485" s="79" t="b">
        <v>0</v>
      </c>
      <c r="G485" s="79" t="b">
        <v>0</v>
      </c>
    </row>
    <row r="486" spans="1:7" ht="15">
      <c r="A486" s="85" t="s">
        <v>1792</v>
      </c>
      <c r="B486" s="79">
        <v>7</v>
      </c>
      <c r="C486" s="109">
        <v>0.006733172340818714</v>
      </c>
      <c r="D486" s="79" t="s">
        <v>1653</v>
      </c>
      <c r="E486" s="79" t="b">
        <v>0</v>
      </c>
      <c r="F486" s="79" t="b">
        <v>0</v>
      </c>
      <c r="G486" s="79" t="b">
        <v>0</v>
      </c>
    </row>
    <row r="487" spans="1:7" ht="15">
      <c r="A487" s="85" t="s">
        <v>1793</v>
      </c>
      <c r="B487" s="79">
        <v>7</v>
      </c>
      <c r="C487" s="109">
        <v>0.006733172340818714</v>
      </c>
      <c r="D487" s="79" t="s">
        <v>1653</v>
      </c>
      <c r="E487" s="79" t="b">
        <v>0</v>
      </c>
      <c r="F487" s="79" t="b">
        <v>0</v>
      </c>
      <c r="G487" s="79" t="b">
        <v>0</v>
      </c>
    </row>
    <row r="488" spans="1:7" ht="15">
      <c r="A488" s="85" t="s">
        <v>1821</v>
      </c>
      <c r="B488" s="79">
        <v>5</v>
      </c>
      <c r="C488" s="109">
        <v>0.00635084379037935</v>
      </c>
      <c r="D488" s="79" t="s">
        <v>1653</v>
      </c>
      <c r="E488" s="79" t="b">
        <v>0</v>
      </c>
      <c r="F488" s="79" t="b">
        <v>0</v>
      </c>
      <c r="G488" s="79" t="b">
        <v>0</v>
      </c>
    </row>
    <row r="489" spans="1:7" ht="15">
      <c r="A489" s="85" t="s">
        <v>1822</v>
      </c>
      <c r="B489" s="79">
        <v>5</v>
      </c>
      <c r="C489" s="109">
        <v>0.00635084379037935</v>
      </c>
      <c r="D489" s="79" t="s">
        <v>1653</v>
      </c>
      <c r="E489" s="79" t="b">
        <v>0</v>
      </c>
      <c r="F489" s="79" t="b">
        <v>0</v>
      </c>
      <c r="G489" s="79" t="b">
        <v>0</v>
      </c>
    </row>
    <row r="490" spans="1:7" ht="15">
      <c r="A490" s="85" t="s">
        <v>1823</v>
      </c>
      <c r="B490" s="79">
        <v>5</v>
      </c>
      <c r="C490" s="109">
        <v>0.00635084379037935</v>
      </c>
      <c r="D490" s="79" t="s">
        <v>1653</v>
      </c>
      <c r="E490" s="79" t="b">
        <v>0</v>
      </c>
      <c r="F490" s="79" t="b">
        <v>0</v>
      </c>
      <c r="G490" s="79" t="b">
        <v>0</v>
      </c>
    </row>
    <row r="491" spans="1:7" ht="15">
      <c r="A491" s="85" t="s">
        <v>1824</v>
      </c>
      <c r="B491" s="79">
        <v>5</v>
      </c>
      <c r="C491" s="109">
        <v>0.00635084379037935</v>
      </c>
      <c r="D491" s="79" t="s">
        <v>1653</v>
      </c>
      <c r="E491" s="79" t="b">
        <v>0</v>
      </c>
      <c r="F491" s="79" t="b">
        <v>0</v>
      </c>
      <c r="G491" s="79" t="b">
        <v>0</v>
      </c>
    </row>
    <row r="492" spans="1:7" ht="15">
      <c r="A492" s="85" t="s">
        <v>1825</v>
      </c>
      <c r="B492" s="79">
        <v>5</v>
      </c>
      <c r="C492" s="109">
        <v>0.00635084379037935</v>
      </c>
      <c r="D492" s="79" t="s">
        <v>1653</v>
      </c>
      <c r="E492" s="79" t="b">
        <v>0</v>
      </c>
      <c r="F492" s="79" t="b">
        <v>0</v>
      </c>
      <c r="G492" s="79" t="b">
        <v>0</v>
      </c>
    </row>
    <row r="493" spans="1:7" ht="15">
      <c r="A493" s="85" t="s">
        <v>1826</v>
      </c>
      <c r="B493" s="79">
        <v>5</v>
      </c>
      <c r="C493" s="109">
        <v>0.00635084379037935</v>
      </c>
      <c r="D493" s="79" t="s">
        <v>1653</v>
      </c>
      <c r="E493" s="79" t="b">
        <v>1</v>
      </c>
      <c r="F493" s="79" t="b">
        <v>0</v>
      </c>
      <c r="G493" s="79" t="b">
        <v>0</v>
      </c>
    </row>
    <row r="494" spans="1:7" ht="15">
      <c r="A494" s="85" t="s">
        <v>1827</v>
      </c>
      <c r="B494" s="79">
        <v>5</v>
      </c>
      <c r="C494" s="109">
        <v>0.00635084379037935</v>
      </c>
      <c r="D494" s="79" t="s">
        <v>1653</v>
      </c>
      <c r="E494" s="79" t="b">
        <v>0</v>
      </c>
      <c r="F494" s="79" t="b">
        <v>0</v>
      </c>
      <c r="G494" s="79" t="b">
        <v>0</v>
      </c>
    </row>
    <row r="495" spans="1:7" ht="15">
      <c r="A495" s="85" t="s">
        <v>1828</v>
      </c>
      <c r="B495" s="79">
        <v>5</v>
      </c>
      <c r="C495" s="109">
        <v>0.00635084379037935</v>
      </c>
      <c r="D495" s="79" t="s">
        <v>1653</v>
      </c>
      <c r="E495" s="79" t="b">
        <v>0</v>
      </c>
      <c r="F495" s="79" t="b">
        <v>0</v>
      </c>
      <c r="G495" s="79" t="b">
        <v>0</v>
      </c>
    </row>
    <row r="496" spans="1:7" ht="15">
      <c r="A496" s="85" t="s">
        <v>1829</v>
      </c>
      <c r="B496" s="79">
        <v>5</v>
      </c>
      <c r="C496" s="109">
        <v>0.00635084379037935</v>
      </c>
      <c r="D496" s="79" t="s">
        <v>1653</v>
      </c>
      <c r="E496" s="79" t="b">
        <v>0</v>
      </c>
      <c r="F496" s="79" t="b">
        <v>0</v>
      </c>
      <c r="G496" s="79" t="b">
        <v>0</v>
      </c>
    </row>
    <row r="497" spans="1:7" ht="15">
      <c r="A497" s="85" t="s">
        <v>1830</v>
      </c>
      <c r="B497" s="79">
        <v>5</v>
      </c>
      <c r="C497" s="109">
        <v>0.00635084379037935</v>
      </c>
      <c r="D497" s="79" t="s">
        <v>1653</v>
      </c>
      <c r="E497" s="79" t="b">
        <v>0</v>
      </c>
      <c r="F497" s="79" t="b">
        <v>0</v>
      </c>
      <c r="G497" s="79" t="b">
        <v>0</v>
      </c>
    </row>
    <row r="498" spans="1:7" ht="15">
      <c r="A498" s="85" t="s">
        <v>1831</v>
      </c>
      <c r="B498" s="79">
        <v>5</v>
      </c>
      <c r="C498" s="109">
        <v>0.00635084379037935</v>
      </c>
      <c r="D498" s="79" t="s">
        <v>1653</v>
      </c>
      <c r="E498" s="79" t="b">
        <v>0</v>
      </c>
      <c r="F498" s="79" t="b">
        <v>0</v>
      </c>
      <c r="G498" s="79" t="b">
        <v>0</v>
      </c>
    </row>
    <row r="499" spans="1:7" ht="15">
      <c r="A499" s="85" t="s">
        <v>1832</v>
      </c>
      <c r="B499" s="79">
        <v>5</v>
      </c>
      <c r="C499" s="109">
        <v>0.00635084379037935</v>
      </c>
      <c r="D499" s="79" t="s">
        <v>1653</v>
      </c>
      <c r="E499" s="79" t="b">
        <v>0</v>
      </c>
      <c r="F499" s="79" t="b">
        <v>0</v>
      </c>
      <c r="G499" s="79" t="b">
        <v>0</v>
      </c>
    </row>
    <row r="500" spans="1:7" ht="15">
      <c r="A500" s="85" t="s">
        <v>1833</v>
      </c>
      <c r="B500" s="79">
        <v>5</v>
      </c>
      <c r="C500" s="109">
        <v>0.00635084379037935</v>
      </c>
      <c r="D500" s="79" t="s">
        <v>1653</v>
      </c>
      <c r="E500" s="79" t="b">
        <v>0</v>
      </c>
      <c r="F500" s="79" t="b">
        <v>0</v>
      </c>
      <c r="G500" s="79" t="b">
        <v>0</v>
      </c>
    </row>
    <row r="501" spans="1:7" ht="15">
      <c r="A501" s="85" t="s">
        <v>1834</v>
      </c>
      <c r="B501" s="79">
        <v>5</v>
      </c>
      <c r="C501" s="109">
        <v>0.00635084379037935</v>
      </c>
      <c r="D501" s="79" t="s">
        <v>1653</v>
      </c>
      <c r="E501" s="79" t="b">
        <v>0</v>
      </c>
      <c r="F501" s="79" t="b">
        <v>0</v>
      </c>
      <c r="G501" s="79" t="b">
        <v>0</v>
      </c>
    </row>
    <row r="502" spans="1:7" ht="15">
      <c r="A502" s="85" t="s">
        <v>1835</v>
      </c>
      <c r="B502" s="79">
        <v>5</v>
      </c>
      <c r="C502" s="109">
        <v>0.00635084379037935</v>
      </c>
      <c r="D502" s="79" t="s">
        <v>1653</v>
      </c>
      <c r="E502" s="79" t="b">
        <v>0</v>
      </c>
      <c r="F502" s="79" t="b">
        <v>0</v>
      </c>
      <c r="G502" s="79" t="b">
        <v>0</v>
      </c>
    </row>
    <row r="503" spans="1:7" ht="15">
      <c r="A503" s="85" t="s">
        <v>1836</v>
      </c>
      <c r="B503" s="79">
        <v>5</v>
      </c>
      <c r="C503" s="109">
        <v>0.00635084379037935</v>
      </c>
      <c r="D503" s="79" t="s">
        <v>1653</v>
      </c>
      <c r="E503" s="79" t="b">
        <v>0</v>
      </c>
      <c r="F503" s="79" t="b">
        <v>0</v>
      </c>
      <c r="G503" s="79" t="b">
        <v>0</v>
      </c>
    </row>
    <row r="504" spans="1:7" ht="15">
      <c r="A504" s="85" t="s">
        <v>1837</v>
      </c>
      <c r="B504" s="79">
        <v>5</v>
      </c>
      <c r="C504" s="109">
        <v>0.00635084379037935</v>
      </c>
      <c r="D504" s="79" t="s">
        <v>1653</v>
      </c>
      <c r="E504" s="79" t="b">
        <v>0</v>
      </c>
      <c r="F504" s="79" t="b">
        <v>0</v>
      </c>
      <c r="G504" s="79" t="b">
        <v>0</v>
      </c>
    </row>
    <row r="505" spans="1:7" ht="15">
      <c r="A505" s="85" t="s">
        <v>1838</v>
      </c>
      <c r="B505" s="79">
        <v>5</v>
      </c>
      <c r="C505" s="109">
        <v>0.00635084379037935</v>
      </c>
      <c r="D505" s="79" t="s">
        <v>1653</v>
      </c>
      <c r="E505" s="79" t="b">
        <v>0</v>
      </c>
      <c r="F505" s="79" t="b">
        <v>0</v>
      </c>
      <c r="G505" s="79" t="b">
        <v>0</v>
      </c>
    </row>
    <row r="506" spans="1:7" ht="15">
      <c r="A506" s="85" t="s">
        <v>1865</v>
      </c>
      <c r="B506" s="79">
        <v>4</v>
      </c>
      <c r="C506" s="109">
        <v>0.005898481049249104</v>
      </c>
      <c r="D506" s="79" t="s">
        <v>1653</v>
      </c>
      <c r="E506" s="79" t="b">
        <v>0</v>
      </c>
      <c r="F506" s="79" t="b">
        <v>0</v>
      </c>
      <c r="G506" s="79" t="b">
        <v>0</v>
      </c>
    </row>
    <row r="507" spans="1:7" ht="15">
      <c r="A507" s="85" t="s">
        <v>1866</v>
      </c>
      <c r="B507" s="79">
        <v>4</v>
      </c>
      <c r="C507" s="109">
        <v>0.005898481049249104</v>
      </c>
      <c r="D507" s="79" t="s">
        <v>1653</v>
      </c>
      <c r="E507" s="79" t="b">
        <v>0</v>
      </c>
      <c r="F507" s="79" t="b">
        <v>0</v>
      </c>
      <c r="G507" s="79" t="b">
        <v>0</v>
      </c>
    </row>
    <row r="508" spans="1:7" ht="15">
      <c r="A508" s="85" t="s">
        <v>1867</v>
      </c>
      <c r="B508" s="79">
        <v>4</v>
      </c>
      <c r="C508" s="109">
        <v>0.005898481049249104</v>
      </c>
      <c r="D508" s="79" t="s">
        <v>1653</v>
      </c>
      <c r="E508" s="79" t="b">
        <v>0</v>
      </c>
      <c r="F508" s="79" t="b">
        <v>0</v>
      </c>
      <c r="G508" s="79" t="b">
        <v>0</v>
      </c>
    </row>
    <row r="509" spans="1:7" ht="15">
      <c r="A509" s="85" t="s">
        <v>1820</v>
      </c>
      <c r="B509" s="79">
        <v>4</v>
      </c>
      <c r="C509" s="109">
        <v>0.005898481049249104</v>
      </c>
      <c r="D509" s="79" t="s">
        <v>1653</v>
      </c>
      <c r="E509" s="79" t="b">
        <v>0</v>
      </c>
      <c r="F509" s="79" t="b">
        <v>0</v>
      </c>
      <c r="G509" s="79" t="b">
        <v>0</v>
      </c>
    </row>
    <row r="510" spans="1:7" ht="15">
      <c r="A510" s="85" t="s">
        <v>1868</v>
      </c>
      <c r="B510" s="79">
        <v>4</v>
      </c>
      <c r="C510" s="109">
        <v>0.005898481049249104</v>
      </c>
      <c r="D510" s="79" t="s">
        <v>1653</v>
      </c>
      <c r="E510" s="79" t="b">
        <v>0</v>
      </c>
      <c r="F510" s="79" t="b">
        <v>0</v>
      </c>
      <c r="G510" s="79" t="b">
        <v>0</v>
      </c>
    </row>
    <row r="511" spans="1:7" ht="15">
      <c r="A511" s="85" t="s">
        <v>1869</v>
      </c>
      <c r="B511" s="79">
        <v>4</v>
      </c>
      <c r="C511" s="109">
        <v>0.005898481049249104</v>
      </c>
      <c r="D511" s="79" t="s">
        <v>1653</v>
      </c>
      <c r="E511" s="79" t="b">
        <v>0</v>
      </c>
      <c r="F511" s="79" t="b">
        <v>0</v>
      </c>
      <c r="G511" s="79" t="b">
        <v>0</v>
      </c>
    </row>
    <row r="512" spans="1:7" ht="15">
      <c r="A512" s="85" t="s">
        <v>1870</v>
      </c>
      <c r="B512" s="79">
        <v>4</v>
      </c>
      <c r="C512" s="109">
        <v>0.005898481049249104</v>
      </c>
      <c r="D512" s="79" t="s">
        <v>1653</v>
      </c>
      <c r="E512" s="79" t="b">
        <v>0</v>
      </c>
      <c r="F512" s="79" t="b">
        <v>0</v>
      </c>
      <c r="G512" s="79" t="b">
        <v>0</v>
      </c>
    </row>
    <row r="513" spans="1:7" ht="15">
      <c r="A513" s="85" t="s">
        <v>1871</v>
      </c>
      <c r="B513" s="79">
        <v>4</v>
      </c>
      <c r="C513" s="109">
        <v>0.005898481049249104</v>
      </c>
      <c r="D513" s="79" t="s">
        <v>1653</v>
      </c>
      <c r="E513" s="79" t="b">
        <v>0</v>
      </c>
      <c r="F513" s="79" t="b">
        <v>0</v>
      </c>
      <c r="G513" s="79" t="b">
        <v>0</v>
      </c>
    </row>
    <row r="514" spans="1:7" ht="15">
      <c r="A514" s="85" t="s">
        <v>1872</v>
      </c>
      <c r="B514" s="79">
        <v>4</v>
      </c>
      <c r="C514" s="109">
        <v>0.005898481049249104</v>
      </c>
      <c r="D514" s="79" t="s">
        <v>1653</v>
      </c>
      <c r="E514" s="79" t="b">
        <v>0</v>
      </c>
      <c r="F514" s="79" t="b">
        <v>0</v>
      </c>
      <c r="G514" s="79" t="b">
        <v>0</v>
      </c>
    </row>
    <row r="515" spans="1:7" ht="15">
      <c r="A515" s="85" t="s">
        <v>1873</v>
      </c>
      <c r="B515" s="79">
        <v>4</v>
      </c>
      <c r="C515" s="109">
        <v>0.005898481049249104</v>
      </c>
      <c r="D515" s="79" t="s">
        <v>1653</v>
      </c>
      <c r="E515" s="79" t="b">
        <v>0</v>
      </c>
      <c r="F515" s="79" t="b">
        <v>0</v>
      </c>
      <c r="G515" s="79" t="b">
        <v>0</v>
      </c>
    </row>
    <row r="516" spans="1:7" ht="15">
      <c r="A516" s="85" t="s">
        <v>1874</v>
      </c>
      <c r="B516" s="79">
        <v>4</v>
      </c>
      <c r="C516" s="109">
        <v>0.005898481049249104</v>
      </c>
      <c r="D516" s="79" t="s">
        <v>1653</v>
      </c>
      <c r="E516" s="79" t="b">
        <v>0</v>
      </c>
      <c r="F516" s="79" t="b">
        <v>0</v>
      </c>
      <c r="G516" s="79" t="b">
        <v>0</v>
      </c>
    </row>
    <row r="517" spans="1:7" ht="15">
      <c r="A517" s="85" t="s">
        <v>1875</v>
      </c>
      <c r="B517" s="79">
        <v>4</v>
      </c>
      <c r="C517" s="109">
        <v>0.005898481049249104</v>
      </c>
      <c r="D517" s="79" t="s">
        <v>1653</v>
      </c>
      <c r="E517" s="79" t="b">
        <v>0</v>
      </c>
      <c r="F517" s="79" t="b">
        <v>0</v>
      </c>
      <c r="G517" s="79" t="b">
        <v>0</v>
      </c>
    </row>
    <row r="518" spans="1:7" ht="15">
      <c r="A518" s="85" t="s">
        <v>1876</v>
      </c>
      <c r="B518" s="79">
        <v>4</v>
      </c>
      <c r="C518" s="109">
        <v>0.005898481049249104</v>
      </c>
      <c r="D518" s="79" t="s">
        <v>1653</v>
      </c>
      <c r="E518" s="79" t="b">
        <v>0</v>
      </c>
      <c r="F518" s="79" t="b">
        <v>0</v>
      </c>
      <c r="G518" s="79" t="b">
        <v>0</v>
      </c>
    </row>
    <row r="519" spans="1:7" ht="15">
      <c r="A519" s="85" t="s">
        <v>1877</v>
      </c>
      <c r="B519" s="79">
        <v>4</v>
      </c>
      <c r="C519" s="109">
        <v>0.005898481049249104</v>
      </c>
      <c r="D519" s="79" t="s">
        <v>1653</v>
      </c>
      <c r="E519" s="79" t="b">
        <v>0</v>
      </c>
      <c r="F519" s="79" t="b">
        <v>0</v>
      </c>
      <c r="G519" s="79" t="b">
        <v>0</v>
      </c>
    </row>
    <row r="520" spans="1:7" ht="15">
      <c r="A520" s="85" t="s">
        <v>1914</v>
      </c>
      <c r="B520" s="79">
        <v>3</v>
      </c>
      <c r="C520" s="109">
        <v>0.005214612284457714</v>
      </c>
      <c r="D520" s="79" t="s">
        <v>1653</v>
      </c>
      <c r="E520" s="79" t="b">
        <v>0</v>
      </c>
      <c r="F520" s="79" t="b">
        <v>0</v>
      </c>
      <c r="G520" s="79" t="b">
        <v>0</v>
      </c>
    </row>
    <row r="521" spans="1:7" ht="15">
      <c r="A521" s="85" t="s">
        <v>1840</v>
      </c>
      <c r="B521" s="79">
        <v>3</v>
      </c>
      <c r="C521" s="109">
        <v>0.005214612284457714</v>
      </c>
      <c r="D521" s="79" t="s">
        <v>1653</v>
      </c>
      <c r="E521" s="79" t="b">
        <v>0</v>
      </c>
      <c r="F521" s="79" t="b">
        <v>0</v>
      </c>
      <c r="G521" s="79" t="b">
        <v>0</v>
      </c>
    </row>
    <row r="522" spans="1:7" ht="15">
      <c r="A522" s="85" t="s">
        <v>1915</v>
      </c>
      <c r="B522" s="79">
        <v>3</v>
      </c>
      <c r="C522" s="109">
        <v>0.005214612284457714</v>
      </c>
      <c r="D522" s="79" t="s">
        <v>1653</v>
      </c>
      <c r="E522" s="79" t="b">
        <v>0</v>
      </c>
      <c r="F522" s="79" t="b">
        <v>0</v>
      </c>
      <c r="G522" s="79" t="b">
        <v>0</v>
      </c>
    </row>
    <row r="523" spans="1:7" ht="15">
      <c r="A523" s="85" t="s">
        <v>1916</v>
      </c>
      <c r="B523" s="79">
        <v>3</v>
      </c>
      <c r="C523" s="109">
        <v>0.005214612284457714</v>
      </c>
      <c r="D523" s="79" t="s">
        <v>1653</v>
      </c>
      <c r="E523" s="79" t="b">
        <v>0</v>
      </c>
      <c r="F523" s="79" t="b">
        <v>0</v>
      </c>
      <c r="G523" s="79" t="b">
        <v>0</v>
      </c>
    </row>
    <row r="524" spans="1:7" ht="15">
      <c r="A524" s="85" t="s">
        <v>1917</v>
      </c>
      <c r="B524" s="79">
        <v>3</v>
      </c>
      <c r="C524" s="109">
        <v>0.005214612284457714</v>
      </c>
      <c r="D524" s="79" t="s">
        <v>1653</v>
      </c>
      <c r="E524" s="79" t="b">
        <v>0</v>
      </c>
      <c r="F524" s="79" t="b">
        <v>0</v>
      </c>
      <c r="G524" s="79" t="b">
        <v>0</v>
      </c>
    </row>
    <row r="525" spans="1:7" ht="15">
      <c r="A525" s="85" t="s">
        <v>1918</v>
      </c>
      <c r="B525" s="79">
        <v>3</v>
      </c>
      <c r="C525" s="109">
        <v>0.005214612284457714</v>
      </c>
      <c r="D525" s="79" t="s">
        <v>1653</v>
      </c>
      <c r="E525" s="79" t="b">
        <v>0</v>
      </c>
      <c r="F525" s="79" t="b">
        <v>0</v>
      </c>
      <c r="G525" s="79" t="b">
        <v>0</v>
      </c>
    </row>
    <row r="526" spans="1:7" ht="15">
      <c r="A526" s="85" t="s">
        <v>1919</v>
      </c>
      <c r="B526" s="79">
        <v>3</v>
      </c>
      <c r="C526" s="109">
        <v>0.005214612284457714</v>
      </c>
      <c r="D526" s="79" t="s">
        <v>1653</v>
      </c>
      <c r="E526" s="79" t="b">
        <v>0</v>
      </c>
      <c r="F526" s="79" t="b">
        <v>0</v>
      </c>
      <c r="G526" s="79" t="b">
        <v>0</v>
      </c>
    </row>
    <row r="527" spans="1:7" ht="15">
      <c r="A527" s="85" t="s">
        <v>1920</v>
      </c>
      <c r="B527" s="79">
        <v>3</v>
      </c>
      <c r="C527" s="109">
        <v>0.005214612284457714</v>
      </c>
      <c r="D527" s="79" t="s">
        <v>1653</v>
      </c>
      <c r="E527" s="79" t="b">
        <v>0</v>
      </c>
      <c r="F527" s="79" t="b">
        <v>0</v>
      </c>
      <c r="G527" s="79" t="b">
        <v>0</v>
      </c>
    </row>
    <row r="528" spans="1:7" ht="15">
      <c r="A528" s="85" t="s">
        <v>1921</v>
      </c>
      <c r="B528" s="79">
        <v>3</v>
      </c>
      <c r="C528" s="109">
        <v>0.005214612284457714</v>
      </c>
      <c r="D528" s="79" t="s">
        <v>1653</v>
      </c>
      <c r="E528" s="79" t="b">
        <v>0</v>
      </c>
      <c r="F528" s="79" t="b">
        <v>0</v>
      </c>
      <c r="G528" s="79" t="b">
        <v>0</v>
      </c>
    </row>
    <row r="529" spans="1:7" ht="15">
      <c r="A529" s="85" t="s">
        <v>1922</v>
      </c>
      <c r="B529" s="79">
        <v>3</v>
      </c>
      <c r="C529" s="109">
        <v>0.005214612284457714</v>
      </c>
      <c r="D529" s="79" t="s">
        <v>1653</v>
      </c>
      <c r="E529" s="79" t="b">
        <v>0</v>
      </c>
      <c r="F529" s="79" t="b">
        <v>0</v>
      </c>
      <c r="G529" s="79" t="b">
        <v>0</v>
      </c>
    </row>
    <row r="530" spans="1:7" ht="15">
      <c r="A530" s="85" t="s">
        <v>1923</v>
      </c>
      <c r="B530" s="79">
        <v>3</v>
      </c>
      <c r="C530" s="109">
        <v>0.005214612284457714</v>
      </c>
      <c r="D530" s="79" t="s">
        <v>1653</v>
      </c>
      <c r="E530" s="79" t="b">
        <v>0</v>
      </c>
      <c r="F530" s="79" t="b">
        <v>0</v>
      </c>
      <c r="G530" s="79" t="b">
        <v>0</v>
      </c>
    </row>
    <row r="531" spans="1:7" ht="15">
      <c r="A531" s="85" t="s">
        <v>1924</v>
      </c>
      <c r="B531" s="79">
        <v>3</v>
      </c>
      <c r="C531" s="109">
        <v>0.005214612284457714</v>
      </c>
      <c r="D531" s="79" t="s">
        <v>1653</v>
      </c>
      <c r="E531" s="79" t="b">
        <v>0</v>
      </c>
      <c r="F531" s="79" t="b">
        <v>0</v>
      </c>
      <c r="G531" s="79" t="b">
        <v>0</v>
      </c>
    </row>
    <row r="532" spans="1:7" ht="15">
      <c r="A532" s="85" t="s">
        <v>1925</v>
      </c>
      <c r="B532" s="79">
        <v>3</v>
      </c>
      <c r="C532" s="109">
        <v>0.005214612284457714</v>
      </c>
      <c r="D532" s="79" t="s">
        <v>1653</v>
      </c>
      <c r="E532" s="79" t="b">
        <v>0</v>
      </c>
      <c r="F532" s="79" t="b">
        <v>0</v>
      </c>
      <c r="G532" s="79" t="b">
        <v>0</v>
      </c>
    </row>
    <row r="533" spans="1:7" ht="15">
      <c r="A533" s="85" t="s">
        <v>1926</v>
      </c>
      <c r="B533" s="79">
        <v>3</v>
      </c>
      <c r="C533" s="109">
        <v>0.005214612284457714</v>
      </c>
      <c r="D533" s="79" t="s">
        <v>1653</v>
      </c>
      <c r="E533" s="79" t="b">
        <v>0</v>
      </c>
      <c r="F533" s="79" t="b">
        <v>0</v>
      </c>
      <c r="G533" s="79" t="b">
        <v>0</v>
      </c>
    </row>
    <row r="534" spans="1:7" ht="15">
      <c r="A534" s="85" t="s">
        <v>1927</v>
      </c>
      <c r="B534" s="79">
        <v>3</v>
      </c>
      <c r="C534" s="109">
        <v>0.005214612284457714</v>
      </c>
      <c r="D534" s="79" t="s">
        <v>1653</v>
      </c>
      <c r="E534" s="79" t="b">
        <v>0</v>
      </c>
      <c r="F534" s="79" t="b">
        <v>0</v>
      </c>
      <c r="G534" s="79" t="b">
        <v>0</v>
      </c>
    </row>
    <row r="535" spans="1:7" ht="15">
      <c r="A535" s="85" t="s">
        <v>1928</v>
      </c>
      <c r="B535" s="79">
        <v>3</v>
      </c>
      <c r="C535" s="109">
        <v>0.005214612284457714</v>
      </c>
      <c r="D535" s="79" t="s">
        <v>1653</v>
      </c>
      <c r="E535" s="79" t="b">
        <v>0</v>
      </c>
      <c r="F535" s="79" t="b">
        <v>0</v>
      </c>
      <c r="G535" s="79" t="b">
        <v>0</v>
      </c>
    </row>
    <row r="536" spans="1:7" ht="15">
      <c r="A536" s="85" t="s">
        <v>1703</v>
      </c>
      <c r="B536" s="79">
        <v>15</v>
      </c>
      <c r="C536" s="109">
        <v>0</v>
      </c>
      <c r="D536" s="79" t="s">
        <v>1654</v>
      </c>
      <c r="E536" s="79" t="b">
        <v>0</v>
      </c>
      <c r="F536" s="79" t="b">
        <v>0</v>
      </c>
      <c r="G536" s="79" t="b">
        <v>0</v>
      </c>
    </row>
    <row r="537" spans="1:7" ht="15">
      <c r="A537" s="85" t="s">
        <v>1724</v>
      </c>
      <c r="B537" s="79">
        <v>6</v>
      </c>
      <c r="C537" s="109">
        <v>0.015066986991147235</v>
      </c>
      <c r="D537" s="79" t="s">
        <v>1654</v>
      </c>
      <c r="E537" s="79" t="b">
        <v>0</v>
      </c>
      <c r="F537" s="79" t="b">
        <v>0</v>
      </c>
      <c r="G537" s="79" t="b">
        <v>0</v>
      </c>
    </row>
    <row r="538" spans="1:7" ht="15">
      <c r="A538" s="85" t="s">
        <v>1730</v>
      </c>
      <c r="B538" s="79">
        <v>4</v>
      </c>
      <c r="C538" s="109">
        <v>0.012084868794267765</v>
      </c>
      <c r="D538" s="79" t="s">
        <v>1654</v>
      </c>
      <c r="E538" s="79" t="b">
        <v>0</v>
      </c>
      <c r="F538" s="79" t="b">
        <v>0</v>
      </c>
      <c r="G538" s="79" t="b">
        <v>0</v>
      </c>
    </row>
    <row r="539" spans="1:7" ht="15">
      <c r="A539" s="85" t="s">
        <v>1706</v>
      </c>
      <c r="B539" s="79">
        <v>4</v>
      </c>
      <c r="C539" s="109">
        <v>0.012084868794267765</v>
      </c>
      <c r="D539" s="79" t="s">
        <v>1654</v>
      </c>
      <c r="E539" s="79" t="b">
        <v>0</v>
      </c>
      <c r="F539" s="79" t="b">
        <v>0</v>
      </c>
      <c r="G539" s="79" t="b">
        <v>0</v>
      </c>
    </row>
    <row r="540" spans="1:7" ht="15">
      <c r="A540" s="85" t="s">
        <v>1857</v>
      </c>
      <c r="B540" s="79">
        <v>4</v>
      </c>
      <c r="C540" s="109">
        <v>0.012084868794267765</v>
      </c>
      <c r="D540" s="79" t="s">
        <v>1654</v>
      </c>
      <c r="E540" s="79" t="b">
        <v>0</v>
      </c>
      <c r="F540" s="79" t="b">
        <v>0</v>
      </c>
      <c r="G540" s="79" t="b">
        <v>0</v>
      </c>
    </row>
    <row r="541" spans="1:7" ht="15">
      <c r="A541" s="85" t="s">
        <v>1880</v>
      </c>
      <c r="B541" s="79">
        <v>3</v>
      </c>
      <c r="C541" s="109">
        <v>0.011036368489516087</v>
      </c>
      <c r="D541" s="79" t="s">
        <v>1654</v>
      </c>
      <c r="E541" s="79" t="b">
        <v>0</v>
      </c>
      <c r="F541" s="79" t="b">
        <v>0</v>
      </c>
      <c r="G541" s="79" t="b">
        <v>0</v>
      </c>
    </row>
    <row r="542" spans="1:7" ht="15">
      <c r="A542" s="85" t="s">
        <v>1888</v>
      </c>
      <c r="B542" s="79">
        <v>3</v>
      </c>
      <c r="C542" s="109">
        <v>0.011036368489516087</v>
      </c>
      <c r="D542" s="79" t="s">
        <v>1654</v>
      </c>
      <c r="E542" s="79" t="b">
        <v>0</v>
      </c>
      <c r="F542" s="79" t="b">
        <v>0</v>
      </c>
      <c r="G542" s="79" t="b">
        <v>0</v>
      </c>
    </row>
    <row r="543" spans="1:7" ht="15">
      <c r="A543" s="85" t="s">
        <v>1704</v>
      </c>
      <c r="B543" s="79">
        <v>2</v>
      </c>
      <c r="C543" s="109">
        <v>0.009211171193596842</v>
      </c>
      <c r="D543" s="79" t="s">
        <v>1654</v>
      </c>
      <c r="E543" s="79" t="b">
        <v>0</v>
      </c>
      <c r="F543" s="79" t="b">
        <v>0</v>
      </c>
      <c r="G543" s="79" t="b">
        <v>0</v>
      </c>
    </row>
    <row r="544" spans="1:7" ht="15">
      <c r="A544" s="85" t="s">
        <v>1903</v>
      </c>
      <c r="B544" s="79">
        <v>2</v>
      </c>
      <c r="C544" s="109">
        <v>0.009211171193596842</v>
      </c>
      <c r="D544" s="79" t="s">
        <v>1654</v>
      </c>
      <c r="E544" s="79" t="b">
        <v>0</v>
      </c>
      <c r="F544" s="79" t="b">
        <v>0</v>
      </c>
      <c r="G544" s="79" t="b">
        <v>0</v>
      </c>
    </row>
    <row r="545" spans="1:7" ht="15">
      <c r="A545" s="85" t="s">
        <v>1759</v>
      </c>
      <c r="B545" s="79">
        <v>2</v>
      </c>
      <c r="C545" s="109">
        <v>0.009211171193596842</v>
      </c>
      <c r="D545" s="79" t="s">
        <v>1654</v>
      </c>
      <c r="E545" s="79" t="b">
        <v>0</v>
      </c>
      <c r="F545" s="79" t="b">
        <v>0</v>
      </c>
      <c r="G545" s="79" t="b">
        <v>0</v>
      </c>
    </row>
    <row r="546" spans="1:7" ht="15">
      <c r="A546" s="85" t="s">
        <v>1906</v>
      </c>
      <c r="B546" s="79">
        <v>2</v>
      </c>
      <c r="C546" s="109">
        <v>0.009211171193596842</v>
      </c>
      <c r="D546" s="79" t="s">
        <v>1654</v>
      </c>
      <c r="E546" s="79" t="b">
        <v>0</v>
      </c>
      <c r="F546" s="79" t="b">
        <v>0</v>
      </c>
      <c r="G546" s="79" t="b">
        <v>0</v>
      </c>
    </row>
    <row r="547" spans="1:7" ht="15">
      <c r="A547" s="85" t="s">
        <v>1965</v>
      </c>
      <c r="B547" s="79">
        <v>2</v>
      </c>
      <c r="C547" s="109">
        <v>0.009211171193596842</v>
      </c>
      <c r="D547" s="79" t="s">
        <v>1654</v>
      </c>
      <c r="E547" s="79" t="b">
        <v>0</v>
      </c>
      <c r="F547" s="79" t="b">
        <v>0</v>
      </c>
      <c r="G547" s="79" t="b">
        <v>0</v>
      </c>
    </row>
    <row r="548" spans="1:7" ht="15">
      <c r="A548" s="85" t="s">
        <v>1753</v>
      </c>
      <c r="B548" s="79">
        <v>2</v>
      </c>
      <c r="C548" s="109">
        <v>0.009211171193596842</v>
      </c>
      <c r="D548" s="79" t="s">
        <v>1654</v>
      </c>
      <c r="E548" s="79" t="b">
        <v>0</v>
      </c>
      <c r="F548" s="79" t="b">
        <v>0</v>
      </c>
      <c r="G548" s="79" t="b">
        <v>0</v>
      </c>
    </row>
    <row r="549" spans="1:7" ht="15">
      <c r="A549" s="85" t="s">
        <v>1963</v>
      </c>
      <c r="B549" s="79">
        <v>2</v>
      </c>
      <c r="C549" s="109">
        <v>0.009211171193596842</v>
      </c>
      <c r="D549" s="79" t="s">
        <v>1654</v>
      </c>
      <c r="E549" s="79" t="b">
        <v>0</v>
      </c>
      <c r="F549" s="79" t="b">
        <v>0</v>
      </c>
      <c r="G549" s="79" t="b">
        <v>0</v>
      </c>
    </row>
    <row r="550" spans="1:7" ht="15">
      <c r="A550" s="85" t="s">
        <v>1703</v>
      </c>
      <c r="B550" s="79">
        <v>6</v>
      </c>
      <c r="C550" s="109">
        <v>0</v>
      </c>
      <c r="D550" s="79" t="s">
        <v>1655</v>
      </c>
      <c r="E550" s="79" t="b">
        <v>0</v>
      </c>
      <c r="F550" s="79" t="b">
        <v>0</v>
      </c>
      <c r="G550" s="79" t="b">
        <v>0</v>
      </c>
    </row>
    <row r="551" spans="1:7" ht="15">
      <c r="A551" s="85" t="s">
        <v>363</v>
      </c>
      <c r="B551" s="79">
        <v>4</v>
      </c>
      <c r="C551" s="109">
        <v>0.009030320977214422</v>
      </c>
      <c r="D551" s="79" t="s">
        <v>1655</v>
      </c>
      <c r="E551" s="79" t="b">
        <v>0</v>
      </c>
      <c r="F551" s="79" t="b">
        <v>0</v>
      </c>
      <c r="G551" s="79" t="b">
        <v>0</v>
      </c>
    </row>
    <row r="552" spans="1:7" ht="15">
      <c r="A552" s="85" t="s">
        <v>1747</v>
      </c>
      <c r="B552" s="79">
        <v>4</v>
      </c>
      <c r="C552" s="109">
        <v>0.009030320977214422</v>
      </c>
      <c r="D552" s="79" t="s">
        <v>1655</v>
      </c>
      <c r="E552" s="79" t="b">
        <v>0</v>
      </c>
      <c r="F552" s="79" t="b">
        <v>0</v>
      </c>
      <c r="G552" s="79" t="b">
        <v>0</v>
      </c>
    </row>
    <row r="553" spans="1:7" ht="15">
      <c r="A553" s="85" t="s">
        <v>1966</v>
      </c>
      <c r="B553" s="79">
        <v>2</v>
      </c>
      <c r="C553" s="109">
        <v>0.01223387832614519</v>
      </c>
      <c r="D553" s="79" t="s">
        <v>1655</v>
      </c>
      <c r="E553" s="79" t="b">
        <v>0</v>
      </c>
      <c r="F553" s="79" t="b">
        <v>1</v>
      </c>
      <c r="G553" s="79" t="b">
        <v>0</v>
      </c>
    </row>
    <row r="554" spans="1:7" ht="15">
      <c r="A554" s="85" t="s">
        <v>1967</v>
      </c>
      <c r="B554" s="79">
        <v>2</v>
      </c>
      <c r="C554" s="109">
        <v>0.01223387832614519</v>
      </c>
      <c r="D554" s="79" t="s">
        <v>1655</v>
      </c>
      <c r="E554" s="79" t="b">
        <v>0</v>
      </c>
      <c r="F554" s="79" t="b">
        <v>0</v>
      </c>
      <c r="G554" s="79" t="b">
        <v>0</v>
      </c>
    </row>
    <row r="555" spans="1:7" ht="15">
      <c r="A555" s="85" t="s">
        <v>368</v>
      </c>
      <c r="B555" s="79">
        <v>2</v>
      </c>
      <c r="C555" s="109">
        <v>0.01223387832614519</v>
      </c>
      <c r="D555" s="79" t="s">
        <v>1655</v>
      </c>
      <c r="E555" s="79" t="b">
        <v>0</v>
      </c>
      <c r="F555" s="79" t="b">
        <v>0</v>
      </c>
      <c r="G555" s="79" t="b">
        <v>0</v>
      </c>
    </row>
    <row r="556" spans="1:7" ht="15">
      <c r="A556" s="85" t="s">
        <v>1707</v>
      </c>
      <c r="B556" s="79">
        <v>2</v>
      </c>
      <c r="C556" s="109">
        <v>0.01223387832614519</v>
      </c>
      <c r="D556" s="79" t="s">
        <v>1655</v>
      </c>
      <c r="E556" s="79" t="b">
        <v>0</v>
      </c>
      <c r="F556" s="79" t="b">
        <v>0</v>
      </c>
      <c r="G556" s="79" t="b">
        <v>0</v>
      </c>
    </row>
    <row r="557" spans="1:7" ht="15">
      <c r="A557" s="85" t="s">
        <v>1730</v>
      </c>
      <c r="B557" s="79">
        <v>2</v>
      </c>
      <c r="C557" s="109">
        <v>0.01223387832614519</v>
      </c>
      <c r="D557" s="79" t="s">
        <v>1655</v>
      </c>
      <c r="E557" s="79" t="b">
        <v>0</v>
      </c>
      <c r="F557" s="79" t="b">
        <v>0</v>
      </c>
      <c r="G557" s="79" t="b">
        <v>0</v>
      </c>
    </row>
    <row r="558" spans="1:7" ht="15">
      <c r="A558" s="85" t="s">
        <v>1968</v>
      </c>
      <c r="B558" s="79">
        <v>2</v>
      </c>
      <c r="C558" s="109">
        <v>0.01223387832614519</v>
      </c>
      <c r="D558" s="79" t="s">
        <v>1655</v>
      </c>
      <c r="E558" s="79" t="b">
        <v>0</v>
      </c>
      <c r="F558" s="79" t="b">
        <v>0</v>
      </c>
      <c r="G558" s="79" t="b">
        <v>0</v>
      </c>
    </row>
    <row r="559" spans="1:7" ht="15">
      <c r="A559" s="85" t="s">
        <v>1733</v>
      </c>
      <c r="B559" s="79">
        <v>2</v>
      </c>
      <c r="C559" s="109">
        <v>0.01223387832614519</v>
      </c>
      <c r="D559" s="79" t="s">
        <v>1655</v>
      </c>
      <c r="E559" s="79" t="b">
        <v>0</v>
      </c>
      <c r="F559" s="79" t="b">
        <v>0</v>
      </c>
      <c r="G559" s="79" t="b">
        <v>0</v>
      </c>
    </row>
    <row r="560" spans="1:7" ht="15">
      <c r="A560" s="85" t="s">
        <v>1969</v>
      </c>
      <c r="B560" s="79">
        <v>2</v>
      </c>
      <c r="C560" s="109">
        <v>0.01223387832614519</v>
      </c>
      <c r="D560" s="79" t="s">
        <v>1655</v>
      </c>
      <c r="E560" s="79" t="b">
        <v>0</v>
      </c>
      <c r="F560" s="79" t="b">
        <v>0</v>
      </c>
      <c r="G560" s="79" t="b">
        <v>0</v>
      </c>
    </row>
    <row r="561" spans="1:7" ht="15">
      <c r="A561" s="85" t="s">
        <v>1970</v>
      </c>
      <c r="B561" s="79">
        <v>2</v>
      </c>
      <c r="C561" s="109">
        <v>0.01223387832614519</v>
      </c>
      <c r="D561" s="79" t="s">
        <v>1655</v>
      </c>
      <c r="E561" s="79" t="b">
        <v>0</v>
      </c>
      <c r="F561" s="79" t="b">
        <v>0</v>
      </c>
      <c r="G561" s="79" t="b">
        <v>0</v>
      </c>
    </row>
    <row r="562" spans="1:7" ht="15">
      <c r="A562" s="85" t="s">
        <v>1971</v>
      </c>
      <c r="B562" s="79">
        <v>2</v>
      </c>
      <c r="C562" s="109">
        <v>0.01223387832614519</v>
      </c>
      <c r="D562" s="79" t="s">
        <v>1655</v>
      </c>
      <c r="E562" s="79" t="b">
        <v>0</v>
      </c>
      <c r="F562" s="79" t="b">
        <v>0</v>
      </c>
      <c r="G562" s="79" t="b">
        <v>0</v>
      </c>
    </row>
    <row r="563" spans="1:7" ht="15">
      <c r="A563" s="85" t="s">
        <v>1972</v>
      </c>
      <c r="B563" s="79">
        <v>2</v>
      </c>
      <c r="C563" s="109">
        <v>0.01223387832614519</v>
      </c>
      <c r="D563" s="79" t="s">
        <v>1655</v>
      </c>
      <c r="E563" s="79" t="b">
        <v>0</v>
      </c>
      <c r="F563" s="79" t="b">
        <v>0</v>
      </c>
      <c r="G563" s="79" t="b">
        <v>0</v>
      </c>
    </row>
    <row r="564" spans="1:7" ht="15">
      <c r="A564" s="85" t="s">
        <v>1973</v>
      </c>
      <c r="B564" s="79">
        <v>2</v>
      </c>
      <c r="C564" s="109">
        <v>0.01223387832614519</v>
      </c>
      <c r="D564" s="79" t="s">
        <v>1655</v>
      </c>
      <c r="E564" s="79" t="b">
        <v>0</v>
      </c>
      <c r="F564" s="79" t="b">
        <v>0</v>
      </c>
      <c r="G564" s="79" t="b">
        <v>0</v>
      </c>
    </row>
    <row r="565" spans="1:7" ht="15">
      <c r="A565" s="85" t="s">
        <v>1974</v>
      </c>
      <c r="B565" s="79">
        <v>2</v>
      </c>
      <c r="C565" s="109">
        <v>0.01223387832614519</v>
      </c>
      <c r="D565" s="79" t="s">
        <v>1655</v>
      </c>
      <c r="E565" s="79" t="b">
        <v>0</v>
      </c>
      <c r="F565" s="79" t="b">
        <v>0</v>
      </c>
      <c r="G565" s="79" t="b">
        <v>0</v>
      </c>
    </row>
    <row r="566" spans="1:7" ht="15">
      <c r="A566" s="85" t="s">
        <v>1759</v>
      </c>
      <c r="B566" s="79">
        <v>2</v>
      </c>
      <c r="C566" s="109">
        <v>0.01223387832614519</v>
      </c>
      <c r="D566" s="79" t="s">
        <v>1655</v>
      </c>
      <c r="E566" s="79" t="b">
        <v>0</v>
      </c>
      <c r="F566" s="79" t="b">
        <v>0</v>
      </c>
      <c r="G566" s="79" t="b">
        <v>0</v>
      </c>
    </row>
    <row r="567" spans="1:7" ht="15">
      <c r="A567" s="85" t="s">
        <v>1819</v>
      </c>
      <c r="B567" s="79">
        <v>2</v>
      </c>
      <c r="C567" s="109">
        <v>0.01223387832614519</v>
      </c>
      <c r="D567" s="79" t="s">
        <v>1655</v>
      </c>
      <c r="E567" s="79" t="b">
        <v>0</v>
      </c>
      <c r="F567" s="79" t="b">
        <v>0</v>
      </c>
      <c r="G567" s="79" t="b">
        <v>0</v>
      </c>
    </row>
    <row r="568" spans="1:7" ht="15">
      <c r="A568" s="85" t="s">
        <v>1734</v>
      </c>
      <c r="B568" s="79">
        <v>2</v>
      </c>
      <c r="C568" s="109">
        <v>0.01223387832614519</v>
      </c>
      <c r="D568" s="79" t="s">
        <v>1655</v>
      </c>
      <c r="E568" s="79" t="b">
        <v>0</v>
      </c>
      <c r="F568" s="79" t="b">
        <v>0</v>
      </c>
      <c r="G568" s="79" t="b">
        <v>0</v>
      </c>
    </row>
    <row r="569" spans="1:7" ht="15">
      <c r="A569" s="85" t="s">
        <v>1729</v>
      </c>
      <c r="B569" s="79">
        <v>2</v>
      </c>
      <c r="C569" s="109">
        <v>0.01223387832614519</v>
      </c>
      <c r="D569" s="79" t="s">
        <v>1655</v>
      </c>
      <c r="E569" s="79" t="b">
        <v>0</v>
      </c>
      <c r="F569" s="79" t="b">
        <v>0</v>
      </c>
      <c r="G569" s="79" t="b">
        <v>0</v>
      </c>
    </row>
    <row r="570" spans="1:7" ht="15">
      <c r="A570" s="85" t="s">
        <v>1724</v>
      </c>
      <c r="B570" s="79">
        <v>2</v>
      </c>
      <c r="C570" s="109">
        <v>0.01223387832614519</v>
      </c>
      <c r="D570" s="79" t="s">
        <v>1655</v>
      </c>
      <c r="E570" s="79" t="b">
        <v>0</v>
      </c>
      <c r="F570" s="79" t="b">
        <v>0</v>
      </c>
      <c r="G570" s="79" t="b">
        <v>0</v>
      </c>
    </row>
    <row r="571" spans="1:7" ht="15">
      <c r="A571" s="85" t="s">
        <v>1752</v>
      </c>
      <c r="B571" s="79">
        <v>2</v>
      </c>
      <c r="C571" s="109">
        <v>0.01223387832614519</v>
      </c>
      <c r="D571" s="79" t="s">
        <v>1655</v>
      </c>
      <c r="E571" s="79" t="b">
        <v>0</v>
      </c>
      <c r="F571" s="79" t="b">
        <v>0</v>
      </c>
      <c r="G571" s="79" t="b">
        <v>0</v>
      </c>
    </row>
    <row r="572" spans="1:7" ht="15">
      <c r="A572" s="85" t="s">
        <v>2022</v>
      </c>
      <c r="B572" s="79">
        <v>2</v>
      </c>
      <c r="C572" s="109">
        <v>0.01223387832614519</v>
      </c>
      <c r="D572" s="79" t="s">
        <v>1655</v>
      </c>
      <c r="E572" s="79" t="b">
        <v>0</v>
      </c>
      <c r="F572" s="79" t="b">
        <v>0</v>
      </c>
      <c r="G572" s="79" t="b">
        <v>0</v>
      </c>
    </row>
    <row r="573" spans="1:7" ht="15">
      <c r="A573" s="85" t="s">
        <v>2023</v>
      </c>
      <c r="B573" s="79">
        <v>2</v>
      </c>
      <c r="C573" s="109">
        <v>0.01223387832614519</v>
      </c>
      <c r="D573" s="79" t="s">
        <v>1655</v>
      </c>
      <c r="E573" s="79" t="b">
        <v>0</v>
      </c>
      <c r="F573" s="79" t="b">
        <v>0</v>
      </c>
      <c r="G573" s="79" t="b">
        <v>0</v>
      </c>
    </row>
    <row r="574" spans="1:7" ht="15">
      <c r="A574" s="85" t="s">
        <v>1732</v>
      </c>
      <c r="B574" s="79">
        <v>2</v>
      </c>
      <c r="C574" s="109">
        <v>0.01223387832614519</v>
      </c>
      <c r="D574" s="79" t="s">
        <v>1655</v>
      </c>
      <c r="E574" s="79" t="b">
        <v>0</v>
      </c>
      <c r="F574" s="79" t="b">
        <v>0</v>
      </c>
      <c r="G574" s="79" t="b">
        <v>0</v>
      </c>
    </row>
    <row r="575" spans="1:7" ht="15">
      <c r="A575" s="85" t="s">
        <v>2024</v>
      </c>
      <c r="B575" s="79">
        <v>2</v>
      </c>
      <c r="C575" s="109">
        <v>0.01223387832614519</v>
      </c>
      <c r="D575" s="79" t="s">
        <v>1655</v>
      </c>
      <c r="E575" s="79" t="b">
        <v>0</v>
      </c>
      <c r="F575" s="79" t="b">
        <v>0</v>
      </c>
      <c r="G575" s="79" t="b">
        <v>0</v>
      </c>
    </row>
    <row r="576" spans="1:7" ht="15">
      <c r="A576" s="85" t="s">
        <v>2025</v>
      </c>
      <c r="B576" s="79">
        <v>2</v>
      </c>
      <c r="C576" s="109">
        <v>0.01223387832614519</v>
      </c>
      <c r="D576" s="79" t="s">
        <v>1655</v>
      </c>
      <c r="E576" s="79" t="b">
        <v>0</v>
      </c>
      <c r="F576" s="79" t="b">
        <v>0</v>
      </c>
      <c r="G576" s="79" t="b">
        <v>0</v>
      </c>
    </row>
    <row r="577" spans="1:7" ht="15">
      <c r="A577" s="85" t="s">
        <v>2026</v>
      </c>
      <c r="B577" s="79">
        <v>2</v>
      </c>
      <c r="C577" s="109">
        <v>0.01223387832614519</v>
      </c>
      <c r="D577" s="79" t="s">
        <v>1655</v>
      </c>
      <c r="E577" s="79" t="b">
        <v>0</v>
      </c>
      <c r="F577" s="79" t="b">
        <v>0</v>
      </c>
      <c r="G577" s="79" t="b">
        <v>0</v>
      </c>
    </row>
    <row r="578" spans="1:7" ht="15">
      <c r="A578" s="85" t="s">
        <v>1757</v>
      </c>
      <c r="B578" s="79">
        <v>2</v>
      </c>
      <c r="C578" s="109">
        <v>0.01223387832614519</v>
      </c>
      <c r="D578" s="79" t="s">
        <v>1655</v>
      </c>
      <c r="E578" s="79" t="b">
        <v>0</v>
      </c>
      <c r="F578" s="79" t="b">
        <v>0</v>
      </c>
      <c r="G578" s="79" t="b">
        <v>0</v>
      </c>
    </row>
    <row r="579" spans="1:7" ht="15">
      <c r="A579" s="85" t="s">
        <v>1840</v>
      </c>
      <c r="B579" s="79">
        <v>2</v>
      </c>
      <c r="C579" s="109">
        <v>0.01223387832614519</v>
      </c>
      <c r="D579" s="79" t="s">
        <v>1655</v>
      </c>
      <c r="E579" s="79" t="b">
        <v>0</v>
      </c>
      <c r="F579" s="79" t="b">
        <v>0</v>
      </c>
      <c r="G579" s="79" t="b">
        <v>0</v>
      </c>
    </row>
    <row r="580" spans="1:7" ht="15">
      <c r="A580" s="85" t="s">
        <v>2027</v>
      </c>
      <c r="B580" s="79">
        <v>2</v>
      </c>
      <c r="C580" s="109">
        <v>0.01223387832614519</v>
      </c>
      <c r="D580" s="79" t="s">
        <v>1655</v>
      </c>
      <c r="E580" s="79" t="b">
        <v>0</v>
      </c>
      <c r="F580" s="79" t="b">
        <v>0</v>
      </c>
      <c r="G580" s="79" t="b">
        <v>0</v>
      </c>
    </row>
    <row r="581" spans="1:7" ht="15">
      <c r="A581" s="85" t="s">
        <v>2028</v>
      </c>
      <c r="B581" s="79">
        <v>2</v>
      </c>
      <c r="C581" s="109">
        <v>0.01223387832614519</v>
      </c>
      <c r="D581" s="79" t="s">
        <v>1655</v>
      </c>
      <c r="E581" s="79" t="b">
        <v>0</v>
      </c>
      <c r="F581" s="79" t="b">
        <v>0</v>
      </c>
      <c r="G581" s="79" t="b">
        <v>0</v>
      </c>
    </row>
    <row r="582" spans="1:7" ht="15">
      <c r="A582" s="85" t="s">
        <v>2029</v>
      </c>
      <c r="B582" s="79">
        <v>2</v>
      </c>
      <c r="C582" s="109">
        <v>0.01223387832614519</v>
      </c>
      <c r="D582" s="79" t="s">
        <v>1655</v>
      </c>
      <c r="E582" s="79" t="b">
        <v>0</v>
      </c>
      <c r="F582" s="79" t="b">
        <v>0</v>
      </c>
      <c r="G582" s="79" t="b">
        <v>0</v>
      </c>
    </row>
    <row r="583" spans="1:7" ht="15">
      <c r="A583" s="85" t="s">
        <v>2030</v>
      </c>
      <c r="B583" s="79">
        <v>2</v>
      </c>
      <c r="C583" s="109">
        <v>0.01223387832614519</v>
      </c>
      <c r="D583" s="79" t="s">
        <v>1655</v>
      </c>
      <c r="E583" s="79" t="b">
        <v>0</v>
      </c>
      <c r="F583" s="79" t="b">
        <v>0</v>
      </c>
      <c r="G583" s="79" t="b">
        <v>0</v>
      </c>
    </row>
    <row r="584" spans="1:7" ht="15">
      <c r="A584" s="85" t="s">
        <v>362</v>
      </c>
      <c r="B584" s="79">
        <v>2</v>
      </c>
      <c r="C584" s="109">
        <v>0.01223387832614519</v>
      </c>
      <c r="D584" s="79" t="s">
        <v>1655</v>
      </c>
      <c r="E584" s="79" t="b">
        <v>0</v>
      </c>
      <c r="F584" s="79" t="b">
        <v>0</v>
      </c>
      <c r="G584" s="79" t="b">
        <v>0</v>
      </c>
    </row>
    <row r="585" spans="1:7" ht="15">
      <c r="A585" s="85" t="s">
        <v>1744</v>
      </c>
      <c r="B585" s="79">
        <v>14</v>
      </c>
      <c r="C585" s="109">
        <v>0</v>
      </c>
      <c r="D585" s="79" t="s">
        <v>1656</v>
      </c>
      <c r="E585" s="79" t="b">
        <v>0</v>
      </c>
      <c r="F585" s="79" t="b">
        <v>0</v>
      </c>
      <c r="G585" s="79" t="b">
        <v>0</v>
      </c>
    </row>
    <row r="586" spans="1:7" ht="15">
      <c r="A586" s="85" t="s">
        <v>1795</v>
      </c>
      <c r="B586" s="79">
        <v>7</v>
      </c>
      <c r="C586" s="109">
        <v>0</v>
      </c>
      <c r="D586" s="79" t="s">
        <v>1656</v>
      </c>
      <c r="E586" s="79" t="b">
        <v>0</v>
      </c>
      <c r="F586" s="79" t="b">
        <v>0</v>
      </c>
      <c r="G586" s="79" t="b">
        <v>0</v>
      </c>
    </row>
    <row r="587" spans="1:7" ht="15">
      <c r="A587" s="85" t="s">
        <v>219</v>
      </c>
      <c r="B587" s="79">
        <v>7</v>
      </c>
      <c r="C587" s="109">
        <v>0</v>
      </c>
      <c r="D587" s="79" t="s">
        <v>1656</v>
      </c>
      <c r="E587" s="79" t="b">
        <v>0</v>
      </c>
      <c r="F587" s="79" t="b">
        <v>0</v>
      </c>
      <c r="G587" s="79" t="b">
        <v>0</v>
      </c>
    </row>
    <row r="588" spans="1:7" ht="15">
      <c r="A588" s="85" t="s">
        <v>1796</v>
      </c>
      <c r="B588" s="79">
        <v>7</v>
      </c>
      <c r="C588" s="109">
        <v>0</v>
      </c>
      <c r="D588" s="79" t="s">
        <v>1656</v>
      </c>
      <c r="E588" s="79" t="b">
        <v>0</v>
      </c>
      <c r="F588" s="79" t="b">
        <v>0</v>
      </c>
      <c r="G588" s="79" t="b">
        <v>0</v>
      </c>
    </row>
    <row r="589" spans="1:7" ht="15">
      <c r="A589" s="85" t="s">
        <v>1797</v>
      </c>
      <c r="B589" s="79">
        <v>7</v>
      </c>
      <c r="C589" s="109">
        <v>0</v>
      </c>
      <c r="D589" s="79" t="s">
        <v>1656</v>
      </c>
      <c r="E589" s="79" t="b">
        <v>0</v>
      </c>
      <c r="F589" s="79" t="b">
        <v>0</v>
      </c>
      <c r="G589" s="79" t="b">
        <v>0</v>
      </c>
    </row>
    <row r="590" spans="1:7" ht="15">
      <c r="A590" s="85" t="s">
        <v>1798</v>
      </c>
      <c r="B590" s="79">
        <v>7</v>
      </c>
      <c r="C590" s="109">
        <v>0</v>
      </c>
      <c r="D590" s="79" t="s">
        <v>1656</v>
      </c>
      <c r="E590" s="79" t="b">
        <v>0</v>
      </c>
      <c r="F590" s="79" t="b">
        <v>0</v>
      </c>
      <c r="G590" s="79" t="b">
        <v>0</v>
      </c>
    </row>
    <row r="591" spans="1:7" ht="15">
      <c r="A591" s="85" t="s">
        <v>1799</v>
      </c>
      <c r="B591" s="79">
        <v>7</v>
      </c>
      <c r="C591" s="109">
        <v>0</v>
      </c>
      <c r="D591" s="79" t="s">
        <v>1656</v>
      </c>
      <c r="E591" s="79" t="b">
        <v>0</v>
      </c>
      <c r="F591" s="79" t="b">
        <v>0</v>
      </c>
      <c r="G591" s="79" t="b">
        <v>0</v>
      </c>
    </row>
    <row r="592" spans="1:7" ht="15">
      <c r="A592" s="85" t="s">
        <v>1800</v>
      </c>
      <c r="B592" s="79">
        <v>7</v>
      </c>
      <c r="C592" s="109">
        <v>0</v>
      </c>
      <c r="D592" s="79" t="s">
        <v>1656</v>
      </c>
      <c r="E592" s="79" t="b">
        <v>0</v>
      </c>
      <c r="F592" s="79" t="b">
        <v>0</v>
      </c>
      <c r="G592" s="79" t="b">
        <v>0</v>
      </c>
    </row>
    <row r="593" spans="1:7" ht="15">
      <c r="A593" s="85" t="s">
        <v>220</v>
      </c>
      <c r="B593" s="79">
        <v>7</v>
      </c>
      <c r="C593" s="109">
        <v>0</v>
      </c>
      <c r="D593" s="79" t="s">
        <v>1656</v>
      </c>
      <c r="E593" s="79" t="b">
        <v>0</v>
      </c>
      <c r="F593" s="79" t="b">
        <v>0</v>
      </c>
      <c r="G593" s="79" t="b">
        <v>0</v>
      </c>
    </row>
    <row r="594" spans="1:7" ht="15">
      <c r="A594" s="85" t="s">
        <v>358</v>
      </c>
      <c r="B594" s="79">
        <v>7</v>
      </c>
      <c r="C594" s="109">
        <v>0</v>
      </c>
      <c r="D594" s="79" t="s">
        <v>1656</v>
      </c>
      <c r="E594" s="79" t="b">
        <v>0</v>
      </c>
      <c r="F594" s="79" t="b">
        <v>0</v>
      </c>
      <c r="G594" s="79" t="b">
        <v>0</v>
      </c>
    </row>
    <row r="595" spans="1:7" ht="15">
      <c r="A595" s="85" t="s">
        <v>221</v>
      </c>
      <c r="B595" s="79">
        <v>7</v>
      </c>
      <c r="C595" s="109">
        <v>0</v>
      </c>
      <c r="D595" s="79" t="s">
        <v>1656</v>
      </c>
      <c r="E595" s="79" t="b">
        <v>0</v>
      </c>
      <c r="F595" s="79" t="b">
        <v>0</v>
      </c>
      <c r="G595" s="79" t="b">
        <v>0</v>
      </c>
    </row>
    <row r="596" spans="1:7" ht="15">
      <c r="A596" s="85" t="s">
        <v>1801</v>
      </c>
      <c r="B596" s="79">
        <v>7</v>
      </c>
      <c r="C596" s="109">
        <v>0</v>
      </c>
      <c r="D596" s="79" t="s">
        <v>1656</v>
      </c>
      <c r="E596" s="79" t="b">
        <v>0</v>
      </c>
      <c r="F596" s="79" t="b">
        <v>0</v>
      </c>
      <c r="G596" s="79" t="b">
        <v>0</v>
      </c>
    </row>
    <row r="597" spans="1:7" ht="15">
      <c r="A597" s="85" t="s">
        <v>1802</v>
      </c>
      <c r="B597" s="79">
        <v>7</v>
      </c>
      <c r="C597" s="109">
        <v>0</v>
      </c>
      <c r="D597" s="79" t="s">
        <v>1656</v>
      </c>
      <c r="E597" s="79" t="b">
        <v>0</v>
      </c>
      <c r="F597" s="79" t="b">
        <v>0</v>
      </c>
      <c r="G597" s="79" t="b">
        <v>0</v>
      </c>
    </row>
    <row r="598" spans="1:7" ht="15">
      <c r="A598" s="85" t="s">
        <v>1803</v>
      </c>
      <c r="B598" s="79">
        <v>7</v>
      </c>
      <c r="C598" s="109">
        <v>0</v>
      </c>
      <c r="D598" s="79" t="s">
        <v>1656</v>
      </c>
      <c r="E598" s="79" t="b">
        <v>0</v>
      </c>
      <c r="F598" s="79" t="b">
        <v>0</v>
      </c>
      <c r="G598" s="79" t="b">
        <v>0</v>
      </c>
    </row>
    <row r="599" spans="1:7" ht="15">
      <c r="A599" s="85" t="s">
        <v>1751</v>
      </c>
      <c r="B599" s="79">
        <v>7</v>
      </c>
      <c r="C599" s="109">
        <v>0</v>
      </c>
      <c r="D599" s="79" t="s">
        <v>1656</v>
      </c>
      <c r="E599" s="79" t="b">
        <v>0</v>
      </c>
      <c r="F599" s="79" t="b">
        <v>0</v>
      </c>
      <c r="G599" s="79" t="b">
        <v>0</v>
      </c>
    </row>
    <row r="600" spans="1:7" ht="15">
      <c r="A600" s="85" t="s">
        <v>1703</v>
      </c>
      <c r="B600" s="79">
        <v>7</v>
      </c>
      <c r="C600" s="109">
        <v>0</v>
      </c>
      <c r="D600" s="79" t="s">
        <v>1656</v>
      </c>
      <c r="E600" s="79" t="b">
        <v>0</v>
      </c>
      <c r="F600" s="79" t="b">
        <v>0</v>
      </c>
      <c r="G600" s="79" t="b">
        <v>0</v>
      </c>
    </row>
    <row r="601" spans="1:7" ht="15">
      <c r="A601" s="85" t="s">
        <v>1804</v>
      </c>
      <c r="B601" s="79">
        <v>7</v>
      </c>
      <c r="C601" s="109">
        <v>0</v>
      </c>
      <c r="D601" s="79" t="s">
        <v>1656</v>
      </c>
      <c r="E601" s="79" t="b">
        <v>0</v>
      </c>
      <c r="F601" s="79" t="b">
        <v>0</v>
      </c>
      <c r="G601" s="79" t="b">
        <v>0</v>
      </c>
    </row>
    <row r="602" spans="1:7" ht="15">
      <c r="A602" s="85" t="s">
        <v>1749</v>
      </c>
      <c r="B602" s="79">
        <v>9</v>
      </c>
      <c r="C602" s="109">
        <v>0</v>
      </c>
      <c r="D602" s="79" t="s">
        <v>1657</v>
      </c>
      <c r="E602" s="79" t="b">
        <v>0</v>
      </c>
      <c r="F602" s="79" t="b">
        <v>0</v>
      </c>
      <c r="G602" s="79" t="b">
        <v>0</v>
      </c>
    </row>
    <row r="603" spans="1:7" ht="15">
      <c r="A603" s="85" t="s">
        <v>1703</v>
      </c>
      <c r="B603" s="79">
        <v>9</v>
      </c>
      <c r="C603" s="109">
        <v>0</v>
      </c>
      <c r="D603" s="79" t="s">
        <v>1657</v>
      </c>
      <c r="E603" s="79" t="b">
        <v>0</v>
      </c>
      <c r="F603" s="79" t="b">
        <v>0</v>
      </c>
      <c r="G603" s="79" t="b">
        <v>0</v>
      </c>
    </row>
    <row r="604" spans="1:7" ht="15">
      <c r="A604" s="85" t="s">
        <v>1764</v>
      </c>
      <c r="B604" s="79">
        <v>8</v>
      </c>
      <c r="C604" s="109">
        <v>0.0031970326529613307</v>
      </c>
      <c r="D604" s="79" t="s">
        <v>1657</v>
      </c>
      <c r="E604" s="79" t="b">
        <v>0</v>
      </c>
      <c r="F604" s="79" t="b">
        <v>0</v>
      </c>
      <c r="G604" s="79" t="b">
        <v>0</v>
      </c>
    </row>
    <row r="605" spans="1:7" ht="15">
      <c r="A605" s="85" t="s">
        <v>1765</v>
      </c>
      <c r="B605" s="79">
        <v>8</v>
      </c>
      <c r="C605" s="109">
        <v>0.0031970326529613307</v>
      </c>
      <c r="D605" s="79" t="s">
        <v>1657</v>
      </c>
      <c r="E605" s="79" t="b">
        <v>0</v>
      </c>
      <c r="F605" s="79" t="b">
        <v>0</v>
      </c>
      <c r="G605" s="79" t="b">
        <v>0</v>
      </c>
    </row>
    <row r="606" spans="1:7" ht="15">
      <c r="A606" s="85" t="s">
        <v>1752</v>
      </c>
      <c r="B606" s="79">
        <v>7</v>
      </c>
      <c r="C606" s="109">
        <v>0.00596883817168341</v>
      </c>
      <c r="D606" s="79" t="s">
        <v>1657</v>
      </c>
      <c r="E606" s="79" t="b">
        <v>0</v>
      </c>
      <c r="F606" s="79" t="b">
        <v>0</v>
      </c>
      <c r="G606" s="79" t="b">
        <v>0</v>
      </c>
    </row>
    <row r="607" spans="1:7" ht="15">
      <c r="A607" s="85" t="s">
        <v>1782</v>
      </c>
      <c r="B607" s="79">
        <v>7</v>
      </c>
      <c r="C607" s="109">
        <v>0.00596883817168341</v>
      </c>
      <c r="D607" s="79" t="s">
        <v>1657</v>
      </c>
      <c r="E607" s="79" t="b">
        <v>0</v>
      </c>
      <c r="F607" s="79" t="b">
        <v>0</v>
      </c>
      <c r="G607" s="79" t="b">
        <v>0</v>
      </c>
    </row>
    <row r="608" spans="1:7" ht="15">
      <c r="A608" s="85" t="s">
        <v>1783</v>
      </c>
      <c r="B608" s="79">
        <v>7</v>
      </c>
      <c r="C608" s="109">
        <v>0.00596883817168341</v>
      </c>
      <c r="D608" s="79" t="s">
        <v>1657</v>
      </c>
      <c r="E608" s="79" t="b">
        <v>0</v>
      </c>
      <c r="F608" s="79" t="b">
        <v>0</v>
      </c>
      <c r="G608" s="79" t="b">
        <v>0</v>
      </c>
    </row>
    <row r="609" spans="1:7" ht="15">
      <c r="A609" s="85" t="s">
        <v>1805</v>
      </c>
      <c r="B609" s="79">
        <v>6</v>
      </c>
      <c r="C609" s="109">
        <v>0.008254277768235058</v>
      </c>
      <c r="D609" s="79" t="s">
        <v>1657</v>
      </c>
      <c r="E609" s="79" t="b">
        <v>0</v>
      </c>
      <c r="F609" s="79" t="b">
        <v>0</v>
      </c>
      <c r="G609" s="79" t="b">
        <v>0</v>
      </c>
    </row>
    <row r="610" spans="1:7" ht="15">
      <c r="A610" s="85" t="s">
        <v>376</v>
      </c>
      <c r="B610" s="79">
        <v>6</v>
      </c>
      <c r="C610" s="109">
        <v>0.008254277768235058</v>
      </c>
      <c r="D610" s="79" t="s">
        <v>1657</v>
      </c>
      <c r="E610" s="79" t="b">
        <v>0</v>
      </c>
      <c r="F610" s="79" t="b">
        <v>0</v>
      </c>
      <c r="G610" s="79" t="b">
        <v>0</v>
      </c>
    </row>
    <row r="611" spans="1:7" ht="15">
      <c r="A611" s="85" t="s">
        <v>1766</v>
      </c>
      <c r="B611" s="79">
        <v>5</v>
      </c>
      <c r="C611" s="109">
        <v>0.009971582230597893</v>
      </c>
      <c r="D611" s="79" t="s">
        <v>1657</v>
      </c>
      <c r="E611" s="79" t="b">
        <v>0</v>
      </c>
      <c r="F611" s="79" t="b">
        <v>0</v>
      </c>
      <c r="G611" s="79" t="b">
        <v>0</v>
      </c>
    </row>
    <row r="612" spans="1:7" ht="15">
      <c r="A612" s="85" t="s">
        <v>1858</v>
      </c>
      <c r="B612" s="79">
        <v>4</v>
      </c>
      <c r="C612" s="109">
        <v>0.011005703690980077</v>
      </c>
      <c r="D612" s="79" t="s">
        <v>1657</v>
      </c>
      <c r="E612" s="79" t="b">
        <v>0</v>
      </c>
      <c r="F612" s="79" t="b">
        <v>0</v>
      </c>
      <c r="G612" s="79" t="b">
        <v>0</v>
      </c>
    </row>
    <row r="613" spans="1:7" ht="15">
      <c r="A613" s="85" t="s">
        <v>1859</v>
      </c>
      <c r="B613" s="79">
        <v>4</v>
      </c>
      <c r="C613" s="109">
        <v>0.011005703690980077</v>
      </c>
      <c r="D613" s="79" t="s">
        <v>1657</v>
      </c>
      <c r="E613" s="79" t="b">
        <v>0</v>
      </c>
      <c r="F613" s="79" t="b">
        <v>0</v>
      </c>
      <c r="G613" s="79" t="b">
        <v>0</v>
      </c>
    </row>
    <row r="614" spans="1:7" ht="15">
      <c r="A614" s="85" t="s">
        <v>1860</v>
      </c>
      <c r="B614" s="79">
        <v>4</v>
      </c>
      <c r="C614" s="109">
        <v>0.011005703690980077</v>
      </c>
      <c r="D614" s="79" t="s">
        <v>1657</v>
      </c>
      <c r="E614" s="79" t="b">
        <v>0</v>
      </c>
      <c r="F614" s="79" t="b">
        <v>0</v>
      </c>
      <c r="G614" s="79" t="b">
        <v>0</v>
      </c>
    </row>
    <row r="615" spans="1:7" ht="15">
      <c r="A615" s="85" t="s">
        <v>1861</v>
      </c>
      <c r="B615" s="79">
        <v>4</v>
      </c>
      <c r="C615" s="109">
        <v>0.011005703690980077</v>
      </c>
      <c r="D615" s="79" t="s">
        <v>1657</v>
      </c>
      <c r="E615" s="79" t="b">
        <v>0</v>
      </c>
      <c r="F615" s="79" t="b">
        <v>0</v>
      </c>
      <c r="G615" s="79" t="b">
        <v>0</v>
      </c>
    </row>
    <row r="616" spans="1:7" ht="15">
      <c r="A616" s="85" t="s">
        <v>1862</v>
      </c>
      <c r="B616" s="79">
        <v>4</v>
      </c>
      <c r="C616" s="109">
        <v>0.011005703690980077</v>
      </c>
      <c r="D616" s="79" t="s">
        <v>1657</v>
      </c>
      <c r="E616" s="79" t="b">
        <v>0</v>
      </c>
      <c r="F616" s="79" t="b">
        <v>0</v>
      </c>
      <c r="G616" s="79" t="b">
        <v>0</v>
      </c>
    </row>
    <row r="617" spans="1:7" ht="15">
      <c r="A617" s="85" t="s">
        <v>1904</v>
      </c>
      <c r="B617" s="79">
        <v>3</v>
      </c>
      <c r="C617" s="109">
        <v>0.011182529407492089</v>
      </c>
      <c r="D617" s="79" t="s">
        <v>1657</v>
      </c>
      <c r="E617" s="79" t="b">
        <v>0</v>
      </c>
      <c r="F617" s="79" t="b">
        <v>0</v>
      </c>
      <c r="G617" s="79" t="b">
        <v>0</v>
      </c>
    </row>
    <row r="618" spans="1:7" ht="15">
      <c r="A618" s="85" t="s">
        <v>1955</v>
      </c>
      <c r="B618" s="79">
        <v>2</v>
      </c>
      <c r="C618" s="109">
        <v>0.010206445527739746</v>
      </c>
      <c r="D618" s="79" t="s">
        <v>1657</v>
      </c>
      <c r="E618" s="79" t="b">
        <v>0</v>
      </c>
      <c r="F618" s="79" t="b">
        <v>0</v>
      </c>
      <c r="G618" s="79" t="b">
        <v>0</v>
      </c>
    </row>
    <row r="619" spans="1:7" ht="15">
      <c r="A619" s="85" t="s">
        <v>1956</v>
      </c>
      <c r="B619" s="79">
        <v>2</v>
      </c>
      <c r="C619" s="109">
        <v>0.010206445527739746</v>
      </c>
      <c r="D619" s="79" t="s">
        <v>1657</v>
      </c>
      <c r="E619" s="79" t="b">
        <v>0</v>
      </c>
      <c r="F619" s="79" t="b">
        <v>0</v>
      </c>
      <c r="G619" s="79" t="b">
        <v>0</v>
      </c>
    </row>
    <row r="620" spans="1:7" ht="15">
      <c r="A620" s="85" t="s">
        <v>1751</v>
      </c>
      <c r="B620" s="79">
        <v>2</v>
      </c>
      <c r="C620" s="109">
        <v>0.010206445527739746</v>
      </c>
      <c r="D620" s="79" t="s">
        <v>1657</v>
      </c>
      <c r="E620" s="79" t="b">
        <v>0</v>
      </c>
      <c r="F620" s="79" t="b">
        <v>0</v>
      </c>
      <c r="G620" s="79" t="b">
        <v>0</v>
      </c>
    </row>
    <row r="621" spans="1:7" ht="15">
      <c r="A621" s="85" t="s">
        <v>1745</v>
      </c>
      <c r="B621" s="79">
        <v>12</v>
      </c>
      <c r="C621" s="109">
        <v>0</v>
      </c>
      <c r="D621" s="79" t="s">
        <v>1658</v>
      </c>
      <c r="E621" s="79" t="b">
        <v>0</v>
      </c>
      <c r="F621" s="79" t="b">
        <v>0</v>
      </c>
      <c r="G621" s="79" t="b">
        <v>0</v>
      </c>
    </row>
    <row r="622" spans="1:7" ht="15">
      <c r="A622" s="85" t="s">
        <v>1806</v>
      </c>
      <c r="B622" s="79">
        <v>6</v>
      </c>
      <c r="C622" s="109">
        <v>0</v>
      </c>
      <c r="D622" s="79" t="s">
        <v>1658</v>
      </c>
      <c r="E622" s="79" t="b">
        <v>0</v>
      </c>
      <c r="F622" s="79" t="b">
        <v>0</v>
      </c>
      <c r="G622" s="79" t="b">
        <v>0</v>
      </c>
    </row>
    <row r="623" spans="1:7" ht="15">
      <c r="A623" s="85" t="s">
        <v>1807</v>
      </c>
      <c r="B623" s="79">
        <v>6</v>
      </c>
      <c r="C623" s="109">
        <v>0</v>
      </c>
      <c r="D623" s="79" t="s">
        <v>1658</v>
      </c>
      <c r="E623" s="79" t="b">
        <v>0</v>
      </c>
      <c r="F623" s="79" t="b">
        <v>0</v>
      </c>
      <c r="G623" s="79" t="b">
        <v>0</v>
      </c>
    </row>
    <row r="624" spans="1:7" ht="15">
      <c r="A624" s="85" t="s">
        <v>1808</v>
      </c>
      <c r="B624" s="79">
        <v>6</v>
      </c>
      <c r="C624" s="109">
        <v>0</v>
      </c>
      <c r="D624" s="79" t="s">
        <v>1658</v>
      </c>
      <c r="E624" s="79" t="b">
        <v>0</v>
      </c>
      <c r="F624" s="79" t="b">
        <v>0</v>
      </c>
      <c r="G624" s="79" t="b">
        <v>0</v>
      </c>
    </row>
    <row r="625" spans="1:7" ht="15">
      <c r="A625" s="85" t="s">
        <v>1809</v>
      </c>
      <c r="B625" s="79">
        <v>6</v>
      </c>
      <c r="C625" s="109">
        <v>0</v>
      </c>
      <c r="D625" s="79" t="s">
        <v>1658</v>
      </c>
      <c r="E625" s="79" t="b">
        <v>0</v>
      </c>
      <c r="F625" s="79" t="b">
        <v>0</v>
      </c>
      <c r="G625" s="79" t="b">
        <v>0</v>
      </c>
    </row>
    <row r="626" spans="1:7" ht="15">
      <c r="A626" s="85" t="s">
        <v>1727</v>
      </c>
      <c r="B626" s="79">
        <v>6</v>
      </c>
      <c r="C626" s="109">
        <v>0</v>
      </c>
      <c r="D626" s="79" t="s">
        <v>1658</v>
      </c>
      <c r="E626" s="79" t="b">
        <v>0</v>
      </c>
      <c r="F626" s="79" t="b">
        <v>0</v>
      </c>
      <c r="G626" s="79" t="b">
        <v>0</v>
      </c>
    </row>
    <row r="627" spans="1:7" ht="15">
      <c r="A627" s="85" t="s">
        <v>1810</v>
      </c>
      <c r="B627" s="79">
        <v>6</v>
      </c>
      <c r="C627" s="109">
        <v>0</v>
      </c>
      <c r="D627" s="79" t="s">
        <v>1658</v>
      </c>
      <c r="E627" s="79" t="b">
        <v>0</v>
      </c>
      <c r="F627" s="79" t="b">
        <v>0</v>
      </c>
      <c r="G627" s="79" t="b">
        <v>0</v>
      </c>
    </row>
    <row r="628" spans="1:7" ht="15">
      <c r="A628" s="85" t="s">
        <v>1811</v>
      </c>
      <c r="B628" s="79">
        <v>6</v>
      </c>
      <c r="C628" s="109">
        <v>0</v>
      </c>
      <c r="D628" s="79" t="s">
        <v>1658</v>
      </c>
      <c r="E628" s="79" t="b">
        <v>0</v>
      </c>
      <c r="F628" s="79" t="b">
        <v>0</v>
      </c>
      <c r="G628" s="79" t="b">
        <v>0</v>
      </c>
    </row>
    <row r="629" spans="1:7" ht="15">
      <c r="A629" s="85" t="s">
        <v>1812</v>
      </c>
      <c r="B629" s="79">
        <v>6</v>
      </c>
      <c r="C629" s="109">
        <v>0</v>
      </c>
      <c r="D629" s="79" t="s">
        <v>1658</v>
      </c>
      <c r="E629" s="79" t="b">
        <v>0</v>
      </c>
      <c r="F629" s="79" t="b">
        <v>0</v>
      </c>
      <c r="G629" s="79" t="b">
        <v>0</v>
      </c>
    </row>
    <row r="630" spans="1:7" ht="15">
      <c r="A630" s="85" t="s">
        <v>1728</v>
      </c>
      <c r="B630" s="79">
        <v>6</v>
      </c>
      <c r="C630" s="109">
        <v>0</v>
      </c>
      <c r="D630" s="79" t="s">
        <v>1658</v>
      </c>
      <c r="E630" s="79" t="b">
        <v>0</v>
      </c>
      <c r="F630" s="79" t="b">
        <v>0</v>
      </c>
      <c r="G630" s="79" t="b">
        <v>0</v>
      </c>
    </row>
    <row r="631" spans="1:7" ht="15">
      <c r="A631" s="85" t="s">
        <v>1813</v>
      </c>
      <c r="B631" s="79">
        <v>6</v>
      </c>
      <c r="C631" s="109">
        <v>0</v>
      </c>
      <c r="D631" s="79" t="s">
        <v>1658</v>
      </c>
      <c r="E631" s="79" t="b">
        <v>0</v>
      </c>
      <c r="F631" s="79" t="b">
        <v>0</v>
      </c>
      <c r="G631" s="79" t="b">
        <v>0</v>
      </c>
    </row>
    <row r="632" spans="1:7" ht="15">
      <c r="A632" s="85" t="s">
        <v>1814</v>
      </c>
      <c r="B632" s="79">
        <v>6</v>
      </c>
      <c r="C632" s="109">
        <v>0</v>
      </c>
      <c r="D632" s="79" t="s">
        <v>1658</v>
      </c>
      <c r="E632" s="79" t="b">
        <v>0</v>
      </c>
      <c r="F632" s="79" t="b">
        <v>0</v>
      </c>
      <c r="G632" s="79" t="b">
        <v>0</v>
      </c>
    </row>
    <row r="633" spans="1:7" ht="15">
      <c r="A633" s="85" t="s">
        <v>1815</v>
      </c>
      <c r="B633" s="79">
        <v>6</v>
      </c>
      <c r="C633" s="109">
        <v>0</v>
      </c>
      <c r="D633" s="79" t="s">
        <v>1658</v>
      </c>
      <c r="E633" s="79" t="b">
        <v>0</v>
      </c>
      <c r="F633" s="79" t="b">
        <v>0</v>
      </c>
      <c r="G633" s="79" t="b">
        <v>0</v>
      </c>
    </row>
    <row r="634" spans="1:7" ht="15">
      <c r="A634" s="85" t="s">
        <v>1750</v>
      </c>
      <c r="B634" s="79">
        <v>6</v>
      </c>
      <c r="C634" s="109">
        <v>0</v>
      </c>
      <c r="D634" s="79" t="s">
        <v>1658</v>
      </c>
      <c r="E634" s="79" t="b">
        <v>0</v>
      </c>
      <c r="F634" s="79" t="b">
        <v>0</v>
      </c>
      <c r="G634" s="79" t="b">
        <v>0</v>
      </c>
    </row>
    <row r="635" spans="1:7" ht="15">
      <c r="A635" s="85" t="s">
        <v>1816</v>
      </c>
      <c r="B635" s="79">
        <v>6</v>
      </c>
      <c r="C635" s="109">
        <v>0</v>
      </c>
      <c r="D635" s="79" t="s">
        <v>1658</v>
      </c>
      <c r="E635" s="79" t="b">
        <v>0</v>
      </c>
      <c r="F635" s="79" t="b">
        <v>0</v>
      </c>
      <c r="G635" s="79" t="b">
        <v>0</v>
      </c>
    </row>
    <row r="636" spans="1:7" ht="15">
      <c r="A636" s="85" t="s">
        <v>1703</v>
      </c>
      <c r="B636" s="79">
        <v>6</v>
      </c>
      <c r="C636" s="109">
        <v>0</v>
      </c>
      <c r="D636" s="79" t="s">
        <v>1658</v>
      </c>
      <c r="E636" s="79" t="b">
        <v>0</v>
      </c>
      <c r="F636" s="79" t="b">
        <v>0</v>
      </c>
      <c r="G636" s="79" t="b">
        <v>0</v>
      </c>
    </row>
    <row r="637" spans="1:7" ht="15">
      <c r="A637" s="85" t="s">
        <v>1706</v>
      </c>
      <c r="B637" s="79">
        <v>6</v>
      </c>
      <c r="C637" s="109">
        <v>0</v>
      </c>
      <c r="D637" s="79" t="s">
        <v>1658</v>
      </c>
      <c r="E637" s="79" t="b">
        <v>0</v>
      </c>
      <c r="F637" s="79" t="b">
        <v>0</v>
      </c>
      <c r="G637" s="79" t="b">
        <v>0</v>
      </c>
    </row>
    <row r="638" spans="1:7" ht="15">
      <c r="A638" s="85" t="s">
        <v>1753</v>
      </c>
      <c r="B638" s="79">
        <v>6</v>
      </c>
      <c r="C638" s="109">
        <v>0</v>
      </c>
      <c r="D638" s="79" t="s">
        <v>1658</v>
      </c>
      <c r="E638" s="79" t="b">
        <v>0</v>
      </c>
      <c r="F638" s="79" t="b">
        <v>0</v>
      </c>
      <c r="G638" s="79" t="b">
        <v>0</v>
      </c>
    </row>
    <row r="639" spans="1:7" ht="15">
      <c r="A639" s="85" t="s">
        <v>1703</v>
      </c>
      <c r="B639" s="79">
        <v>6</v>
      </c>
      <c r="C639" s="109">
        <v>0</v>
      </c>
      <c r="D639" s="79" t="s">
        <v>1660</v>
      </c>
      <c r="E639" s="79" t="b">
        <v>0</v>
      </c>
      <c r="F639" s="79" t="b">
        <v>0</v>
      </c>
      <c r="G639" s="79" t="b">
        <v>0</v>
      </c>
    </row>
    <row r="640" spans="1:7" ht="15">
      <c r="A640" s="85" t="s">
        <v>1842</v>
      </c>
      <c r="B640" s="79">
        <v>5</v>
      </c>
      <c r="C640" s="109">
        <v>0.0031173718916387722</v>
      </c>
      <c r="D640" s="79" t="s">
        <v>1660</v>
      </c>
      <c r="E640" s="79" t="b">
        <v>0</v>
      </c>
      <c r="F640" s="79" t="b">
        <v>0</v>
      </c>
      <c r="G640" s="79" t="b">
        <v>0</v>
      </c>
    </row>
    <row r="641" spans="1:7" ht="15">
      <c r="A641" s="85" t="s">
        <v>1724</v>
      </c>
      <c r="B641" s="79">
        <v>5</v>
      </c>
      <c r="C641" s="109">
        <v>0.0031173718916387722</v>
      </c>
      <c r="D641" s="79" t="s">
        <v>1660</v>
      </c>
      <c r="E641" s="79" t="b">
        <v>0</v>
      </c>
      <c r="F641" s="79" t="b">
        <v>0</v>
      </c>
      <c r="G641" s="79" t="b">
        <v>0</v>
      </c>
    </row>
    <row r="642" spans="1:7" ht="15">
      <c r="A642" s="85" t="s">
        <v>1843</v>
      </c>
      <c r="B642" s="79">
        <v>5</v>
      </c>
      <c r="C642" s="109">
        <v>0.0031173718916387722</v>
      </c>
      <c r="D642" s="79" t="s">
        <v>1660</v>
      </c>
      <c r="E642" s="79" t="b">
        <v>0</v>
      </c>
      <c r="F642" s="79" t="b">
        <v>0</v>
      </c>
      <c r="G642" s="79" t="b">
        <v>0</v>
      </c>
    </row>
    <row r="643" spans="1:7" ht="15">
      <c r="A643" s="85" t="s">
        <v>1818</v>
      </c>
      <c r="B643" s="79">
        <v>5</v>
      </c>
      <c r="C643" s="109">
        <v>0.0031173718916387722</v>
      </c>
      <c r="D643" s="79" t="s">
        <v>1660</v>
      </c>
      <c r="E643" s="79" t="b">
        <v>0</v>
      </c>
      <c r="F643" s="79" t="b">
        <v>0</v>
      </c>
      <c r="G643" s="79" t="b">
        <v>0</v>
      </c>
    </row>
    <row r="644" spans="1:7" ht="15">
      <c r="A644" s="85" t="s">
        <v>1844</v>
      </c>
      <c r="B644" s="79">
        <v>5</v>
      </c>
      <c r="C644" s="109">
        <v>0.0031173718916387722</v>
      </c>
      <c r="D644" s="79" t="s">
        <v>1660</v>
      </c>
      <c r="E644" s="79" t="b">
        <v>0</v>
      </c>
      <c r="F644" s="79" t="b">
        <v>0</v>
      </c>
      <c r="G644" s="79" t="b">
        <v>0</v>
      </c>
    </row>
    <row r="645" spans="1:7" ht="15">
      <c r="A645" s="85" t="s">
        <v>1750</v>
      </c>
      <c r="B645" s="79">
        <v>5</v>
      </c>
      <c r="C645" s="109">
        <v>0.0031173718916387722</v>
      </c>
      <c r="D645" s="79" t="s">
        <v>1660</v>
      </c>
      <c r="E645" s="79" t="b">
        <v>0</v>
      </c>
      <c r="F645" s="79" t="b">
        <v>0</v>
      </c>
      <c r="G645" s="79" t="b">
        <v>0</v>
      </c>
    </row>
    <row r="646" spans="1:7" ht="15">
      <c r="A646" s="85" t="s">
        <v>1759</v>
      </c>
      <c r="B646" s="79">
        <v>5</v>
      </c>
      <c r="C646" s="109">
        <v>0.0031173718916387722</v>
      </c>
      <c r="D646" s="79" t="s">
        <v>1660</v>
      </c>
      <c r="E646" s="79" t="b">
        <v>0</v>
      </c>
      <c r="F646" s="79" t="b">
        <v>0</v>
      </c>
      <c r="G646" s="79" t="b">
        <v>0</v>
      </c>
    </row>
    <row r="647" spans="1:7" ht="15">
      <c r="A647" s="85" t="s">
        <v>1845</v>
      </c>
      <c r="B647" s="79">
        <v>5</v>
      </c>
      <c r="C647" s="109">
        <v>0.0031173718916387722</v>
      </c>
      <c r="D647" s="79" t="s">
        <v>1660</v>
      </c>
      <c r="E647" s="79" t="b">
        <v>0</v>
      </c>
      <c r="F647" s="79" t="b">
        <v>0</v>
      </c>
      <c r="G647" s="79" t="b">
        <v>0</v>
      </c>
    </row>
    <row r="648" spans="1:7" ht="15">
      <c r="A648" s="85" t="s">
        <v>1846</v>
      </c>
      <c r="B648" s="79">
        <v>5</v>
      </c>
      <c r="C648" s="109">
        <v>0.0031173718916387722</v>
      </c>
      <c r="D648" s="79" t="s">
        <v>1660</v>
      </c>
      <c r="E648" s="79" t="b">
        <v>0</v>
      </c>
      <c r="F648" s="79" t="b">
        <v>0</v>
      </c>
      <c r="G648" s="79" t="b">
        <v>0</v>
      </c>
    </row>
    <row r="649" spans="1:7" ht="15">
      <c r="A649" s="85" t="s">
        <v>1847</v>
      </c>
      <c r="B649" s="79">
        <v>5</v>
      </c>
      <c r="C649" s="109">
        <v>0.0031173718916387722</v>
      </c>
      <c r="D649" s="79" t="s">
        <v>1660</v>
      </c>
      <c r="E649" s="79" t="b">
        <v>0</v>
      </c>
      <c r="F649" s="79" t="b">
        <v>0</v>
      </c>
      <c r="G649" s="79" t="b">
        <v>0</v>
      </c>
    </row>
    <row r="650" spans="1:7" ht="15">
      <c r="A650" s="85" t="s">
        <v>1848</v>
      </c>
      <c r="B650" s="79">
        <v>5</v>
      </c>
      <c r="C650" s="109">
        <v>0.0031173718916387722</v>
      </c>
      <c r="D650" s="79" t="s">
        <v>1660</v>
      </c>
      <c r="E650" s="79" t="b">
        <v>0</v>
      </c>
      <c r="F650" s="79" t="b">
        <v>0</v>
      </c>
      <c r="G650" s="79" t="b">
        <v>0</v>
      </c>
    </row>
    <row r="651" spans="1:7" ht="15">
      <c r="A651" s="85" t="s">
        <v>1728</v>
      </c>
      <c r="B651" s="79">
        <v>5</v>
      </c>
      <c r="C651" s="109">
        <v>0.0031173718916387722</v>
      </c>
      <c r="D651" s="79" t="s">
        <v>1660</v>
      </c>
      <c r="E651" s="79" t="b">
        <v>0</v>
      </c>
      <c r="F651" s="79" t="b">
        <v>0</v>
      </c>
      <c r="G651" s="79" t="b">
        <v>0</v>
      </c>
    </row>
    <row r="652" spans="1:7" ht="15">
      <c r="A652" s="85" t="s">
        <v>1849</v>
      </c>
      <c r="B652" s="79">
        <v>5</v>
      </c>
      <c r="C652" s="109">
        <v>0.0031173718916387722</v>
      </c>
      <c r="D652" s="79" t="s">
        <v>1660</v>
      </c>
      <c r="E652" s="79" t="b">
        <v>0</v>
      </c>
      <c r="F652" s="79" t="b">
        <v>0</v>
      </c>
      <c r="G652" s="79" t="b">
        <v>0</v>
      </c>
    </row>
    <row r="653" spans="1:7" ht="15">
      <c r="A653" s="85" t="s">
        <v>1850</v>
      </c>
      <c r="B653" s="79">
        <v>5</v>
      </c>
      <c r="C653" s="109">
        <v>0.0031173718916387722</v>
      </c>
      <c r="D653" s="79" t="s">
        <v>1660</v>
      </c>
      <c r="E653" s="79" t="b">
        <v>0</v>
      </c>
      <c r="F653" s="79" t="b">
        <v>0</v>
      </c>
      <c r="G653" s="79" t="b">
        <v>0</v>
      </c>
    </row>
    <row r="654" spans="1:7" ht="15">
      <c r="A654" s="85" t="s">
        <v>1851</v>
      </c>
      <c r="B654" s="79">
        <v>5</v>
      </c>
      <c r="C654" s="109">
        <v>0.0031173718916387722</v>
      </c>
      <c r="D654" s="79" t="s">
        <v>1660</v>
      </c>
      <c r="E654" s="79" t="b">
        <v>0</v>
      </c>
      <c r="F654" s="79" t="b">
        <v>0</v>
      </c>
      <c r="G654" s="79" t="b">
        <v>0</v>
      </c>
    </row>
    <row r="655" spans="1:7" ht="15">
      <c r="A655" s="85" t="s">
        <v>1852</v>
      </c>
      <c r="B655" s="79">
        <v>5</v>
      </c>
      <c r="C655" s="109">
        <v>0.0031173718916387722</v>
      </c>
      <c r="D655" s="79" t="s">
        <v>1660</v>
      </c>
      <c r="E655" s="79" t="b">
        <v>0</v>
      </c>
      <c r="F655" s="79" t="b">
        <v>0</v>
      </c>
      <c r="G655" s="79" t="b">
        <v>0</v>
      </c>
    </row>
    <row r="656" spans="1:7" ht="15">
      <c r="A656" s="85" t="s">
        <v>1853</v>
      </c>
      <c r="B656" s="79">
        <v>5</v>
      </c>
      <c r="C656" s="109">
        <v>0.0031173718916387722</v>
      </c>
      <c r="D656" s="79" t="s">
        <v>1660</v>
      </c>
      <c r="E656" s="79" t="b">
        <v>0</v>
      </c>
      <c r="F656" s="79" t="b">
        <v>0</v>
      </c>
      <c r="G656" s="79" t="b">
        <v>0</v>
      </c>
    </row>
    <row r="657" spans="1:7" ht="15">
      <c r="A657" s="85" t="s">
        <v>1854</v>
      </c>
      <c r="B657" s="79">
        <v>5</v>
      </c>
      <c r="C657" s="109">
        <v>0.0031173718916387722</v>
      </c>
      <c r="D657" s="79" t="s">
        <v>1660</v>
      </c>
      <c r="E657" s="79" t="b">
        <v>0</v>
      </c>
      <c r="F657" s="79" t="b">
        <v>0</v>
      </c>
      <c r="G657" s="79" t="b">
        <v>0</v>
      </c>
    </row>
    <row r="658" spans="1:7" ht="15">
      <c r="A658" s="85" t="s">
        <v>1855</v>
      </c>
      <c r="B658" s="79">
        <v>5</v>
      </c>
      <c r="C658" s="109">
        <v>0.0031173718916387722</v>
      </c>
      <c r="D658" s="79" t="s">
        <v>1660</v>
      </c>
      <c r="E658" s="79" t="b">
        <v>0</v>
      </c>
      <c r="F658" s="79" t="b">
        <v>0</v>
      </c>
      <c r="G658" s="79" t="b">
        <v>0</v>
      </c>
    </row>
    <row r="659" spans="1:7" ht="15">
      <c r="A659" s="85" t="s">
        <v>1856</v>
      </c>
      <c r="B659" s="79">
        <v>5</v>
      </c>
      <c r="C659" s="109">
        <v>0.0031173718916387722</v>
      </c>
      <c r="D659" s="79" t="s">
        <v>1660</v>
      </c>
      <c r="E659" s="79" t="b">
        <v>0</v>
      </c>
      <c r="F659" s="79" t="b">
        <v>0</v>
      </c>
      <c r="G659" s="79" t="b">
        <v>0</v>
      </c>
    </row>
    <row r="660" spans="1:7" ht="15">
      <c r="A660" s="85" t="s">
        <v>1734</v>
      </c>
      <c r="B660" s="79">
        <v>5</v>
      </c>
      <c r="C660" s="109">
        <v>0.0031173718916387722</v>
      </c>
      <c r="D660" s="79" t="s">
        <v>1660</v>
      </c>
      <c r="E660" s="79" t="b">
        <v>0</v>
      </c>
      <c r="F660" s="79" t="b">
        <v>0</v>
      </c>
      <c r="G660" s="79" t="b">
        <v>0</v>
      </c>
    </row>
    <row r="661" spans="1:7" ht="15">
      <c r="A661" s="85" t="s">
        <v>1703</v>
      </c>
      <c r="B661" s="79">
        <v>11</v>
      </c>
      <c r="C661" s="109">
        <v>0</v>
      </c>
      <c r="D661" s="79" t="s">
        <v>1661</v>
      </c>
      <c r="E661" s="79" t="b">
        <v>0</v>
      </c>
      <c r="F661" s="79" t="b">
        <v>0</v>
      </c>
      <c r="G661" s="79" t="b">
        <v>0</v>
      </c>
    </row>
    <row r="662" spans="1:7" ht="15">
      <c r="A662" s="85" t="s">
        <v>1730</v>
      </c>
      <c r="B662" s="79">
        <v>9</v>
      </c>
      <c r="C662" s="109">
        <v>0.00754184212952021</v>
      </c>
      <c r="D662" s="79" t="s">
        <v>1661</v>
      </c>
      <c r="E662" s="79" t="b">
        <v>0</v>
      </c>
      <c r="F662" s="79" t="b">
        <v>0</v>
      </c>
      <c r="G662" s="79" t="b">
        <v>0</v>
      </c>
    </row>
    <row r="663" spans="1:7" ht="15">
      <c r="A663" s="85" t="s">
        <v>1763</v>
      </c>
      <c r="B663" s="79">
        <v>9</v>
      </c>
      <c r="C663" s="109">
        <v>0.00754184212952021</v>
      </c>
      <c r="D663" s="79" t="s">
        <v>1661</v>
      </c>
      <c r="E663" s="79" t="b">
        <v>0</v>
      </c>
      <c r="F663" s="79" t="b">
        <v>0</v>
      </c>
      <c r="G663" s="79" t="b">
        <v>0</v>
      </c>
    </row>
    <row r="664" spans="1:7" ht="15">
      <c r="A664" s="85" t="s">
        <v>1769</v>
      </c>
      <c r="B664" s="79">
        <v>8</v>
      </c>
      <c r="C664" s="109">
        <v>0.0337948226023279</v>
      </c>
      <c r="D664" s="79" t="s">
        <v>1661</v>
      </c>
      <c r="E664" s="79" t="b">
        <v>0</v>
      </c>
      <c r="F664" s="79" t="b">
        <v>0</v>
      </c>
      <c r="G664" s="79" t="b">
        <v>0</v>
      </c>
    </row>
    <row r="665" spans="1:7" ht="15">
      <c r="A665" s="85" t="s">
        <v>1794</v>
      </c>
      <c r="B665" s="79">
        <v>7</v>
      </c>
      <c r="C665" s="109">
        <v>0.013212139576997859</v>
      </c>
      <c r="D665" s="79" t="s">
        <v>1661</v>
      </c>
      <c r="E665" s="79" t="b">
        <v>0</v>
      </c>
      <c r="F665" s="79" t="b">
        <v>0</v>
      </c>
      <c r="G665" s="79" t="b">
        <v>0</v>
      </c>
    </row>
    <row r="666" spans="1:7" ht="15">
      <c r="A666" s="85" t="s">
        <v>1881</v>
      </c>
      <c r="B666" s="79">
        <v>4</v>
      </c>
      <c r="C666" s="109">
        <v>0.01689741130116395</v>
      </c>
      <c r="D666" s="79" t="s">
        <v>1661</v>
      </c>
      <c r="E666" s="79" t="b">
        <v>0</v>
      </c>
      <c r="F666" s="79" t="b">
        <v>0</v>
      </c>
      <c r="G666" s="79" t="b">
        <v>0</v>
      </c>
    </row>
    <row r="667" spans="1:7" ht="15">
      <c r="A667" s="85" t="s">
        <v>1882</v>
      </c>
      <c r="B667" s="79">
        <v>4</v>
      </c>
      <c r="C667" s="109">
        <v>0.01689741130116395</v>
      </c>
      <c r="D667" s="79" t="s">
        <v>1661</v>
      </c>
      <c r="E667" s="79" t="b">
        <v>0</v>
      </c>
      <c r="F667" s="79" t="b">
        <v>0</v>
      </c>
      <c r="G667" s="79" t="b">
        <v>0</v>
      </c>
    </row>
    <row r="668" spans="1:7" ht="15">
      <c r="A668" s="85" t="s">
        <v>1883</v>
      </c>
      <c r="B668" s="79">
        <v>4</v>
      </c>
      <c r="C668" s="109">
        <v>0.01689741130116395</v>
      </c>
      <c r="D668" s="79" t="s">
        <v>1661</v>
      </c>
      <c r="E668" s="79" t="b">
        <v>0</v>
      </c>
      <c r="F668" s="79" t="b">
        <v>0</v>
      </c>
      <c r="G668" s="79" t="b">
        <v>0</v>
      </c>
    </row>
    <row r="669" spans="1:7" ht="15">
      <c r="A669" s="85" t="s">
        <v>1908</v>
      </c>
      <c r="B669" s="79">
        <v>3</v>
      </c>
      <c r="C669" s="109">
        <v>0.016277060493420075</v>
      </c>
      <c r="D669" s="79" t="s">
        <v>1661</v>
      </c>
      <c r="E669" s="79" t="b">
        <v>0</v>
      </c>
      <c r="F669" s="79" t="b">
        <v>0</v>
      </c>
      <c r="G669" s="79" t="b">
        <v>0</v>
      </c>
    </row>
    <row r="670" spans="1:7" ht="15">
      <c r="A670" s="85" t="s">
        <v>1909</v>
      </c>
      <c r="B670" s="79">
        <v>3</v>
      </c>
      <c r="C670" s="109">
        <v>0.016277060493420075</v>
      </c>
      <c r="D670" s="79" t="s">
        <v>1661</v>
      </c>
      <c r="E670" s="79" t="b">
        <v>0</v>
      </c>
      <c r="F670" s="79" t="b">
        <v>0</v>
      </c>
      <c r="G670" s="79" t="b">
        <v>0</v>
      </c>
    </row>
    <row r="671" spans="1:7" ht="15">
      <c r="A671" s="85" t="s">
        <v>1910</v>
      </c>
      <c r="B671" s="79">
        <v>3</v>
      </c>
      <c r="C671" s="109">
        <v>0.016277060493420075</v>
      </c>
      <c r="D671" s="79" t="s">
        <v>1661</v>
      </c>
      <c r="E671" s="79" t="b">
        <v>0</v>
      </c>
      <c r="F671" s="79" t="b">
        <v>0</v>
      </c>
      <c r="G671" s="79" t="b">
        <v>0</v>
      </c>
    </row>
    <row r="672" spans="1:7" ht="15">
      <c r="A672" s="85" t="s">
        <v>1817</v>
      </c>
      <c r="B672" s="79">
        <v>3</v>
      </c>
      <c r="C672" s="109">
        <v>0.016277060493420075</v>
      </c>
      <c r="D672" s="79" t="s">
        <v>1661</v>
      </c>
      <c r="E672" s="79" t="b">
        <v>0</v>
      </c>
      <c r="F672" s="79" t="b">
        <v>0</v>
      </c>
      <c r="G672" s="79" t="b">
        <v>0</v>
      </c>
    </row>
    <row r="673" spans="1:7" ht="15">
      <c r="A673" s="85" t="s">
        <v>1911</v>
      </c>
      <c r="B673" s="79">
        <v>3</v>
      </c>
      <c r="C673" s="109">
        <v>0.016277060493420075</v>
      </c>
      <c r="D673" s="79" t="s">
        <v>1661</v>
      </c>
      <c r="E673" s="79" t="b">
        <v>0</v>
      </c>
      <c r="F673" s="79" t="b">
        <v>0</v>
      </c>
      <c r="G673" s="79" t="b">
        <v>0</v>
      </c>
    </row>
    <row r="674" spans="1:7" ht="15">
      <c r="A674" s="85" t="s">
        <v>1912</v>
      </c>
      <c r="B674" s="79">
        <v>3</v>
      </c>
      <c r="C674" s="109">
        <v>0.016277060493420075</v>
      </c>
      <c r="D674" s="79" t="s">
        <v>1661</v>
      </c>
      <c r="E674" s="79" t="b">
        <v>0</v>
      </c>
      <c r="F674" s="79" t="b">
        <v>0</v>
      </c>
      <c r="G674" s="79" t="b">
        <v>0</v>
      </c>
    </row>
    <row r="675" spans="1:7" ht="15">
      <c r="A675" s="85" t="s">
        <v>1987</v>
      </c>
      <c r="B675" s="79">
        <v>2</v>
      </c>
      <c r="C675" s="109">
        <v>0.01423774402873546</v>
      </c>
      <c r="D675" s="79" t="s">
        <v>1661</v>
      </c>
      <c r="E675" s="79" t="b">
        <v>0</v>
      </c>
      <c r="F675" s="79" t="b">
        <v>0</v>
      </c>
      <c r="G675" s="79" t="b">
        <v>0</v>
      </c>
    </row>
    <row r="676" spans="1:7" ht="15">
      <c r="A676" s="85" t="s">
        <v>1988</v>
      </c>
      <c r="B676" s="79">
        <v>2</v>
      </c>
      <c r="C676" s="109">
        <v>0.01423774402873546</v>
      </c>
      <c r="D676" s="79" t="s">
        <v>1661</v>
      </c>
      <c r="E676" s="79" t="b">
        <v>0</v>
      </c>
      <c r="F676" s="79" t="b">
        <v>0</v>
      </c>
      <c r="G676" s="79" t="b">
        <v>0</v>
      </c>
    </row>
    <row r="677" spans="1:7" ht="15">
      <c r="A677" s="85" t="s">
        <v>1705</v>
      </c>
      <c r="B677" s="79">
        <v>2</v>
      </c>
      <c r="C677" s="109">
        <v>0.01423774402873546</v>
      </c>
      <c r="D677" s="79" t="s">
        <v>1661</v>
      </c>
      <c r="E677" s="79" t="b">
        <v>0</v>
      </c>
      <c r="F677" s="79" t="b">
        <v>0</v>
      </c>
      <c r="G677" s="79" t="b">
        <v>0</v>
      </c>
    </row>
    <row r="678" spans="1:7" ht="15">
      <c r="A678" s="85" t="s">
        <v>1989</v>
      </c>
      <c r="B678" s="79">
        <v>2</v>
      </c>
      <c r="C678" s="109">
        <v>0.01423774402873546</v>
      </c>
      <c r="D678" s="79" t="s">
        <v>1661</v>
      </c>
      <c r="E678" s="79" t="b">
        <v>0</v>
      </c>
      <c r="F678" s="79" t="b">
        <v>0</v>
      </c>
      <c r="G678" s="79" t="b">
        <v>0</v>
      </c>
    </row>
    <row r="679" spans="1:7" ht="15">
      <c r="A679" s="85" t="s">
        <v>1990</v>
      </c>
      <c r="B679" s="79">
        <v>2</v>
      </c>
      <c r="C679" s="109">
        <v>0.01423774402873546</v>
      </c>
      <c r="D679" s="79" t="s">
        <v>1661</v>
      </c>
      <c r="E679" s="79" t="b">
        <v>0</v>
      </c>
      <c r="F679" s="79" t="b">
        <v>0</v>
      </c>
      <c r="G679" s="79" t="b">
        <v>0</v>
      </c>
    </row>
    <row r="680" spans="1:7" ht="15">
      <c r="A680" s="85" t="s">
        <v>1991</v>
      </c>
      <c r="B680" s="79">
        <v>2</v>
      </c>
      <c r="C680" s="109">
        <v>0.01423774402873546</v>
      </c>
      <c r="D680" s="79" t="s">
        <v>1661</v>
      </c>
      <c r="E680" s="79" t="b">
        <v>0</v>
      </c>
      <c r="F680" s="79" t="b">
        <v>0</v>
      </c>
      <c r="G680" s="79" t="b">
        <v>0</v>
      </c>
    </row>
    <row r="681" spans="1:7" ht="15">
      <c r="A681" s="85" t="s">
        <v>1992</v>
      </c>
      <c r="B681" s="79">
        <v>2</v>
      </c>
      <c r="C681" s="109">
        <v>0.01423774402873546</v>
      </c>
      <c r="D681" s="79" t="s">
        <v>1661</v>
      </c>
      <c r="E681" s="79" t="b">
        <v>0</v>
      </c>
      <c r="F681" s="79" t="b">
        <v>0</v>
      </c>
      <c r="G681" s="79" t="b">
        <v>0</v>
      </c>
    </row>
    <row r="682" spans="1:7" ht="15">
      <c r="A682" s="85" t="s">
        <v>1993</v>
      </c>
      <c r="B682" s="79">
        <v>2</v>
      </c>
      <c r="C682" s="109">
        <v>0.01423774402873546</v>
      </c>
      <c r="D682" s="79" t="s">
        <v>1661</v>
      </c>
      <c r="E682" s="79" t="b">
        <v>0</v>
      </c>
      <c r="F682" s="79" t="b">
        <v>0</v>
      </c>
      <c r="G682" s="79" t="b">
        <v>0</v>
      </c>
    </row>
    <row r="683" spans="1:7" ht="15">
      <c r="A683" s="85" t="s">
        <v>1994</v>
      </c>
      <c r="B683" s="79">
        <v>2</v>
      </c>
      <c r="C683" s="109">
        <v>0.01423774402873546</v>
      </c>
      <c r="D683" s="79" t="s">
        <v>1661</v>
      </c>
      <c r="E683" s="79" t="b">
        <v>0</v>
      </c>
      <c r="F683" s="79" t="b">
        <v>0</v>
      </c>
      <c r="G683" s="79" t="b">
        <v>0</v>
      </c>
    </row>
    <row r="684" spans="1:7" ht="15">
      <c r="A684" s="85" t="s">
        <v>1913</v>
      </c>
      <c r="B684" s="79">
        <v>2</v>
      </c>
      <c r="C684" s="109">
        <v>0.01423774402873546</v>
      </c>
      <c r="D684" s="79" t="s">
        <v>1661</v>
      </c>
      <c r="E684" s="79" t="b">
        <v>0</v>
      </c>
      <c r="F684" s="79" t="b">
        <v>0</v>
      </c>
      <c r="G684" s="79" t="b">
        <v>0</v>
      </c>
    </row>
    <row r="685" spans="1:7" ht="15">
      <c r="A685" s="85" t="s">
        <v>1995</v>
      </c>
      <c r="B685" s="79">
        <v>2</v>
      </c>
      <c r="C685" s="109">
        <v>0.01423774402873546</v>
      </c>
      <c r="D685" s="79" t="s">
        <v>1661</v>
      </c>
      <c r="E685" s="79" t="b">
        <v>0</v>
      </c>
      <c r="F685" s="79" t="b">
        <v>0</v>
      </c>
      <c r="G685" s="79" t="b">
        <v>0</v>
      </c>
    </row>
    <row r="686" spans="1:7" ht="15">
      <c r="A686" s="85" t="s">
        <v>1996</v>
      </c>
      <c r="B686" s="79">
        <v>2</v>
      </c>
      <c r="C686" s="109">
        <v>0.01423774402873546</v>
      </c>
      <c r="D686" s="79" t="s">
        <v>1661</v>
      </c>
      <c r="E686" s="79" t="b">
        <v>0</v>
      </c>
      <c r="F686" s="79" t="b">
        <v>0</v>
      </c>
      <c r="G686" s="79" t="b">
        <v>0</v>
      </c>
    </row>
    <row r="687" spans="1:7" ht="15">
      <c r="A687" s="85" t="s">
        <v>1997</v>
      </c>
      <c r="B687" s="79">
        <v>2</v>
      </c>
      <c r="C687" s="109">
        <v>0.01423774402873546</v>
      </c>
      <c r="D687" s="79" t="s">
        <v>1661</v>
      </c>
      <c r="E687" s="79" t="b">
        <v>0</v>
      </c>
      <c r="F687" s="79" t="b">
        <v>0</v>
      </c>
      <c r="G687" s="79" t="b">
        <v>0</v>
      </c>
    </row>
    <row r="688" spans="1:7" ht="15">
      <c r="A688" s="85" t="s">
        <v>1884</v>
      </c>
      <c r="B688" s="79">
        <v>2</v>
      </c>
      <c r="C688" s="109">
        <v>0.01423774402873546</v>
      </c>
      <c r="D688" s="79" t="s">
        <v>1661</v>
      </c>
      <c r="E688" s="79" t="b">
        <v>0</v>
      </c>
      <c r="F688" s="79" t="b">
        <v>0</v>
      </c>
      <c r="G688" s="79" t="b">
        <v>0</v>
      </c>
    </row>
    <row r="689" spans="1:7" ht="15">
      <c r="A689" s="85" t="s">
        <v>1998</v>
      </c>
      <c r="B689" s="79">
        <v>2</v>
      </c>
      <c r="C689" s="109">
        <v>0.01423774402873546</v>
      </c>
      <c r="D689" s="79" t="s">
        <v>1661</v>
      </c>
      <c r="E689" s="79" t="b">
        <v>0</v>
      </c>
      <c r="F689" s="79" t="b">
        <v>0</v>
      </c>
      <c r="G689" s="79" t="b">
        <v>0</v>
      </c>
    </row>
    <row r="690" spans="1:7" ht="15">
      <c r="A690" s="85" t="s">
        <v>2007</v>
      </c>
      <c r="B690" s="79">
        <v>2</v>
      </c>
      <c r="C690" s="109">
        <v>0</v>
      </c>
      <c r="D690" s="79" t="s">
        <v>1662</v>
      </c>
      <c r="E690" s="79" t="b">
        <v>0</v>
      </c>
      <c r="F690" s="79" t="b">
        <v>0</v>
      </c>
      <c r="G690" s="79" t="b">
        <v>0</v>
      </c>
    </row>
    <row r="691" spans="1:7" ht="15">
      <c r="A691" s="85" t="s">
        <v>2008</v>
      </c>
      <c r="B691" s="79">
        <v>2</v>
      </c>
      <c r="C691" s="109">
        <v>0</v>
      </c>
      <c r="D691" s="79" t="s">
        <v>1662</v>
      </c>
      <c r="E691" s="79" t="b">
        <v>0</v>
      </c>
      <c r="F691" s="79" t="b">
        <v>0</v>
      </c>
      <c r="G691" s="79" t="b">
        <v>0</v>
      </c>
    </row>
    <row r="692" spans="1:7" ht="15">
      <c r="A692" s="85" t="s">
        <v>367</v>
      </c>
      <c r="B692" s="79">
        <v>2</v>
      </c>
      <c r="C692" s="109">
        <v>0</v>
      </c>
      <c r="D692" s="79" t="s">
        <v>1662</v>
      </c>
      <c r="E692" s="79" t="b">
        <v>0</v>
      </c>
      <c r="F692" s="79" t="b">
        <v>0</v>
      </c>
      <c r="G692" s="79" t="b">
        <v>0</v>
      </c>
    </row>
    <row r="693" spans="1:7" ht="15">
      <c r="A693" s="85" t="s">
        <v>2009</v>
      </c>
      <c r="B693" s="79">
        <v>2</v>
      </c>
      <c r="C693" s="109">
        <v>0</v>
      </c>
      <c r="D693" s="79" t="s">
        <v>1662</v>
      </c>
      <c r="E693" s="79" t="b">
        <v>0</v>
      </c>
      <c r="F693" s="79" t="b">
        <v>0</v>
      </c>
      <c r="G693" s="79" t="b">
        <v>0</v>
      </c>
    </row>
    <row r="694" spans="1:7" ht="15">
      <c r="A694" s="85" t="s">
        <v>2010</v>
      </c>
      <c r="B694" s="79">
        <v>2</v>
      </c>
      <c r="C694" s="109">
        <v>0</v>
      </c>
      <c r="D694" s="79" t="s">
        <v>1662</v>
      </c>
      <c r="E694" s="79" t="b">
        <v>0</v>
      </c>
      <c r="F694" s="79" t="b">
        <v>0</v>
      </c>
      <c r="G694" s="79" t="b">
        <v>0</v>
      </c>
    </row>
    <row r="695" spans="1:7" ht="15">
      <c r="A695" s="85" t="s">
        <v>368</v>
      </c>
      <c r="B695" s="79">
        <v>2</v>
      </c>
      <c r="C695" s="109">
        <v>0</v>
      </c>
      <c r="D695" s="79" t="s">
        <v>1662</v>
      </c>
      <c r="E695" s="79" t="b">
        <v>0</v>
      </c>
      <c r="F695" s="79" t="b">
        <v>0</v>
      </c>
      <c r="G695" s="79" t="b">
        <v>0</v>
      </c>
    </row>
    <row r="696" spans="1:7" ht="15">
      <c r="A696" s="85" t="s">
        <v>2011</v>
      </c>
      <c r="B696" s="79">
        <v>2</v>
      </c>
      <c r="C696" s="109">
        <v>0</v>
      </c>
      <c r="D696" s="79" t="s">
        <v>1662</v>
      </c>
      <c r="E696" s="79" t="b">
        <v>0</v>
      </c>
      <c r="F696" s="79" t="b">
        <v>0</v>
      </c>
      <c r="G696" s="79" t="b">
        <v>0</v>
      </c>
    </row>
    <row r="697" spans="1:7" ht="15">
      <c r="A697" s="85" t="s">
        <v>2012</v>
      </c>
      <c r="B697" s="79">
        <v>2</v>
      </c>
      <c r="C697" s="109">
        <v>0</v>
      </c>
      <c r="D697" s="79" t="s">
        <v>1662</v>
      </c>
      <c r="E697" s="79" t="b">
        <v>0</v>
      </c>
      <c r="F697" s="79" t="b">
        <v>0</v>
      </c>
      <c r="G697" s="79" t="b">
        <v>0</v>
      </c>
    </row>
    <row r="698" spans="1:7" ht="15">
      <c r="A698" s="85" t="s">
        <v>2013</v>
      </c>
      <c r="B698" s="79">
        <v>2</v>
      </c>
      <c r="C698" s="109">
        <v>0</v>
      </c>
      <c r="D698" s="79" t="s">
        <v>1662</v>
      </c>
      <c r="E698" s="79" t="b">
        <v>0</v>
      </c>
      <c r="F698" s="79" t="b">
        <v>0</v>
      </c>
      <c r="G698" s="79" t="b">
        <v>0</v>
      </c>
    </row>
    <row r="699" spans="1:7" ht="15">
      <c r="A699" s="85" t="s">
        <v>2014</v>
      </c>
      <c r="B699" s="79">
        <v>2</v>
      </c>
      <c r="C699" s="109">
        <v>0</v>
      </c>
      <c r="D699" s="79" t="s">
        <v>1662</v>
      </c>
      <c r="E699" s="79" t="b">
        <v>0</v>
      </c>
      <c r="F699" s="79" t="b">
        <v>0</v>
      </c>
      <c r="G699" s="79" t="b">
        <v>0</v>
      </c>
    </row>
    <row r="700" spans="1:7" ht="15">
      <c r="A700" s="85" t="s">
        <v>2015</v>
      </c>
      <c r="B700" s="79">
        <v>2</v>
      </c>
      <c r="C700" s="109">
        <v>0</v>
      </c>
      <c r="D700" s="79" t="s">
        <v>1662</v>
      </c>
      <c r="E700" s="79" t="b">
        <v>0</v>
      </c>
      <c r="F700" s="79" t="b">
        <v>0</v>
      </c>
      <c r="G700" s="79" t="b">
        <v>0</v>
      </c>
    </row>
    <row r="701" spans="1:7" ht="15">
      <c r="A701" s="85" t="s">
        <v>2016</v>
      </c>
      <c r="B701" s="79">
        <v>2</v>
      </c>
      <c r="C701" s="109">
        <v>0</v>
      </c>
      <c r="D701" s="79" t="s">
        <v>1662</v>
      </c>
      <c r="E701" s="79" t="b">
        <v>0</v>
      </c>
      <c r="F701" s="79" t="b">
        <v>0</v>
      </c>
      <c r="G701" s="79" t="b">
        <v>0</v>
      </c>
    </row>
    <row r="702" spans="1:7" ht="15">
      <c r="A702" s="85" t="s">
        <v>2017</v>
      </c>
      <c r="B702" s="79">
        <v>2</v>
      </c>
      <c r="C702" s="109">
        <v>0</v>
      </c>
      <c r="D702" s="79" t="s">
        <v>1662</v>
      </c>
      <c r="E702" s="79" t="b">
        <v>0</v>
      </c>
      <c r="F702" s="79" t="b">
        <v>0</v>
      </c>
      <c r="G702" s="79" t="b">
        <v>0</v>
      </c>
    </row>
    <row r="703" spans="1:7" ht="15">
      <c r="A703" s="85" t="s">
        <v>2018</v>
      </c>
      <c r="B703" s="79">
        <v>2</v>
      </c>
      <c r="C703" s="109">
        <v>0</v>
      </c>
      <c r="D703" s="79" t="s">
        <v>1662</v>
      </c>
      <c r="E703" s="79" t="b">
        <v>0</v>
      </c>
      <c r="F703" s="79" t="b">
        <v>0</v>
      </c>
      <c r="G703" s="79" t="b">
        <v>0</v>
      </c>
    </row>
    <row r="704" spans="1:7" ht="15">
      <c r="A704" s="85" t="s">
        <v>2019</v>
      </c>
      <c r="B704" s="79">
        <v>2</v>
      </c>
      <c r="C704" s="109">
        <v>0</v>
      </c>
      <c r="D704" s="79" t="s">
        <v>1662</v>
      </c>
      <c r="E704" s="79" t="b">
        <v>0</v>
      </c>
      <c r="F704" s="79" t="b">
        <v>0</v>
      </c>
      <c r="G704" s="79" t="b">
        <v>0</v>
      </c>
    </row>
    <row r="705" spans="1:7" ht="15">
      <c r="A705" s="85" t="s">
        <v>2020</v>
      </c>
      <c r="B705" s="79">
        <v>2</v>
      </c>
      <c r="C705" s="109">
        <v>0</v>
      </c>
      <c r="D705" s="79" t="s">
        <v>1662</v>
      </c>
      <c r="E705" s="79" t="b">
        <v>0</v>
      </c>
      <c r="F705" s="79" t="b">
        <v>0</v>
      </c>
      <c r="G705" s="79" t="b">
        <v>0</v>
      </c>
    </row>
    <row r="706" spans="1:7" ht="15">
      <c r="A706" s="85" t="s">
        <v>1703</v>
      </c>
      <c r="B706" s="79">
        <v>2</v>
      </c>
      <c r="C706" s="109">
        <v>0</v>
      </c>
      <c r="D706" s="79" t="s">
        <v>1662</v>
      </c>
      <c r="E706" s="79" t="b">
        <v>0</v>
      </c>
      <c r="F706" s="79" t="b">
        <v>0</v>
      </c>
      <c r="G706" s="79" t="b">
        <v>0</v>
      </c>
    </row>
    <row r="707" spans="1:7" ht="15">
      <c r="A707" s="85" t="s">
        <v>2021</v>
      </c>
      <c r="B707" s="79">
        <v>2</v>
      </c>
      <c r="C707" s="109">
        <v>0</v>
      </c>
      <c r="D707" s="79" t="s">
        <v>1662</v>
      </c>
      <c r="E707" s="79" t="b">
        <v>0</v>
      </c>
      <c r="F707" s="79" t="b">
        <v>0</v>
      </c>
      <c r="G707" s="79" t="b">
        <v>0</v>
      </c>
    </row>
    <row r="708" spans="1:7" ht="15">
      <c r="A708" s="85" t="s">
        <v>366</v>
      </c>
      <c r="B708" s="79">
        <v>2</v>
      </c>
      <c r="C708" s="109">
        <v>0</v>
      </c>
      <c r="D708" s="79" t="s">
        <v>1662</v>
      </c>
      <c r="E708" s="79" t="b">
        <v>0</v>
      </c>
      <c r="F708" s="79" t="b">
        <v>0</v>
      </c>
      <c r="G708" s="79" t="b">
        <v>0</v>
      </c>
    </row>
    <row r="709" spans="1:7" ht="15">
      <c r="A709" s="85" t="s">
        <v>365</v>
      </c>
      <c r="B709" s="79">
        <v>2</v>
      </c>
      <c r="C709" s="109">
        <v>0</v>
      </c>
      <c r="D709" s="79" t="s">
        <v>1662</v>
      </c>
      <c r="E709" s="79" t="b">
        <v>0</v>
      </c>
      <c r="F709" s="79" t="b">
        <v>0</v>
      </c>
      <c r="G709" s="79" t="b">
        <v>0</v>
      </c>
    </row>
    <row r="710" spans="1:7" ht="15">
      <c r="A710" s="85" t="s">
        <v>1878</v>
      </c>
      <c r="B710" s="79">
        <v>3</v>
      </c>
      <c r="C710" s="109">
        <v>0</v>
      </c>
      <c r="D710" s="79" t="s">
        <v>1663</v>
      </c>
      <c r="E710" s="79" t="b">
        <v>0</v>
      </c>
      <c r="F710" s="79" t="b">
        <v>0</v>
      </c>
      <c r="G710" s="79" t="b">
        <v>0</v>
      </c>
    </row>
    <row r="711" spans="1:7" ht="15">
      <c r="A711" s="85" t="s">
        <v>1929</v>
      </c>
      <c r="B711" s="79">
        <v>3</v>
      </c>
      <c r="C711" s="109">
        <v>0</v>
      </c>
      <c r="D711" s="79" t="s">
        <v>1663</v>
      </c>
      <c r="E711" s="79" t="b">
        <v>0</v>
      </c>
      <c r="F711" s="79" t="b">
        <v>0</v>
      </c>
      <c r="G711" s="79" t="b">
        <v>0</v>
      </c>
    </row>
    <row r="712" spans="1:7" ht="15">
      <c r="A712" s="85" t="s">
        <v>1930</v>
      </c>
      <c r="B712" s="79">
        <v>3</v>
      </c>
      <c r="C712" s="109">
        <v>0</v>
      </c>
      <c r="D712" s="79" t="s">
        <v>1663</v>
      </c>
      <c r="E712" s="79" t="b">
        <v>0</v>
      </c>
      <c r="F712" s="79" t="b">
        <v>0</v>
      </c>
      <c r="G712" s="79" t="b">
        <v>0</v>
      </c>
    </row>
    <row r="713" spans="1:7" ht="15">
      <c r="A713" s="85" t="s">
        <v>1931</v>
      </c>
      <c r="B713" s="79">
        <v>3</v>
      </c>
      <c r="C713" s="109">
        <v>0</v>
      </c>
      <c r="D713" s="79" t="s">
        <v>1663</v>
      </c>
      <c r="E713" s="79" t="b">
        <v>0</v>
      </c>
      <c r="F713" s="79" t="b">
        <v>0</v>
      </c>
      <c r="G713" s="79" t="b">
        <v>0</v>
      </c>
    </row>
    <row r="714" spans="1:7" ht="15">
      <c r="A714" s="85" t="s">
        <v>1879</v>
      </c>
      <c r="B714" s="79">
        <v>3</v>
      </c>
      <c r="C714" s="109">
        <v>0</v>
      </c>
      <c r="D714" s="79" t="s">
        <v>1663</v>
      </c>
      <c r="E714" s="79" t="b">
        <v>0</v>
      </c>
      <c r="F714" s="79" t="b">
        <v>0</v>
      </c>
      <c r="G714" s="79" t="b">
        <v>0</v>
      </c>
    </row>
    <row r="715" spans="1:7" ht="15">
      <c r="A715" s="85" t="s">
        <v>1932</v>
      </c>
      <c r="B715" s="79">
        <v>3</v>
      </c>
      <c r="C715" s="109">
        <v>0</v>
      </c>
      <c r="D715" s="79" t="s">
        <v>1663</v>
      </c>
      <c r="E715" s="79" t="b">
        <v>0</v>
      </c>
      <c r="F715" s="79" t="b">
        <v>0</v>
      </c>
      <c r="G715" s="79" t="b">
        <v>0</v>
      </c>
    </row>
    <row r="716" spans="1:7" ht="15">
      <c r="A716" s="85" t="s">
        <v>1933</v>
      </c>
      <c r="B716" s="79">
        <v>3</v>
      </c>
      <c r="C716" s="109">
        <v>0</v>
      </c>
      <c r="D716" s="79" t="s">
        <v>1663</v>
      </c>
      <c r="E716" s="79" t="b">
        <v>0</v>
      </c>
      <c r="F716" s="79" t="b">
        <v>0</v>
      </c>
      <c r="G716" s="79" t="b">
        <v>0</v>
      </c>
    </row>
    <row r="717" spans="1:7" ht="15">
      <c r="A717" s="85" t="s">
        <v>1703</v>
      </c>
      <c r="B717" s="79">
        <v>3</v>
      </c>
      <c r="C717" s="109">
        <v>0</v>
      </c>
      <c r="D717" s="79" t="s">
        <v>1663</v>
      </c>
      <c r="E717" s="79" t="b">
        <v>0</v>
      </c>
      <c r="F717" s="79" t="b">
        <v>0</v>
      </c>
      <c r="G717" s="79" t="b">
        <v>0</v>
      </c>
    </row>
    <row r="718" spans="1:7" ht="15">
      <c r="A718" s="85" t="s">
        <v>1934</v>
      </c>
      <c r="B718" s="79">
        <v>3</v>
      </c>
      <c r="C718" s="109">
        <v>0</v>
      </c>
      <c r="D718" s="79" t="s">
        <v>1663</v>
      </c>
      <c r="E718" s="79" t="b">
        <v>0</v>
      </c>
      <c r="F718" s="79" t="b">
        <v>0</v>
      </c>
      <c r="G718" s="79" t="b">
        <v>0</v>
      </c>
    </row>
    <row r="719" spans="1:7" ht="15">
      <c r="A719" s="85" t="s">
        <v>2031</v>
      </c>
      <c r="B719" s="79">
        <v>2</v>
      </c>
      <c r="C719" s="109">
        <v>0.007337135793986718</v>
      </c>
      <c r="D719" s="79" t="s">
        <v>1663</v>
      </c>
      <c r="E719" s="79" t="b">
        <v>0</v>
      </c>
      <c r="F719" s="79" t="b">
        <v>0</v>
      </c>
      <c r="G719" s="79" t="b">
        <v>0</v>
      </c>
    </row>
    <row r="720" spans="1:7" ht="15">
      <c r="A720" s="85" t="s">
        <v>1905</v>
      </c>
      <c r="B720" s="79">
        <v>2</v>
      </c>
      <c r="C720" s="109">
        <v>0.007337135793986718</v>
      </c>
      <c r="D720" s="79" t="s">
        <v>1663</v>
      </c>
      <c r="E720" s="79" t="b">
        <v>0</v>
      </c>
      <c r="F720" s="79" t="b">
        <v>0</v>
      </c>
      <c r="G720" s="79" t="b">
        <v>0</v>
      </c>
    </row>
    <row r="721" spans="1:7" ht="15">
      <c r="A721" s="85" t="s">
        <v>2032</v>
      </c>
      <c r="B721" s="79">
        <v>2</v>
      </c>
      <c r="C721" s="109">
        <v>0.007337135793986718</v>
      </c>
      <c r="D721" s="79" t="s">
        <v>1663</v>
      </c>
      <c r="E721" s="79" t="b">
        <v>0</v>
      </c>
      <c r="F721" s="79" t="b">
        <v>1</v>
      </c>
      <c r="G721" s="79" t="b">
        <v>0</v>
      </c>
    </row>
    <row r="722" spans="1:7" ht="15">
      <c r="A722" s="85" t="s">
        <v>2033</v>
      </c>
      <c r="B722" s="79">
        <v>2</v>
      </c>
      <c r="C722" s="109">
        <v>0.007337135793986718</v>
      </c>
      <c r="D722" s="79" t="s">
        <v>1663</v>
      </c>
      <c r="E722" s="79" t="b">
        <v>0</v>
      </c>
      <c r="F722" s="79" t="b">
        <v>0</v>
      </c>
      <c r="G722" s="79" t="b">
        <v>0</v>
      </c>
    </row>
    <row r="723" spans="1:7" ht="15">
      <c r="A723" s="85" t="s">
        <v>2034</v>
      </c>
      <c r="B723" s="79">
        <v>2</v>
      </c>
      <c r="C723" s="109">
        <v>0.007337135793986718</v>
      </c>
      <c r="D723" s="79" t="s">
        <v>1663</v>
      </c>
      <c r="E723" s="79" t="b">
        <v>0</v>
      </c>
      <c r="F723" s="79" t="b">
        <v>0</v>
      </c>
      <c r="G723" s="79" t="b">
        <v>0</v>
      </c>
    </row>
    <row r="724" spans="1:7" ht="15">
      <c r="A724" s="85" t="s">
        <v>1841</v>
      </c>
      <c r="B724" s="79">
        <v>2</v>
      </c>
      <c r="C724" s="109">
        <v>0.007337135793986718</v>
      </c>
      <c r="D724" s="79" t="s">
        <v>1663</v>
      </c>
      <c r="E724" s="79" t="b">
        <v>0</v>
      </c>
      <c r="F724" s="79" t="b">
        <v>0</v>
      </c>
      <c r="G724" s="79" t="b">
        <v>0</v>
      </c>
    </row>
    <row r="725" spans="1:7" ht="15">
      <c r="A725" s="85" t="s">
        <v>2035</v>
      </c>
      <c r="B725" s="79">
        <v>2</v>
      </c>
      <c r="C725" s="109">
        <v>0.007337135793986718</v>
      </c>
      <c r="D725" s="79" t="s">
        <v>1663</v>
      </c>
      <c r="E725" s="79" t="b">
        <v>0</v>
      </c>
      <c r="F725" s="79" t="b">
        <v>0</v>
      </c>
      <c r="G725" s="79" t="b">
        <v>0</v>
      </c>
    </row>
    <row r="726" spans="1:7" ht="15">
      <c r="A726" s="85" t="s">
        <v>2036</v>
      </c>
      <c r="B726" s="79">
        <v>2</v>
      </c>
      <c r="C726" s="109">
        <v>0.007337135793986718</v>
      </c>
      <c r="D726" s="79" t="s">
        <v>1663</v>
      </c>
      <c r="E726" s="79" t="b">
        <v>0</v>
      </c>
      <c r="F726" s="79" t="b">
        <v>0</v>
      </c>
      <c r="G726" s="79" t="b">
        <v>0</v>
      </c>
    </row>
    <row r="727" spans="1:7" ht="15">
      <c r="A727" s="85" t="s">
        <v>2037</v>
      </c>
      <c r="B727" s="79">
        <v>2</v>
      </c>
      <c r="C727" s="109">
        <v>0.007337135793986718</v>
      </c>
      <c r="D727" s="79" t="s">
        <v>1663</v>
      </c>
      <c r="E727" s="79" t="b">
        <v>0</v>
      </c>
      <c r="F727" s="79" t="b">
        <v>0</v>
      </c>
      <c r="G727" s="79" t="b">
        <v>0</v>
      </c>
    </row>
    <row r="728" spans="1:7" ht="15">
      <c r="A728" s="85" t="s">
        <v>361</v>
      </c>
      <c r="B728" s="79">
        <v>2</v>
      </c>
      <c r="C728" s="109">
        <v>0.007337135793986718</v>
      </c>
      <c r="D728" s="79" t="s">
        <v>1663</v>
      </c>
      <c r="E728" s="79" t="b">
        <v>0</v>
      </c>
      <c r="F728" s="79" t="b">
        <v>0</v>
      </c>
      <c r="G728" s="79" t="b">
        <v>0</v>
      </c>
    </row>
    <row r="729" spans="1:7" ht="15">
      <c r="A729" s="85" t="s">
        <v>1889</v>
      </c>
      <c r="B729" s="79">
        <v>3</v>
      </c>
      <c r="C729" s="109">
        <v>0</v>
      </c>
      <c r="D729" s="79" t="s">
        <v>1664</v>
      </c>
      <c r="E729" s="79" t="b">
        <v>0</v>
      </c>
      <c r="F729" s="79" t="b">
        <v>0</v>
      </c>
      <c r="G729" s="79" t="b">
        <v>0</v>
      </c>
    </row>
    <row r="730" spans="1:7" ht="15">
      <c r="A730" s="85" t="s">
        <v>1890</v>
      </c>
      <c r="B730" s="79">
        <v>3</v>
      </c>
      <c r="C730" s="109">
        <v>0</v>
      </c>
      <c r="D730" s="79" t="s">
        <v>1664</v>
      </c>
      <c r="E730" s="79" t="b">
        <v>0</v>
      </c>
      <c r="F730" s="79" t="b">
        <v>0</v>
      </c>
      <c r="G730" s="79" t="b">
        <v>0</v>
      </c>
    </row>
    <row r="731" spans="1:7" ht="15">
      <c r="A731" s="85" t="s">
        <v>1703</v>
      </c>
      <c r="B731" s="79">
        <v>3</v>
      </c>
      <c r="C731" s="109">
        <v>0</v>
      </c>
      <c r="D731" s="79" t="s">
        <v>1664</v>
      </c>
      <c r="E731" s="79" t="b">
        <v>0</v>
      </c>
      <c r="F731" s="79" t="b">
        <v>0</v>
      </c>
      <c r="G731" s="79" t="b">
        <v>0</v>
      </c>
    </row>
    <row r="732" spans="1:7" ht="15">
      <c r="A732" s="85" t="s">
        <v>1891</v>
      </c>
      <c r="B732" s="79">
        <v>3</v>
      </c>
      <c r="C732" s="109">
        <v>0</v>
      </c>
      <c r="D732" s="79" t="s">
        <v>1664</v>
      </c>
      <c r="E732" s="79" t="b">
        <v>0</v>
      </c>
      <c r="F732" s="79" t="b">
        <v>0</v>
      </c>
      <c r="G732" s="79" t="b">
        <v>0</v>
      </c>
    </row>
    <row r="733" spans="1:7" ht="15">
      <c r="A733" s="85" t="s">
        <v>1892</v>
      </c>
      <c r="B733" s="79">
        <v>3</v>
      </c>
      <c r="C733" s="109">
        <v>0</v>
      </c>
      <c r="D733" s="79" t="s">
        <v>1664</v>
      </c>
      <c r="E733" s="79" t="b">
        <v>0</v>
      </c>
      <c r="F733" s="79" t="b">
        <v>0</v>
      </c>
      <c r="G733" s="79" t="b">
        <v>0</v>
      </c>
    </row>
    <row r="734" spans="1:7" ht="15">
      <c r="A734" s="85" t="s">
        <v>1893</v>
      </c>
      <c r="B734" s="79">
        <v>3</v>
      </c>
      <c r="C734" s="109">
        <v>0</v>
      </c>
      <c r="D734" s="79" t="s">
        <v>1664</v>
      </c>
      <c r="E734" s="79" t="b">
        <v>0</v>
      </c>
      <c r="F734" s="79" t="b">
        <v>0</v>
      </c>
      <c r="G734" s="79" t="b">
        <v>0</v>
      </c>
    </row>
    <row r="735" spans="1:7" ht="15">
      <c r="A735" s="85" t="s">
        <v>1894</v>
      </c>
      <c r="B735" s="79">
        <v>3</v>
      </c>
      <c r="C735" s="109">
        <v>0</v>
      </c>
      <c r="D735" s="79" t="s">
        <v>1664</v>
      </c>
      <c r="E735" s="79" t="b">
        <v>0</v>
      </c>
      <c r="F735" s="79" t="b">
        <v>0</v>
      </c>
      <c r="G735" s="79" t="b">
        <v>0</v>
      </c>
    </row>
    <row r="736" spans="1:7" ht="15">
      <c r="A736" s="85" t="s">
        <v>1895</v>
      </c>
      <c r="B736" s="79">
        <v>3</v>
      </c>
      <c r="C736" s="109">
        <v>0</v>
      </c>
      <c r="D736" s="79" t="s">
        <v>1664</v>
      </c>
      <c r="E736" s="79" t="b">
        <v>0</v>
      </c>
      <c r="F736" s="79" t="b">
        <v>0</v>
      </c>
      <c r="G736" s="79" t="b">
        <v>0</v>
      </c>
    </row>
    <row r="737" spans="1:7" ht="15">
      <c r="A737" s="85" t="s">
        <v>1896</v>
      </c>
      <c r="B737" s="79">
        <v>3</v>
      </c>
      <c r="C737" s="109">
        <v>0</v>
      </c>
      <c r="D737" s="79" t="s">
        <v>1664</v>
      </c>
      <c r="E737" s="79" t="b">
        <v>0</v>
      </c>
      <c r="F737" s="79" t="b">
        <v>0</v>
      </c>
      <c r="G737" s="79" t="b">
        <v>0</v>
      </c>
    </row>
    <row r="738" spans="1:7" ht="15">
      <c r="A738" s="85" t="s">
        <v>1897</v>
      </c>
      <c r="B738" s="79">
        <v>3</v>
      </c>
      <c r="C738" s="109">
        <v>0</v>
      </c>
      <c r="D738" s="79" t="s">
        <v>1664</v>
      </c>
      <c r="E738" s="79" t="b">
        <v>0</v>
      </c>
      <c r="F738" s="79" t="b">
        <v>0</v>
      </c>
      <c r="G738" s="79" t="b">
        <v>0</v>
      </c>
    </row>
    <row r="739" spans="1:7" ht="15">
      <c r="A739" s="85" t="s">
        <v>1898</v>
      </c>
      <c r="B739" s="79">
        <v>3</v>
      </c>
      <c r="C739" s="109">
        <v>0</v>
      </c>
      <c r="D739" s="79" t="s">
        <v>1664</v>
      </c>
      <c r="E739" s="79" t="b">
        <v>0</v>
      </c>
      <c r="F739" s="79" t="b">
        <v>0</v>
      </c>
      <c r="G739" s="79" t="b">
        <v>0</v>
      </c>
    </row>
    <row r="740" spans="1:7" ht="15">
      <c r="A740" s="85" t="s">
        <v>1899</v>
      </c>
      <c r="B740" s="79">
        <v>3</v>
      </c>
      <c r="C740" s="109">
        <v>0</v>
      </c>
      <c r="D740" s="79" t="s">
        <v>1664</v>
      </c>
      <c r="E740" s="79" t="b">
        <v>0</v>
      </c>
      <c r="F740" s="79" t="b">
        <v>0</v>
      </c>
      <c r="G740" s="79" t="b">
        <v>0</v>
      </c>
    </row>
    <row r="741" spans="1:7" ht="15">
      <c r="A741" s="85" t="s">
        <v>1900</v>
      </c>
      <c r="B741" s="79">
        <v>3</v>
      </c>
      <c r="C741" s="109">
        <v>0</v>
      </c>
      <c r="D741" s="79" t="s">
        <v>1664</v>
      </c>
      <c r="E741" s="79" t="b">
        <v>0</v>
      </c>
      <c r="F741" s="79" t="b">
        <v>0</v>
      </c>
      <c r="G741" s="79" t="b">
        <v>0</v>
      </c>
    </row>
    <row r="742" spans="1:7" ht="15">
      <c r="A742" s="85" t="s">
        <v>1901</v>
      </c>
      <c r="B742" s="79">
        <v>3</v>
      </c>
      <c r="C742" s="109">
        <v>0</v>
      </c>
      <c r="D742" s="79" t="s">
        <v>1664</v>
      </c>
      <c r="E742" s="79" t="b">
        <v>0</v>
      </c>
      <c r="F742" s="79" t="b">
        <v>0</v>
      </c>
      <c r="G742" s="79" t="b">
        <v>0</v>
      </c>
    </row>
    <row r="743" spans="1:7" ht="15">
      <c r="A743" s="85" t="s">
        <v>1766</v>
      </c>
      <c r="B743" s="79">
        <v>3</v>
      </c>
      <c r="C743" s="109">
        <v>0</v>
      </c>
      <c r="D743" s="79" t="s">
        <v>1664</v>
      </c>
      <c r="E743" s="79" t="b">
        <v>0</v>
      </c>
      <c r="F743" s="79" t="b">
        <v>0</v>
      </c>
      <c r="G743" s="79" t="b">
        <v>0</v>
      </c>
    </row>
    <row r="744" spans="1:7" ht="15">
      <c r="A744" s="85" t="s">
        <v>1733</v>
      </c>
      <c r="B744" s="79">
        <v>2</v>
      </c>
      <c r="C744" s="109">
        <v>0</v>
      </c>
      <c r="D744" s="79" t="s">
        <v>1665</v>
      </c>
      <c r="E744" s="79" t="b">
        <v>0</v>
      </c>
      <c r="F744" s="79" t="b">
        <v>0</v>
      </c>
      <c r="G744" s="79" t="b">
        <v>0</v>
      </c>
    </row>
    <row r="745" spans="1:7" ht="15">
      <c r="A745" s="85" t="s">
        <v>1839</v>
      </c>
      <c r="B745" s="79">
        <v>4</v>
      </c>
      <c r="C745" s="109">
        <v>0</v>
      </c>
      <c r="D745" s="79" t="s">
        <v>1666</v>
      </c>
      <c r="E745" s="79" t="b">
        <v>0</v>
      </c>
      <c r="F745" s="79" t="b">
        <v>0</v>
      </c>
      <c r="G745" s="79" t="b">
        <v>0</v>
      </c>
    </row>
    <row r="746" spans="1:7" ht="15">
      <c r="A746" s="85" t="s">
        <v>1728</v>
      </c>
      <c r="B746" s="79">
        <v>4</v>
      </c>
      <c r="C746" s="109">
        <v>0</v>
      </c>
      <c r="D746" s="79" t="s">
        <v>1666</v>
      </c>
      <c r="E746" s="79" t="b">
        <v>0</v>
      </c>
      <c r="F746" s="79" t="b">
        <v>0</v>
      </c>
      <c r="G746" s="79" t="b">
        <v>0</v>
      </c>
    </row>
    <row r="747" spans="1:7" ht="15">
      <c r="A747" s="85" t="s">
        <v>1979</v>
      </c>
      <c r="B747" s="79">
        <v>2</v>
      </c>
      <c r="C747" s="109">
        <v>0</v>
      </c>
      <c r="D747" s="79" t="s">
        <v>1666</v>
      </c>
      <c r="E747" s="79" t="b">
        <v>0</v>
      </c>
      <c r="F747" s="79" t="b">
        <v>0</v>
      </c>
      <c r="G747" s="79" t="b">
        <v>0</v>
      </c>
    </row>
    <row r="748" spans="1:7" ht="15">
      <c r="A748" s="85" t="s">
        <v>369</v>
      </c>
      <c r="B748" s="79">
        <v>2</v>
      </c>
      <c r="C748" s="109">
        <v>0</v>
      </c>
      <c r="D748" s="79" t="s">
        <v>1666</v>
      </c>
      <c r="E748" s="79" t="b">
        <v>0</v>
      </c>
      <c r="F748" s="79" t="b">
        <v>0</v>
      </c>
      <c r="G748" s="79" t="b">
        <v>0</v>
      </c>
    </row>
    <row r="749" spans="1:7" ht="15">
      <c r="A749" s="85" t="s">
        <v>1980</v>
      </c>
      <c r="B749" s="79">
        <v>2</v>
      </c>
      <c r="C749" s="109">
        <v>0</v>
      </c>
      <c r="D749" s="79" t="s">
        <v>1666</v>
      </c>
      <c r="E749" s="79" t="b">
        <v>0</v>
      </c>
      <c r="F749" s="79" t="b">
        <v>0</v>
      </c>
      <c r="G749" s="79" t="b">
        <v>0</v>
      </c>
    </row>
    <row r="750" spans="1:7" ht="15">
      <c r="A750" s="85" t="s">
        <v>1817</v>
      </c>
      <c r="B750" s="79">
        <v>2</v>
      </c>
      <c r="C750" s="109">
        <v>0</v>
      </c>
      <c r="D750" s="79" t="s">
        <v>1666</v>
      </c>
      <c r="E750" s="79" t="b">
        <v>0</v>
      </c>
      <c r="F750" s="79" t="b">
        <v>0</v>
      </c>
      <c r="G750" s="79" t="b">
        <v>0</v>
      </c>
    </row>
    <row r="751" spans="1:7" ht="15">
      <c r="A751" s="85" t="s">
        <v>1703</v>
      </c>
      <c r="B751" s="79">
        <v>2</v>
      </c>
      <c r="C751" s="109">
        <v>0</v>
      </c>
      <c r="D751" s="79" t="s">
        <v>1666</v>
      </c>
      <c r="E751" s="79" t="b">
        <v>0</v>
      </c>
      <c r="F751" s="79" t="b">
        <v>0</v>
      </c>
      <c r="G751" s="79" t="b">
        <v>0</v>
      </c>
    </row>
    <row r="752" spans="1:7" ht="15">
      <c r="A752" s="85" t="s">
        <v>1730</v>
      </c>
      <c r="B752" s="79">
        <v>2</v>
      </c>
      <c r="C752" s="109">
        <v>0</v>
      </c>
      <c r="D752" s="79" t="s">
        <v>1666</v>
      </c>
      <c r="E752" s="79" t="b">
        <v>0</v>
      </c>
      <c r="F752" s="79" t="b">
        <v>0</v>
      </c>
      <c r="G752" s="79" t="b">
        <v>0</v>
      </c>
    </row>
    <row r="753" spans="1:7" ht="15">
      <c r="A753" s="85" t="s">
        <v>1981</v>
      </c>
      <c r="B753" s="79">
        <v>2</v>
      </c>
      <c r="C753" s="109">
        <v>0</v>
      </c>
      <c r="D753" s="79" t="s">
        <v>1666</v>
      </c>
      <c r="E753" s="79" t="b">
        <v>0</v>
      </c>
      <c r="F753" s="79" t="b">
        <v>0</v>
      </c>
      <c r="G753" s="79" t="b">
        <v>0</v>
      </c>
    </row>
    <row r="754" spans="1:7" ht="15">
      <c r="A754" s="85" t="s">
        <v>1982</v>
      </c>
      <c r="B754" s="79">
        <v>2</v>
      </c>
      <c r="C754" s="109">
        <v>0</v>
      </c>
      <c r="D754" s="79" t="s">
        <v>1666</v>
      </c>
      <c r="E754" s="79" t="b">
        <v>0</v>
      </c>
      <c r="F754" s="79" t="b">
        <v>0</v>
      </c>
      <c r="G754" s="79" t="b">
        <v>0</v>
      </c>
    </row>
    <row r="755" spans="1:7" ht="15">
      <c r="A755" s="85" t="s">
        <v>1983</v>
      </c>
      <c r="B755" s="79">
        <v>2</v>
      </c>
      <c r="C755" s="109">
        <v>0</v>
      </c>
      <c r="D755" s="79" t="s">
        <v>1666</v>
      </c>
      <c r="E755" s="79" t="b">
        <v>0</v>
      </c>
      <c r="F755" s="79" t="b">
        <v>0</v>
      </c>
      <c r="G755" s="79" t="b">
        <v>0</v>
      </c>
    </row>
    <row r="756" spans="1:7" ht="15">
      <c r="A756" s="85" t="s">
        <v>1984</v>
      </c>
      <c r="B756" s="79">
        <v>2</v>
      </c>
      <c r="C756" s="109">
        <v>0</v>
      </c>
      <c r="D756" s="79" t="s">
        <v>1666</v>
      </c>
      <c r="E756" s="79" t="b">
        <v>0</v>
      </c>
      <c r="F756" s="79" t="b">
        <v>0</v>
      </c>
      <c r="G756" s="79" t="b">
        <v>0</v>
      </c>
    </row>
    <row r="757" spans="1:7" ht="15">
      <c r="A757" s="85" t="s">
        <v>1985</v>
      </c>
      <c r="B757" s="79">
        <v>2</v>
      </c>
      <c r="C757" s="109">
        <v>0</v>
      </c>
      <c r="D757" s="79" t="s">
        <v>1666</v>
      </c>
      <c r="E757" s="79" t="b">
        <v>0</v>
      </c>
      <c r="F757" s="79" t="b">
        <v>0</v>
      </c>
      <c r="G757" s="79" t="b">
        <v>0</v>
      </c>
    </row>
    <row r="758" spans="1:7" ht="15">
      <c r="A758" s="85" t="s">
        <v>1986</v>
      </c>
      <c r="B758" s="79">
        <v>2</v>
      </c>
      <c r="C758" s="109">
        <v>0</v>
      </c>
      <c r="D758" s="79" t="s">
        <v>1666</v>
      </c>
      <c r="E758" s="79" t="b">
        <v>0</v>
      </c>
      <c r="F758" s="79" t="b">
        <v>0</v>
      </c>
      <c r="G758" s="79" t="b">
        <v>0</v>
      </c>
    </row>
    <row r="759" spans="1:7" ht="15">
      <c r="A759" s="85" t="s">
        <v>1038</v>
      </c>
      <c r="B759" s="79">
        <v>2</v>
      </c>
      <c r="C759" s="109">
        <v>0</v>
      </c>
      <c r="D759" s="79" t="s">
        <v>1666</v>
      </c>
      <c r="E759" s="79" t="b">
        <v>0</v>
      </c>
      <c r="F759" s="79" t="b">
        <v>0</v>
      </c>
      <c r="G759" s="79" t="b">
        <v>0</v>
      </c>
    </row>
    <row r="760" spans="1:7" ht="15">
      <c r="A760" s="85" t="s">
        <v>1770</v>
      </c>
      <c r="B760" s="79">
        <v>6</v>
      </c>
      <c r="C760" s="109">
        <v>0</v>
      </c>
      <c r="D760" s="79" t="s">
        <v>1667</v>
      </c>
      <c r="E760" s="79" t="b">
        <v>0</v>
      </c>
      <c r="F760" s="79" t="b">
        <v>0</v>
      </c>
      <c r="G760" s="79" t="b">
        <v>0</v>
      </c>
    </row>
    <row r="761" spans="1:7" ht="15">
      <c r="A761" s="85" t="s">
        <v>2066</v>
      </c>
      <c r="B761" s="79">
        <v>2</v>
      </c>
      <c r="C761" s="109">
        <v>0</v>
      </c>
      <c r="D761" s="79" t="s">
        <v>1667</v>
      </c>
      <c r="E761" s="79" t="b">
        <v>0</v>
      </c>
      <c r="F761" s="79" t="b">
        <v>0</v>
      </c>
      <c r="G761" s="79" t="b">
        <v>0</v>
      </c>
    </row>
    <row r="762" spans="1:7" ht="15">
      <c r="A762" s="85" t="s">
        <v>1907</v>
      </c>
      <c r="B762" s="79">
        <v>2</v>
      </c>
      <c r="C762" s="109">
        <v>0</v>
      </c>
      <c r="D762" s="79" t="s">
        <v>1667</v>
      </c>
      <c r="E762" s="79" t="b">
        <v>0</v>
      </c>
      <c r="F762" s="79" t="b">
        <v>0</v>
      </c>
      <c r="G762" s="79" t="b">
        <v>0</v>
      </c>
    </row>
    <row r="763" spans="1:7" ht="15">
      <c r="A763" s="85" t="s">
        <v>2067</v>
      </c>
      <c r="B763" s="79">
        <v>2</v>
      </c>
      <c r="C763" s="109">
        <v>0</v>
      </c>
      <c r="D763" s="79" t="s">
        <v>1667</v>
      </c>
      <c r="E763" s="79" t="b">
        <v>0</v>
      </c>
      <c r="F763" s="79" t="b">
        <v>0</v>
      </c>
      <c r="G763" s="79" t="b">
        <v>0</v>
      </c>
    </row>
    <row r="764" spans="1:7" ht="15">
      <c r="A764" s="85" t="s">
        <v>2068</v>
      </c>
      <c r="B764" s="79">
        <v>2</v>
      </c>
      <c r="C764" s="109">
        <v>0</v>
      </c>
      <c r="D764" s="79" t="s">
        <v>1667</v>
      </c>
      <c r="E764" s="79" t="b">
        <v>0</v>
      </c>
      <c r="F764" s="79" t="b">
        <v>0</v>
      </c>
      <c r="G764" s="79" t="b">
        <v>0</v>
      </c>
    </row>
    <row r="765" spans="1:7" ht="15">
      <c r="A765" s="85" t="s">
        <v>2069</v>
      </c>
      <c r="B765" s="79">
        <v>2</v>
      </c>
      <c r="C765" s="109">
        <v>0</v>
      </c>
      <c r="D765" s="79" t="s">
        <v>1667</v>
      </c>
      <c r="E765" s="79" t="b">
        <v>0</v>
      </c>
      <c r="F765" s="79" t="b">
        <v>0</v>
      </c>
      <c r="G765" s="79" t="b">
        <v>0</v>
      </c>
    </row>
    <row r="766" spans="1:7" ht="15">
      <c r="A766" s="85" t="s">
        <v>2070</v>
      </c>
      <c r="B766" s="79">
        <v>2</v>
      </c>
      <c r="C766" s="109">
        <v>0</v>
      </c>
      <c r="D766" s="79" t="s">
        <v>1667</v>
      </c>
      <c r="E766" s="79" t="b">
        <v>0</v>
      </c>
      <c r="F766" s="79" t="b">
        <v>0</v>
      </c>
      <c r="G766" s="79" t="b">
        <v>0</v>
      </c>
    </row>
    <row r="767" spans="1:7" ht="15">
      <c r="A767" s="85" t="s">
        <v>2071</v>
      </c>
      <c r="B767" s="79">
        <v>2</v>
      </c>
      <c r="C767" s="109">
        <v>0</v>
      </c>
      <c r="D767" s="79" t="s">
        <v>1667</v>
      </c>
      <c r="E767" s="79" t="b">
        <v>0</v>
      </c>
      <c r="F767" s="79" t="b">
        <v>0</v>
      </c>
      <c r="G767" s="79" t="b">
        <v>0</v>
      </c>
    </row>
    <row r="768" spans="1:7" ht="15">
      <c r="A768" s="85" t="s">
        <v>2072</v>
      </c>
      <c r="B768" s="79">
        <v>2</v>
      </c>
      <c r="C768" s="109">
        <v>0</v>
      </c>
      <c r="D768" s="79" t="s">
        <v>1667</v>
      </c>
      <c r="E768" s="79" t="b">
        <v>0</v>
      </c>
      <c r="F768" s="79" t="b">
        <v>0</v>
      </c>
      <c r="G768" s="79" t="b">
        <v>0</v>
      </c>
    </row>
    <row r="769" spans="1:7" ht="15">
      <c r="A769" s="85" t="s">
        <v>1734</v>
      </c>
      <c r="B769" s="79">
        <v>2</v>
      </c>
      <c r="C769" s="109">
        <v>0</v>
      </c>
      <c r="D769" s="79" t="s">
        <v>1667</v>
      </c>
      <c r="E769" s="79" t="b">
        <v>0</v>
      </c>
      <c r="F769" s="79" t="b">
        <v>0</v>
      </c>
      <c r="G769" s="79" t="b">
        <v>0</v>
      </c>
    </row>
    <row r="770" spans="1:7" ht="15">
      <c r="A770" s="85" t="s">
        <v>2073</v>
      </c>
      <c r="B770" s="79">
        <v>2</v>
      </c>
      <c r="C770" s="109">
        <v>0</v>
      </c>
      <c r="D770" s="79" t="s">
        <v>1667</v>
      </c>
      <c r="E770" s="79" t="b">
        <v>0</v>
      </c>
      <c r="F770" s="79" t="b">
        <v>0</v>
      </c>
      <c r="G770" s="79" t="b">
        <v>0</v>
      </c>
    </row>
    <row r="771" spans="1:7" ht="15">
      <c r="A771" s="85" t="s">
        <v>2074</v>
      </c>
      <c r="B771" s="79">
        <v>2</v>
      </c>
      <c r="C771" s="109">
        <v>0</v>
      </c>
      <c r="D771" s="79" t="s">
        <v>1667</v>
      </c>
      <c r="E771" s="79" t="b">
        <v>0</v>
      </c>
      <c r="F771" s="79" t="b">
        <v>0</v>
      </c>
      <c r="G771" s="79" t="b">
        <v>0</v>
      </c>
    </row>
    <row r="772" spans="1:7" ht="15">
      <c r="A772" s="85" t="s">
        <v>2075</v>
      </c>
      <c r="B772" s="79">
        <v>2</v>
      </c>
      <c r="C772" s="109">
        <v>0</v>
      </c>
      <c r="D772" s="79" t="s">
        <v>1667</v>
      </c>
      <c r="E772" s="79" t="b">
        <v>0</v>
      </c>
      <c r="F772" s="79" t="b">
        <v>0</v>
      </c>
      <c r="G772" s="79" t="b">
        <v>0</v>
      </c>
    </row>
    <row r="773" spans="1:7" ht="15">
      <c r="A773" s="85" t="s">
        <v>2076</v>
      </c>
      <c r="B773" s="79">
        <v>2</v>
      </c>
      <c r="C773" s="109">
        <v>0</v>
      </c>
      <c r="D773" s="79" t="s">
        <v>1667</v>
      </c>
      <c r="E773" s="79" t="b">
        <v>0</v>
      </c>
      <c r="F773" s="79" t="b">
        <v>0</v>
      </c>
      <c r="G773" s="79" t="b">
        <v>0</v>
      </c>
    </row>
    <row r="774" spans="1:7" ht="15">
      <c r="A774" s="85" t="s">
        <v>2077</v>
      </c>
      <c r="B774" s="79">
        <v>2</v>
      </c>
      <c r="C774" s="109">
        <v>0</v>
      </c>
      <c r="D774" s="79" t="s">
        <v>1667</v>
      </c>
      <c r="E774" s="79" t="b">
        <v>0</v>
      </c>
      <c r="F774" s="79" t="b">
        <v>0</v>
      </c>
      <c r="G774" s="79" t="b">
        <v>0</v>
      </c>
    </row>
    <row r="775" spans="1:7" ht="15">
      <c r="A775" s="85" t="s">
        <v>2078</v>
      </c>
      <c r="B775" s="79">
        <v>2</v>
      </c>
      <c r="C775" s="109">
        <v>0</v>
      </c>
      <c r="D775" s="79" t="s">
        <v>1667</v>
      </c>
      <c r="E775" s="79" t="b">
        <v>0</v>
      </c>
      <c r="F775" s="79" t="b">
        <v>0</v>
      </c>
      <c r="G775" s="79" t="b">
        <v>0</v>
      </c>
    </row>
    <row r="776" spans="1:7" ht="15">
      <c r="A776" s="85" t="s">
        <v>2079</v>
      </c>
      <c r="B776" s="79">
        <v>2</v>
      </c>
      <c r="C776" s="109">
        <v>0</v>
      </c>
      <c r="D776" s="79" t="s">
        <v>1667</v>
      </c>
      <c r="E776" s="79" t="b">
        <v>1</v>
      </c>
      <c r="F776" s="79" t="b">
        <v>0</v>
      </c>
      <c r="G776" s="79" t="b">
        <v>0</v>
      </c>
    </row>
    <row r="777" spans="1:7" ht="15">
      <c r="A777" s="85" t="s">
        <v>359</v>
      </c>
      <c r="B777" s="79">
        <v>2</v>
      </c>
      <c r="C777" s="109">
        <v>0</v>
      </c>
      <c r="D777" s="79" t="s">
        <v>1667</v>
      </c>
      <c r="E777" s="79" t="b">
        <v>0</v>
      </c>
      <c r="F777" s="79" t="b">
        <v>0</v>
      </c>
      <c r="G777" s="79" t="b">
        <v>0</v>
      </c>
    </row>
    <row r="778" spans="1:7" ht="15">
      <c r="A778" s="85" t="s">
        <v>1703</v>
      </c>
      <c r="B778" s="79">
        <v>2</v>
      </c>
      <c r="C778" s="109">
        <v>0</v>
      </c>
      <c r="D778" s="79" t="s">
        <v>1667</v>
      </c>
      <c r="E778" s="79" t="b">
        <v>0</v>
      </c>
      <c r="F778" s="79" t="b">
        <v>0</v>
      </c>
      <c r="G778" s="79" t="b">
        <v>0</v>
      </c>
    </row>
    <row r="779" spans="1:7" ht="15">
      <c r="A779" s="85" t="s">
        <v>1941</v>
      </c>
      <c r="B779" s="79">
        <v>2</v>
      </c>
      <c r="C779" s="109">
        <v>0</v>
      </c>
      <c r="D779" s="79" t="s">
        <v>1668</v>
      </c>
      <c r="E779" s="79" t="b">
        <v>0</v>
      </c>
      <c r="F779" s="79" t="b">
        <v>0</v>
      </c>
      <c r="G779" s="79" t="b">
        <v>0</v>
      </c>
    </row>
    <row r="780" spans="1:7" ht="15">
      <c r="A780" s="85" t="s">
        <v>1704</v>
      </c>
      <c r="B780" s="79">
        <v>2</v>
      </c>
      <c r="C780" s="109">
        <v>0</v>
      </c>
      <c r="D780" s="79" t="s">
        <v>1668</v>
      </c>
      <c r="E780" s="79" t="b">
        <v>0</v>
      </c>
      <c r="F780" s="79" t="b">
        <v>0</v>
      </c>
      <c r="G780" s="79" t="b">
        <v>0</v>
      </c>
    </row>
    <row r="781" spans="1:7" ht="15">
      <c r="A781" s="85" t="s">
        <v>1942</v>
      </c>
      <c r="B781" s="79">
        <v>2</v>
      </c>
      <c r="C781" s="109">
        <v>0</v>
      </c>
      <c r="D781" s="79" t="s">
        <v>1668</v>
      </c>
      <c r="E781" s="79" t="b">
        <v>0</v>
      </c>
      <c r="F781" s="79" t="b">
        <v>0</v>
      </c>
      <c r="G781" s="79" t="b">
        <v>0</v>
      </c>
    </row>
    <row r="782" spans="1:7" ht="15">
      <c r="A782" s="85" t="s">
        <v>1943</v>
      </c>
      <c r="B782" s="79">
        <v>2</v>
      </c>
      <c r="C782" s="109">
        <v>0</v>
      </c>
      <c r="D782" s="79" t="s">
        <v>1668</v>
      </c>
      <c r="E782" s="79" t="b">
        <v>0</v>
      </c>
      <c r="F782" s="79" t="b">
        <v>0</v>
      </c>
      <c r="G782" s="79" t="b">
        <v>0</v>
      </c>
    </row>
    <row r="783" spans="1:7" ht="15">
      <c r="A783" s="85" t="s">
        <v>1944</v>
      </c>
      <c r="B783" s="79">
        <v>2</v>
      </c>
      <c r="C783" s="109">
        <v>0</v>
      </c>
      <c r="D783" s="79" t="s">
        <v>1668</v>
      </c>
      <c r="E783" s="79" t="b">
        <v>0</v>
      </c>
      <c r="F783" s="79" t="b">
        <v>0</v>
      </c>
      <c r="G783" s="79" t="b">
        <v>0</v>
      </c>
    </row>
    <row r="784" spans="1:7" ht="15">
      <c r="A784" s="85" t="s">
        <v>1945</v>
      </c>
      <c r="B784" s="79">
        <v>2</v>
      </c>
      <c r="C784" s="109">
        <v>0</v>
      </c>
      <c r="D784" s="79" t="s">
        <v>1668</v>
      </c>
      <c r="E784" s="79" t="b">
        <v>0</v>
      </c>
      <c r="F784" s="79" t="b">
        <v>0</v>
      </c>
      <c r="G784" s="79" t="b">
        <v>0</v>
      </c>
    </row>
    <row r="785" spans="1:7" ht="15">
      <c r="A785" s="85" t="s">
        <v>1946</v>
      </c>
      <c r="B785" s="79">
        <v>2</v>
      </c>
      <c r="C785" s="109">
        <v>0</v>
      </c>
      <c r="D785" s="79" t="s">
        <v>1668</v>
      </c>
      <c r="E785" s="79" t="b">
        <v>0</v>
      </c>
      <c r="F785" s="79" t="b">
        <v>0</v>
      </c>
      <c r="G785" s="79" t="b">
        <v>0</v>
      </c>
    </row>
    <row r="786" spans="1:7" ht="15">
      <c r="A786" s="85" t="s">
        <v>1947</v>
      </c>
      <c r="B786" s="79">
        <v>2</v>
      </c>
      <c r="C786" s="109">
        <v>0</v>
      </c>
      <c r="D786" s="79" t="s">
        <v>1668</v>
      </c>
      <c r="E786" s="79" t="b">
        <v>0</v>
      </c>
      <c r="F786" s="79" t="b">
        <v>0</v>
      </c>
      <c r="G786" s="79" t="b">
        <v>0</v>
      </c>
    </row>
    <row r="787" spans="1:7" ht="15">
      <c r="A787" s="85" t="s">
        <v>1948</v>
      </c>
      <c r="B787" s="79">
        <v>2</v>
      </c>
      <c r="C787" s="109">
        <v>0</v>
      </c>
      <c r="D787" s="79" t="s">
        <v>1668</v>
      </c>
      <c r="E787" s="79" t="b">
        <v>0</v>
      </c>
      <c r="F787" s="79" t="b">
        <v>0</v>
      </c>
      <c r="G787" s="79" t="b">
        <v>0</v>
      </c>
    </row>
    <row r="788" spans="1:7" ht="15">
      <c r="A788" s="85" t="s">
        <v>1949</v>
      </c>
      <c r="B788" s="79">
        <v>2</v>
      </c>
      <c r="C788" s="109">
        <v>0</v>
      </c>
      <c r="D788" s="79" t="s">
        <v>1668</v>
      </c>
      <c r="E788" s="79" t="b">
        <v>0</v>
      </c>
      <c r="F788" s="79" t="b">
        <v>0</v>
      </c>
      <c r="G788" s="79" t="b">
        <v>0</v>
      </c>
    </row>
    <row r="789" spans="1:7" ht="15">
      <c r="A789" s="85" t="s">
        <v>1950</v>
      </c>
      <c r="B789" s="79">
        <v>2</v>
      </c>
      <c r="C789" s="109">
        <v>0</v>
      </c>
      <c r="D789" s="79" t="s">
        <v>1668</v>
      </c>
      <c r="E789" s="79" t="b">
        <v>0</v>
      </c>
      <c r="F789" s="79" t="b">
        <v>0</v>
      </c>
      <c r="G789" s="79" t="b">
        <v>0</v>
      </c>
    </row>
    <row r="790" spans="1:7" ht="15">
      <c r="A790" s="85" t="s">
        <v>1951</v>
      </c>
      <c r="B790" s="79">
        <v>2</v>
      </c>
      <c r="C790" s="109">
        <v>0</v>
      </c>
      <c r="D790" s="79" t="s">
        <v>1668</v>
      </c>
      <c r="E790" s="79" t="b">
        <v>0</v>
      </c>
      <c r="F790" s="79" t="b">
        <v>0</v>
      </c>
      <c r="G790" s="79" t="b">
        <v>0</v>
      </c>
    </row>
    <row r="791" spans="1:7" ht="15">
      <c r="A791" s="85" t="s">
        <v>1952</v>
      </c>
      <c r="B791" s="79">
        <v>2</v>
      </c>
      <c r="C791" s="109">
        <v>0</v>
      </c>
      <c r="D791" s="79" t="s">
        <v>1668</v>
      </c>
      <c r="E791" s="79" t="b">
        <v>0</v>
      </c>
      <c r="F791" s="79" t="b">
        <v>0</v>
      </c>
      <c r="G791" s="79" t="b">
        <v>0</v>
      </c>
    </row>
    <row r="792" spans="1:7" ht="15">
      <c r="A792" s="85" t="s">
        <v>1758</v>
      </c>
      <c r="B792" s="79">
        <v>2</v>
      </c>
      <c r="C792" s="109">
        <v>0</v>
      </c>
      <c r="D792" s="79" t="s">
        <v>1668</v>
      </c>
      <c r="E792" s="79" t="b">
        <v>0</v>
      </c>
      <c r="F792" s="79" t="b">
        <v>0</v>
      </c>
      <c r="G792" s="79" t="b">
        <v>0</v>
      </c>
    </row>
    <row r="793" spans="1:7" ht="15">
      <c r="A793" s="85" t="s">
        <v>1953</v>
      </c>
      <c r="B793" s="79">
        <v>2</v>
      </c>
      <c r="C793" s="109">
        <v>0</v>
      </c>
      <c r="D793" s="79" t="s">
        <v>1668</v>
      </c>
      <c r="E793" s="79" t="b">
        <v>0</v>
      </c>
      <c r="F793" s="79" t="b">
        <v>0</v>
      </c>
      <c r="G793" s="79" t="b">
        <v>0</v>
      </c>
    </row>
    <row r="794" spans="1:7" ht="15">
      <c r="A794" s="85" t="s">
        <v>1724</v>
      </c>
      <c r="B794" s="79">
        <v>2</v>
      </c>
      <c r="C794" s="109">
        <v>0</v>
      </c>
      <c r="D794" s="79" t="s">
        <v>1668</v>
      </c>
      <c r="E794" s="79" t="b">
        <v>0</v>
      </c>
      <c r="F794" s="79" t="b">
        <v>0</v>
      </c>
      <c r="G794" s="79" t="b">
        <v>0</v>
      </c>
    </row>
    <row r="795" spans="1:7" ht="15">
      <c r="A795" s="85" t="s">
        <v>1954</v>
      </c>
      <c r="B795" s="79">
        <v>2</v>
      </c>
      <c r="C795" s="109">
        <v>0</v>
      </c>
      <c r="D795" s="79" t="s">
        <v>1668</v>
      </c>
      <c r="E795" s="79" t="b">
        <v>0</v>
      </c>
      <c r="F795" s="79" t="b">
        <v>0</v>
      </c>
      <c r="G795" s="79" t="b">
        <v>0</v>
      </c>
    </row>
    <row r="796" spans="1:7" ht="15">
      <c r="A796" s="85" t="s">
        <v>1703</v>
      </c>
      <c r="B796" s="79">
        <v>2</v>
      </c>
      <c r="C796" s="109">
        <v>0</v>
      </c>
      <c r="D796" s="79" t="s">
        <v>1668</v>
      </c>
      <c r="E796" s="79" t="b">
        <v>0</v>
      </c>
      <c r="F796" s="79" t="b">
        <v>0</v>
      </c>
      <c r="G796" s="79" t="b">
        <v>0</v>
      </c>
    </row>
    <row r="797" spans="1:7" ht="15">
      <c r="A797" s="85" t="s">
        <v>1749</v>
      </c>
      <c r="B797" s="79">
        <v>2</v>
      </c>
      <c r="C797" s="109">
        <v>0</v>
      </c>
      <c r="D797" s="79" t="s">
        <v>1671</v>
      </c>
      <c r="E797" s="79" t="b">
        <v>0</v>
      </c>
      <c r="F797" s="79" t="b">
        <v>0</v>
      </c>
      <c r="G797" s="79" t="b">
        <v>0</v>
      </c>
    </row>
    <row r="798" spans="1:7" ht="15">
      <c r="A798" s="85" t="s">
        <v>1959</v>
      </c>
      <c r="B798" s="79">
        <v>2</v>
      </c>
      <c r="C798" s="109">
        <v>0</v>
      </c>
      <c r="D798" s="79" t="s">
        <v>1671</v>
      </c>
      <c r="E798" s="79" t="b">
        <v>0</v>
      </c>
      <c r="F798" s="79" t="b">
        <v>0</v>
      </c>
      <c r="G798" s="79" t="b">
        <v>0</v>
      </c>
    </row>
    <row r="799" spans="1:7" ht="15">
      <c r="A799" s="85" t="s">
        <v>1887</v>
      </c>
      <c r="B799" s="79">
        <v>2</v>
      </c>
      <c r="C799" s="109">
        <v>0</v>
      </c>
      <c r="D799" s="79" t="s">
        <v>1671</v>
      </c>
      <c r="E799" s="79" t="b">
        <v>0</v>
      </c>
      <c r="F799" s="79" t="b">
        <v>0</v>
      </c>
      <c r="G799" s="79" t="b">
        <v>0</v>
      </c>
    </row>
    <row r="800" spans="1:7" ht="15">
      <c r="A800" s="85" t="s">
        <v>1960</v>
      </c>
      <c r="B800" s="79">
        <v>2</v>
      </c>
      <c r="C800" s="109">
        <v>0</v>
      </c>
      <c r="D800" s="79" t="s">
        <v>1671</v>
      </c>
      <c r="E800" s="79" t="b">
        <v>0</v>
      </c>
      <c r="F800" s="79" t="b">
        <v>0</v>
      </c>
      <c r="G800" s="79" t="b">
        <v>0</v>
      </c>
    </row>
    <row r="801" spans="1:7" ht="15">
      <c r="A801" s="85" t="s">
        <v>1961</v>
      </c>
      <c r="B801" s="79">
        <v>2</v>
      </c>
      <c r="C801" s="109">
        <v>0</v>
      </c>
      <c r="D801" s="79" t="s">
        <v>1671</v>
      </c>
      <c r="E801" s="79" t="b">
        <v>0</v>
      </c>
      <c r="F801" s="79" t="b">
        <v>0</v>
      </c>
      <c r="G801" s="79" t="b">
        <v>0</v>
      </c>
    </row>
    <row r="802" spans="1:7" ht="15">
      <c r="A802" s="85" t="s">
        <v>1962</v>
      </c>
      <c r="B802" s="79">
        <v>2</v>
      </c>
      <c r="C802" s="109">
        <v>0</v>
      </c>
      <c r="D802" s="79" t="s">
        <v>1671</v>
      </c>
      <c r="E802" s="79" t="b">
        <v>0</v>
      </c>
      <c r="F802" s="79" t="b">
        <v>0</v>
      </c>
      <c r="G802" s="79" t="b">
        <v>0</v>
      </c>
    </row>
    <row r="803" spans="1:7" ht="15">
      <c r="A803" s="85" t="s">
        <v>1703</v>
      </c>
      <c r="B803" s="79">
        <v>2</v>
      </c>
      <c r="C803" s="109">
        <v>0</v>
      </c>
      <c r="D803" s="79" t="s">
        <v>1671</v>
      </c>
      <c r="E803" s="79" t="b">
        <v>0</v>
      </c>
      <c r="F803" s="79" t="b">
        <v>0</v>
      </c>
      <c r="G803" s="79" t="b">
        <v>0</v>
      </c>
    </row>
    <row r="804" spans="1:7" ht="15">
      <c r="A804" s="85" t="s">
        <v>1703</v>
      </c>
      <c r="B804" s="79">
        <v>3</v>
      </c>
      <c r="C804" s="109">
        <v>0</v>
      </c>
      <c r="D804" s="79" t="s">
        <v>1672</v>
      </c>
      <c r="E804" s="79" t="b">
        <v>0</v>
      </c>
      <c r="F804" s="79" t="b">
        <v>0</v>
      </c>
      <c r="G804" s="79" t="b">
        <v>0</v>
      </c>
    </row>
    <row r="805" spans="1:7" ht="15">
      <c r="A805" s="85" t="s">
        <v>1977</v>
      </c>
      <c r="B805" s="79">
        <v>2</v>
      </c>
      <c r="C805" s="109">
        <v>0.0234788345407575</v>
      </c>
      <c r="D805" s="79" t="s">
        <v>1672</v>
      </c>
      <c r="E805" s="79" t="b">
        <v>0</v>
      </c>
      <c r="F805" s="79" t="b">
        <v>0</v>
      </c>
      <c r="G805" s="79" t="b">
        <v>0</v>
      </c>
    </row>
    <row r="806" spans="1:7" ht="15">
      <c r="A806" s="85" t="s">
        <v>1978</v>
      </c>
      <c r="B806" s="79">
        <v>2</v>
      </c>
      <c r="C806" s="109">
        <v>0.0234788345407575</v>
      </c>
      <c r="D806" s="79" t="s">
        <v>1672</v>
      </c>
      <c r="E806" s="79" t="b">
        <v>0</v>
      </c>
      <c r="F806" s="79" t="b">
        <v>0</v>
      </c>
      <c r="G806" s="79" t="b">
        <v>0</v>
      </c>
    </row>
    <row r="807" spans="1:7" ht="15">
      <c r="A807" s="85" t="s">
        <v>1703</v>
      </c>
      <c r="B807" s="79">
        <v>2</v>
      </c>
      <c r="C807" s="109">
        <v>0</v>
      </c>
      <c r="D807" s="79" t="s">
        <v>1673</v>
      </c>
      <c r="E807" s="79" t="b">
        <v>0</v>
      </c>
      <c r="F807" s="79" t="b">
        <v>0</v>
      </c>
      <c r="G807" s="79" t="b">
        <v>0</v>
      </c>
    </row>
    <row r="808" spans="1:7" ht="15">
      <c r="A808" s="85" t="s">
        <v>1999</v>
      </c>
      <c r="B808" s="79">
        <v>2</v>
      </c>
      <c r="C808" s="109">
        <v>0</v>
      </c>
      <c r="D808" s="79" t="s">
        <v>1673</v>
      </c>
      <c r="E808" s="79" t="b">
        <v>0</v>
      </c>
      <c r="F808" s="79" t="b">
        <v>0</v>
      </c>
      <c r="G808" s="79" t="b">
        <v>0</v>
      </c>
    </row>
    <row r="809" spans="1:7" ht="15">
      <c r="A809" s="85" t="s">
        <v>1770</v>
      </c>
      <c r="B809" s="79">
        <v>2</v>
      </c>
      <c r="C809" s="109">
        <v>0</v>
      </c>
      <c r="D809" s="79" t="s">
        <v>1673</v>
      </c>
      <c r="E809" s="79" t="b">
        <v>0</v>
      </c>
      <c r="F809" s="79" t="b">
        <v>0</v>
      </c>
      <c r="G809" s="79" t="b">
        <v>0</v>
      </c>
    </row>
    <row r="810" spans="1:7" ht="15">
      <c r="A810" s="85" t="s">
        <v>2000</v>
      </c>
      <c r="B810" s="79">
        <v>2</v>
      </c>
      <c r="C810" s="109">
        <v>0</v>
      </c>
      <c r="D810" s="79" t="s">
        <v>1673</v>
      </c>
      <c r="E810" s="79" t="b">
        <v>0</v>
      </c>
      <c r="F810" s="79" t="b">
        <v>0</v>
      </c>
      <c r="G810" s="79" t="b">
        <v>0</v>
      </c>
    </row>
    <row r="811" spans="1:7" ht="15">
      <c r="A811" s="85" t="s">
        <v>2001</v>
      </c>
      <c r="B811" s="79">
        <v>2</v>
      </c>
      <c r="C811" s="109">
        <v>0</v>
      </c>
      <c r="D811" s="79" t="s">
        <v>1673</v>
      </c>
      <c r="E811" s="79" t="b">
        <v>0</v>
      </c>
      <c r="F811" s="79" t="b">
        <v>0</v>
      </c>
      <c r="G811" s="79" t="b">
        <v>0</v>
      </c>
    </row>
    <row r="812" spans="1:7" ht="15">
      <c r="A812" s="85" t="s">
        <v>2002</v>
      </c>
      <c r="B812" s="79">
        <v>2</v>
      </c>
      <c r="C812" s="109">
        <v>0</v>
      </c>
      <c r="D812" s="79" t="s">
        <v>1673</v>
      </c>
      <c r="E812" s="79" t="b">
        <v>0</v>
      </c>
      <c r="F812" s="79" t="b">
        <v>0</v>
      </c>
      <c r="G812" s="79" t="b">
        <v>0</v>
      </c>
    </row>
    <row r="813" spans="1:7" ht="15">
      <c r="A813" s="85" t="s">
        <v>2003</v>
      </c>
      <c r="B813" s="79">
        <v>2</v>
      </c>
      <c r="C813" s="109">
        <v>0</v>
      </c>
      <c r="D813" s="79" t="s">
        <v>1673</v>
      </c>
      <c r="E813" s="79" t="b">
        <v>0</v>
      </c>
      <c r="F813" s="79" t="b">
        <v>0</v>
      </c>
      <c r="G813" s="79" t="b">
        <v>0</v>
      </c>
    </row>
    <row r="814" spans="1:7" ht="15">
      <c r="A814" s="85" t="s">
        <v>2004</v>
      </c>
      <c r="B814" s="79">
        <v>2</v>
      </c>
      <c r="C814" s="109">
        <v>0</v>
      </c>
      <c r="D814" s="79" t="s">
        <v>1673</v>
      </c>
      <c r="E814" s="79" t="b">
        <v>0</v>
      </c>
      <c r="F814" s="79" t="b">
        <v>0</v>
      </c>
      <c r="G814" s="79" t="b">
        <v>0</v>
      </c>
    </row>
    <row r="815" spans="1:7" ht="15">
      <c r="A815" s="85" t="s">
        <v>2005</v>
      </c>
      <c r="B815" s="79">
        <v>2</v>
      </c>
      <c r="C815" s="109">
        <v>0</v>
      </c>
      <c r="D815" s="79" t="s">
        <v>1673</v>
      </c>
      <c r="E815" s="79" t="b">
        <v>0</v>
      </c>
      <c r="F815" s="79" t="b">
        <v>0</v>
      </c>
      <c r="G815" s="79" t="b">
        <v>0</v>
      </c>
    </row>
    <row r="816" spans="1:7" ht="15">
      <c r="A816" s="85" t="s">
        <v>2006</v>
      </c>
      <c r="B816" s="79">
        <v>2</v>
      </c>
      <c r="C816" s="109">
        <v>0</v>
      </c>
      <c r="D816" s="79" t="s">
        <v>1673</v>
      </c>
      <c r="E816" s="79" t="b">
        <v>0</v>
      </c>
      <c r="F816" s="79" t="b">
        <v>0</v>
      </c>
      <c r="G816" s="79" t="b">
        <v>0</v>
      </c>
    </row>
    <row r="817" spans="1:7" ht="15">
      <c r="A817" s="85" t="s">
        <v>1760</v>
      </c>
      <c r="B817" s="79">
        <v>2</v>
      </c>
      <c r="C817" s="109">
        <v>0</v>
      </c>
      <c r="D817" s="79" t="s">
        <v>1673</v>
      </c>
      <c r="E817" s="79" t="b">
        <v>0</v>
      </c>
      <c r="F817" s="79" t="b">
        <v>0</v>
      </c>
      <c r="G817" s="79" t="b">
        <v>0</v>
      </c>
    </row>
    <row r="818" spans="1:7" ht="15">
      <c r="A818" s="85" t="s">
        <v>2038</v>
      </c>
      <c r="B818" s="79">
        <v>2</v>
      </c>
      <c r="C818" s="109">
        <v>0</v>
      </c>
      <c r="D818" s="79" t="s">
        <v>1675</v>
      </c>
      <c r="E818" s="79" t="b">
        <v>0</v>
      </c>
      <c r="F818" s="79" t="b">
        <v>0</v>
      </c>
      <c r="G818" s="79" t="b">
        <v>0</v>
      </c>
    </row>
    <row r="819" spans="1:7" ht="15">
      <c r="A819" s="85" t="s">
        <v>2039</v>
      </c>
      <c r="B819" s="79">
        <v>2</v>
      </c>
      <c r="C819" s="109">
        <v>0</v>
      </c>
      <c r="D819" s="79" t="s">
        <v>1675</v>
      </c>
      <c r="E819" s="79" t="b">
        <v>0</v>
      </c>
      <c r="F819" s="79" t="b">
        <v>0</v>
      </c>
      <c r="G819" s="79" t="b">
        <v>0</v>
      </c>
    </row>
    <row r="820" spans="1:7" ht="15">
      <c r="A820" s="85" t="s">
        <v>2040</v>
      </c>
      <c r="B820" s="79">
        <v>2</v>
      </c>
      <c r="C820" s="109">
        <v>0</v>
      </c>
      <c r="D820" s="79" t="s">
        <v>1675</v>
      </c>
      <c r="E820" s="79" t="b">
        <v>0</v>
      </c>
      <c r="F820" s="79" t="b">
        <v>0</v>
      </c>
      <c r="G820" s="79" t="b">
        <v>0</v>
      </c>
    </row>
    <row r="821" spans="1:7" ht="15">
      <c r="A821" s="85" t="s">
        <v>2041</v>
      </c>
      <c r="B821" s="79">
        <v>2</v>
      </c>
      <c r="C821" s="109">
        <v>0</v>
      </c>
      <c r="D821" s="79" t="s">
        <v>1675</v>
      </c>
      <c r="E821" s="79" t="b">
        <v>0</v>
      </c>
      <c r="F821" s="79" t="b">
        <v>0</v>
      </c>
      <c r="G821" s="79" t="b">
        <v>0</v>
      </c>
    </row>
    <row r="822" spans="1:7" ht="15">
      <c r="A822" s="85" t="s">
        <v>2042</v>
      </c>
      <c r="B822" s="79">
        <v>2</v>
      </c>
      <c r="C822" s="109">
        <v>0</v>
      </c>
      <c r="D822" s="79" t="s">
        <v>1675</v>
      </c>
      <c r="E822" s="79" t="b">
        <v>0</v>
      </c>
      <c r="F822" s="79" t="b">
        <v>0</v>
      </c>
      <c r="G822" s="79" t="b">
        <v>0</v>
      </c>
    </row>
    <row r="823" spans="1:7" ht="15">
      <c r="A823" s="85" t="s">
        <v>2043</v>
      </c>
      <c r="B823" s="79">
        <v>2</v>
      </c>
      <c r="C823" s="109">
        <v>0</v>
      </c>
      <c r="D823" s="79" t="s">
        <v>1675</v>
      </c>
      <c r="E823" s="79" t="b">
        <v>0</v>
      </c>
      <c r="F823" s="79" t="b">
        <v>0</v>
      </c>
      <c r="G823" s="79" t="b">
        <v>0</v>
      </c>
    </row>
    <row r="824" spans="1:7" ht="15">
      <c r="A824" s="85" t="s">
        <v>2044</v>
      </c>
      <c r="B824" s="79">
        <v>2</v>
      </c>
      <c r="C824" s="109">
        <v>0</v>
      </c>
      <c r="D824" s="79" t="s">
        <v>1675</v>
      </c>
      <c r="E824" s="79" t="b">
        <v>0</v>
      </c>
      <c r="F824" s="79" t="b">
        <v>0</v>
      </c>
      <c r="G824" s="79" t="b">
        <v>0</v>
      </c>
    </row>
    <row r="825" spans="1:7" ht="15">
      <c r="A825" s="85" t="s">
        <v>2045</v>
      </c>
      <c r="B825" s="79">
        <v>2</v>
      </c>
      <c r="C825" s="109">
        <v>0</v>
      </c>
      <c r="D825" s="79" t="s">
        <v>1675</v>
      </c>
      <c r="E825" s="79" t="b">
        <v>0</v>
      </c>
      <c r="F825" s="79" t="b">
        <v>0</v>
      </c>
      <c r="G825" s="79" t="b">
        <v>0</v>
      </c>
    </row>
    <row r="826" spans="1:7" ht="15">
      <c r="A826" s="85" t="s">
        <v>2046</v>
      </c>
      <c r="B826" s="79">
        <v>2</v>
      </c>
      <c r="C826" s="109">
        <v>0</v>
      </c>
      <c r="D826" s="79" t="s">
        <v>1675</v>
      </c>
      <c r="E826" s="79" t="b">
        <v>0</v>
      </c>
      <c r="F826" s="79" t="b">
        <v>0</v>
      </c>
      <c r="G826" s="79" t="b">
        <v>0</v>
      </c>
    </row>
    <row r="827" spans="1:7" ht="15">
      <c r="A827" s="85" t="s">
        <v>2047</v>
      </c>
      <c r="B827" s="79">
        <v>2</v>
      </c>
      <c r="C827" s="109">
        <v>0</v>
      </c>
      <c r="D827" s="79" t="s">
        <v>1675</v>
      </c>
      <c r="E827" s="79" t="b">
        <v>0</v>
      </c>
      <c r="F827" s="79" t="b">
        <v>0</v>
      </c>
      <c r="G827" s="79" t="b">
        <v>0</v>
      </c>
    </row>
    <row r="828" spans="1:7" ht="15">
      <c r="A828" s="85" t="s">
        <v>1884</v>
      </c>
      <c r="B828" s="79">
        <v>2</v>
      </c>
      <c r="C828" s="109">
        <v>0</v>
      </c>
      <c r="D828" s="79" t="s">
        <v>1675</v>
      </c>
      <c r="E828" s="79" t="b">
        <v>0</v>
      </c>
      <c r="F828" s="79" t="b">
        <v>0</v>
      </c>
      <c r="G828" s="79" t="b">
        <v>0</v>
      </c>
    </row>
    <row r="829" spans="1:7" ht="15">
      <c r="A829" s="85" t="s">
        <v>1703</v>
      </c>
      <c r="B829" s="79">
        <v>2</v>
      </c>
      <c r="C829" s="109">
        <v>0</v>
      </c>
      <c r="D829" s="79" t="s">
        <v>1675</v>
      </c>
      <c r="E829" s="79" t="b">
        <v>0</v>
      </c>
      <c r="F829" s="79" t="b">
        <v>0</v>
      </c>
      <c r="G829" s="79" t="b">
        <v>0</v>
      </c>
    </row>
    <row r="830" spans="1:7" ht="15">
      <c r="A830" s="85" t="s">
        <v>2048</v>
      </c>
      <c r="B830" s="79">
        <v>2</v>
      </c>
      <c r="C830" s="109">
        <v>0</v>
      </c>
      <c r="D830" s="79" t="s">
        <v>1675</v>
      </c>
      <c r="E830" s="79" t="b">
        <v>0</v>
      </c>
      <c r="F830" s="79" t="b">
        <v>0</v>
      </c>
      <c r="G830" s="79" t="b">
        <v>0</v>
      </c>
    </row>
    <row r="831" spans="1:7" ht="15">
      <c r="A831" s="85" t="s">
        <v>1791</v>
      </c>
      <c r="B831" s="79">
        <v>3</v>
      </c>
      <c r="C831" s="109">
        <v>0</v>
      </c>
      <c r="D831" s="79" t="s">
        <v>1676</v>
      </c>
      <c r="E831" s="79" t="b">
        <v>0</v>
      </c>
      <c r="F831" s="79" t="b">
        <v>0</v>
      </c>
      <c r="G831" s="79" t="b">
        <v>0</v>
      </c>
    </row>
    <row r="832" spans="1:7" ht="15">
      <c r="A832" s="85" t="s">
        <v>1724</v>
      </c>
      <c r="B832" s="79">
        <v>3</v>
      </c>
      <c r="C832" s="109">
        <v>0</v>
      </c>
      <c r="D832" s="79" t="s">
        <v>1676</v>
      </c>
      <c r="E832" s="79" t="b">
        <v>0</v>
      </c>
      <c r="F832" s="79" t="b">
        <v>0</v>
      </c>
      <c r="G832" s="79" t="b">
        <v>0</v>
      </c>
    </row>
    <row r="833" spans="1:7" ht="15">
      <c r="A833" s="85" t="s">
        <v>1885</v>
      </c>
      <c r="B833" s="79">
        <v>3</v>
      </c>
      <c r="C833" s="109">
        <v>0</v>
      </c>
      <c r="D833" s="79" t="s">
        <v>1676</v>
      </c>
      <c r="E833" s="79" t="b">
        <v>0</v>
      </c>
      <c r="F833" s="79" t="b">
        <v>0</v>
      </c>
      <c r="G833" s="79" t="b">
        <v>0</v>
      </c>
    </row>
    <row r="834" spans="1:7" ht="15">
      <c r="A834" s="85" t="s">
        <v>1703</v>
      </c>
      <c r="B834" s="79">
        <v>3</v>
      </c>
      <c r="C834" s="109">
        <v>0</v>
      </c>
      <c r="D834" s="79" t="s">
        <v>1676</v>
      </c>
      <c r="E834" s="79" t="b">
        <v>0</v>
      </c>
      <c r="F834" s="79" t="b">
        <v>0</v>
      </c>
      <c r="G834" s="79" t="b">
        <v>0</v>
      </c>
    </row>
    <row r="835" spans="1:7" ht="15">
      <c r="A835" s="85" t="s">
        <v>1935</v>
      </c>
      <c r="B835" s="79">
        <v>2</v>
      </c>
      <c r="C835" s="109">
        <v>0.010358309356216544</v>
      </c>
      <c r="D835" s="79" t="s">
        <v>1676</v>
      </c>
      <c r="E835" s="79" t="b">
        <v>0</v>
      </c>
      <c r="F835" s="79" t="b">
        <v>0</v>
      </c>
      <c r="G835" s="79" t="b">
        <v>0</v>
      </c>
    </row>
    <row r="836" spans="1:7" ht="15">
      <c r="A836" s="85" t="s">
        <v>1936</v>
      </c>
      <c r="B836" s="79">
        <v>2</v>
      </c>
      <c r="C836" s="109">
        <v>0.010358309356216544</v>
      </c>
      <c r="D836" s="79" t="s">
        <v>1676</v>
      </c>
      <c r="E836" s="79" t="b">
        <v>0</v>
      </c>
      <c r="F836" s="79" t="b">
        <v>0</v>
      </c>
      <c r="G836" s="79" t="b">
        <v>0</v>
      </c>
    </row>
    <row r="837" spans="1:7" ht="15">
      <c r="A837" s="85" t="s">
        <v>1731</v>
      </c>
      <c r="B837" s="79">
        <v>2</v>
      </c>
      <c r="C837" s="109">
        <v>0.010358309356216544</v>
      </c>
      <c r="D837" s="79" t="s">
        <v>1676</v>
      </c>
      <c r="E837" s="79" t="b">
        <v>0</v>
      </c>
      <c r="F837" s="79" t="b">
        <v>0</v>
      </c>
      <c r="G837" s="79" t="b">
        <v>0</v>
      </c>
    </row>
    <row r="838" spans="1:7" ht="15">
      <c r="A838" s="85" t="s">
        <v>1937</v>
      </c>
      <c r="B838" s="79">
        <v>2</v>
      </c>
      <c r="C838" s="109">
        <v>0.010358309356216544</v>
      </c>
      <c r="D838" s="79" t="s">
        <v>1676</v>
      </c>
      <c r="E838" s="79" t="b">
        <v>0</v>
      </c>
      <c r="F838" s="79" t="b">
        <v>0</v>
      </c>
      <c r="G838" s="79" t="b">
        <v>0</v>
      </c>
    </row>
    <row r="839" spans="1:7" ht="15">
      <c r="A839" s="85" t="s">
        <v>1938</v>
      </c>
      <c r="B839" s="79">
        <v>2</v>
      </c>
      <c r="C839" s="109">
        <v>0.010358309356216544</v>
      </c>
      <c r="D839" s="79" t="s">
        <v>1676</v>
      </c>
      <c r="E839" s="79" t="b">
        <v>0</v>
      </c>
      <c r="F839" s="79" t="b">
        <v>0</v>
      </c>
      <c r="G839" s="79" t="b">
        <v>0</v>
      </c>
    </row>
    <row r="840" spans="1:7" ht="15">
      <c r="A840" s="85" t="s">
        <v>1939</v>
      </c>
      <c r="B840" s="79">
        <v>2</v>
      </c>
      <c r="C840" s="109">
        <v>0.010358309356216544</v>
      </c>
      <c r="D840" s="79" t="s">
        <v>1676</v>
      </c>
      <c r="E840" s="79" t="b">
        <v>0</v>
      </c>
      <c r="F840" s="79" t="b">
        <v>0</v>
      </c>
      <c r="G840" s="79" t="b">
        <v>0</v>
      </c>
    </row>
    <row r="841" spans="1:7" ht="15">
      <c r="A841" s="85" t="s">
        <v>1841</v>
      </c>
      <c r="B841" s="79">
        <v>2</v>
      </c>
      <c r="C841" s="109">
        <v>0.010358309356216544</v>
      </c>
      <c r="D841" s="79" t="s">
        <v>1676</v>
      </c>
      <c r="E841" s="79" t="b">
        <v>0</v>
      </c>
      <c r="F841" s="79" t="b">
        <v>0</v>
      </c>
      <c r="G841" s="79" t="b">
        <v>0</v>
      </c>
    </row>
    <row r="842" spans="1:7" ht="15">
      <c r="A842" s="85" t="s">
        <v>1940</v>
      </c>
      <c r="B842" s="79">
        <v>2</v>
      </c>
      <c r="C842" s="109">
        <v>0.010358309356216544</v>
      </c>
      <c r="D842" s="79" t="s">
        <v>1676</v>
      </c>
      <c r="E842" s="79" t="b">
        <v>0</v>
      </c>
      <c r="F842" s="79" t="b">
        <v>0</v>
      </c>
      <c r="G842" s="79" t="b">
        <v>0</v>
      </c>
    </row>
    <row r="843" spans="1:7" ht="15">
      <c r="A843" s="85" t="s">
        <v>1886</v>
      </c>
      <c r="B843" s="79">
        <v>4</v>
      </c>
      <c r="C843" s="109">
        <v>0</v>
      </c>
      <c r="D843" s="79" t="s">
        <v>1677</v>
      </c>
      <c r="E843" s="79" t="b">
        <v>0</v>
      </c>
      <c r="F843" s="79" t="b">
        <v>0</v>
      </c>
      <c r="G843" s="79" t="b">
        <v>0</v>
      </c>
    </row>
    <row r="844" spans="1:7" ht="15">
      <c r="A844" s="85" t="s">
        <v>2049</v>
      </c>
      <c r="B844" s="79">
        <v>2</v>
      </c>
      <c r="C844" s="109">
        <v>0</v>
      </c>
      <c r="D844" s="79" t="s">
        <v>1677</v>
      </c>
      <c r="E844" s="79" t="b">
        <v>0</v>
      </c>
      <c r="F844" s="79" t="b">
        <v>0</v>
      </c>
      <c r="G844" s="79" t="b">
        <v>0</v>
      </c>
    </row>
    <row r="845" spans="1:7" ht="15">
      <c r="A845" s="85" t="s">
        <v>2050</v>
      </c>
      <c r="B845" s="79">
        <v>2</v>
      </c>
      <c r="C845" s="109">
        <v>0</v>
      </c>
      <c r="D845" s="79" t="s">
        <v>1677</v>
      </c>
      <c r="E845" s="79" t="b">
        <v>0</v>
      </c>
      <c r="F845" s="79" t="b">
        <v>0</v>
      </c>
      <c r="G845" s="79" t="b">
        <v>0</v>
      </c>
    </row>
    <row r="846" spans="1:7" ht="15">
      <c r="A846" s="85" t="s">
        <v>2051</v>
      </c>
      <c r="B846" s="79">
        <v>2</v>
      </c>
      <c r="C846" s="109">
        <v>0</v>
      </c>
      <c r="D846" s="79" t="s">
        <v>1677</v>
      </c>
      <c r="E846" s="79" t="b">
        <v>0</v>
      </c>
      <c r="F846" s="79" t="b">
        <v>0</v>
      </c>
      <c r="G846" s="79" t="b">
        <v>0</v>
      </c>
    </row>
    <row r="847" spans="1:7" ht="15">
      <c r="A847" s="85" t="s">
        <v>2052</v>
      </c>
      <c r="B847" s="79">
        <v>2</v>
      </c>
      <c r="C847" s="109">
        <v>0</v>
      </c>
      <c r="D847" s="79" t="s">
        <v>1677</v>
      </c>
      <c r="E847" s="79" t="b">
        <v>0</v>
      </c>
      <c r="F847" s="79" t="b">
        <v>0</v>
      </c>
      <c r="G847" s="79" t="b">
        <v>0</v>
      </c>
    </row>
    <row r="848" spans="1:7" ht="15">
      <c r="A848" s="85" t="s">
        <v>2053</v>
      </c>
      <c r="B848" s="79">
        <v>2</v>
      </c>
      <c r="C848" s="109">
        <v>0</v>
      </c>
      <c r="D848" s="79" t="s">
        <v>1677</v>
      </c>
      <c r="E848" s="79" t="b">
        <v>0</v>
      </c>
      <c r="F848" s="79" t="b">
        <v>0</v>
      </c>
      <c r="G848" s="79" t="b">
        <v>0</v>
      </c>
    </row>
    <row r="849" spans="1:7" ht="15">
      <c r="A849" s="85" t="s">
        <v>2054</v>
      </c>
      <c r="B849" s="79">
        <v>2</v>
      </c>
      <c r="C849" s="109">
        <v>0</v>
      </c>
      <c r="D849" s="79" t="s">
        <v>1677</v>
      </c>
      <c r="E849" s="79" t="b">
        <v>0</v>
      </c>
      <c r="F849" s="79" t="b">
        <v>0</v>
      </c>
      <c r="G849" s="79" t="b">
        <v>0</v>
      </c>
    </row>
    <row r="850" spans="1:7" ht="15">
      <c r="A850" s="85" t="s">
        <v>2055</v>
      </c>
      <c r="B850" s="79">
        <v>2</v>
      </c>
      <c r="C850" s="109">
        <v>0</v>
      </c>
      <c r="D850" s="79" t="s">
        <v>1677</v>
      </c>
      <c r="E850" s="79" t="b">
        <v>0</v>
      </c>
      <c r="F850" s="79" t="b">
        <v>0</v>
      </c>
      <c r="G850" s="79" t="b">
        <v>0</v>
      </c>
    </row>
    <row r="851" spans="1:7" ht="15">
      <c r="A851" s="85" t="s">
        <v>2056</v>
      </c>
      <c r="B851" s="79">
        <v>2</v>
      </c>
      <c r="C851" s="109">
        <v>0</v>
      </c>
      <c r="D851" s="79" t="s">
        <v>1677</v>
      </c>
      <c r="E851" s="79" t="b">
        <v>0</v>
      </c>
      <c r="F851" s="79" t="b">
        <v>0</v>
      </c>
      <c r="G851" s="79" t="b">
        <v>0</v>
      </c>
    </row>
    <row r="852" spans="1:7" ht="15">
      <c r="A852" s="85" t="s">
        <v>2057</v>
      </c>
      <c r="B852" s="79">
        <v>2</v>
      </c>
      <c r="C852" s="109">
        <v>0</v>
      </c>
      <c r="D852" s="79" t="s">
        <v>1677</v>
      </c>
      <c r="E852" s="79" t="b">
        <v>0</v>
      </c>
      <c r="F852" s="79" t="b">
        <v>0</v>
      </c>
      <c r="G852" s="79" t="b">
        <v>0</v>
      </c>
    </row>
    <row r="853" spans="1:7" ht="15">
      <c r="A853" s="85" t="s">
        <v>2058</v>
      </c>
      <c r="B853" s="79">
        <v>2</v>
      </c>
      <c r="C853" s="109">
        <v>0</v>
      </c>
      <c r="D853" s="79" t="s">
        <v>1677</v>
      </c>
      <c r="E853" s="79" t="b">
        <v>0</v>
      </c>
      <c r="F853" s="79" t="b">
        <v>0</v>
      </c>
      <c r="G853" s="79" t="b">
        <v>0</v>
      </c>
    </row>
    <row r="854" spans="1:7" ht="15">
      <c r="A854" s="85" t="s">
        <v>2059</v>
      </c>
      <c r="B854" s="79">
        <v>2</v>
      </c>
      <c r="C854" s="109">
        <v>0</v>
      </c>
      <c r="D854" s="79" t="s">
        <v>1677</v>
      </c>
      <c r="E854" s="79" t="b">
        <v>0</v>
      </c>
      <c r="F854" s="79" t="b">
        <v>0</v>
      </c>
      <c r="G854" s="79" t="b">
        <v>0</v>
      </c>
    </row>
    <row r="855" spans="1:7" ht="15">
      <c r="A855" s="85" t="s">
        <v>2060</v>
      </c>
      <c r="B855" s="79">
        <v>2</v>
      </c>
      <c r="C855" s="109">
        <v>0</v>
      </c>
      <c r="D855" s="79" t="s">
        <v>1677</v>
      </c>
      <c r="E855" s="79" t="b">
        <v>0</v>
      </c>
      <c r="F855" s="79" t="b">
        <v>0</v>
      </c>
      <c r="G855" s="79" t="b">
        <v>0</v>
      </c>
    </row>
    <row r="856" spans="1:7" ht="15">
      <c r="A856" s="85" t="s">
        <v>2061</v>
      </c>
      <c r="B856" s="79">
        <v>2</v>
      </c>
      <c r="C856" s="109">
        <v>0</v>
      </c>
      <c r="D856" s="79" t="s">
        <v>1677</v>
      </c>
      <c r="E856" s="79" t="b">
        <v>0</v>
      </c>
      <c r="F856" s="79" t="b">
        <v>0</v>
      </c>
      <c r="G856" s="79" t="b">
        <v>0</v>
      </c>
    </row>
    <row r="857" spans="1:7" ht="15">
      <c r="A857" s="85" t="s">
        <v>2062</v>
      </c>
      <c r="B857" s="79">
        <v>2</v>
      </c>
      <c r="C857" s="109">
        <v>0</v>
      </c>
      <c r="D857" s="79" t="s">
        <v>1677</v>
      </c>
      <c r="E857" s="79" t="b">
        <v>0</v>
      </c>
      <c r="F857" s="79" t="b">
        <v>0</v>
      </c>
      <c r="G857" s="79" t="b">
        <v>0</v>
      </c>
    </row>
    <row r="858" spans="1:7" ht="15">
      <c r="A858" s="85" t="s">
        <v>2063</v>
      </c>
      <c r="B858" s="79">
        <v>2</v>
      </c>
      <c r="C858" s="109">
        <v>0</v>
      </c>
      <c r="D858" s="79" t="s">
        <v>1677</v>
      </c>
      <c r="E858" s="79" t="b">
        <v>0</v>
      </c>
      <c r="F858" s="79" t="b">
        <v>0</v>
      </c>
      <c r="G858" s="79" t="b">
        <v>0</v>
      </c>
    </row>
    <row r="859" spans="1:7" ht="15">
      <c r="A859" s="85" t="s">
        <v>2064</v>
      </c>
      <c r="B859" s="79">
        <v>2</v>
      </c>
      <c r="C859" s="109">
        <v>0</v>
      </c>
      <c r="D859" s="79" t="s">
        <v>1677</v>
      </c>
      <c r="E859" s="79" t="b">
        <v>0</v>
      </c>
      <c r="F859" s="79" t="b">
        <v>0</v>
      </c>
      <c r="G859" s="79" t="b">
        <v>0</v>
      </c>
    </row>
    <row r="860" spans="1:7" ht="15">
      <c r="A860" s="85" t="s">
        <v>1703</v>
      </c>
      <c r="B860" s="79">
        <v>2</v>
      </c>
      <c r="C860" s="109">
        <v>0</v>
      </c>
      <c r="D860" s="79" t="s">
        <v>1677</v>
      </c>
      <c r="E860" s="79" t="b">
        <v>0</v>
      </c>
      <c r="F860" s="79" t="b">
        <v>0</v>
      </c>
      <c r="G860" s="79" t="b">
        <v>0</v>
      </c>
    </row>
    <row r="861" spans="1:7" ht="15">
      <c r="A861" s="85" t="s">
        <v>2065</v>
      </c>
      <c r="B861" s="79">
        <v>2</v>
      </c>
      <c r="C861" s="109">
        <v>0</v>
      </c>
      <c r="D861" s="79" t="s">
        <v>1677</v>
      </c>
      <c r="E861" s="79" t="b">
        <v>0</v>
      </c>
      <c r="F861" s="79" t="b">
        <v>0</v>
      </c>
      <c r="G861" s="7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82609-51DA-49A2-BB08-F4291D778346}">
  <dimension ref="A1:L9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2089</v>
      </c>
      <c r="B1" s="13" t="s">
        <v>2090</v>
      </c>
      <c r="C1" s="13" t="s">
        <v>2080</v>
      </c>
      <c r="D1" s="13" t="s">
        <v>2084</v>
      </c>
      <c r="E1" s="13" t="s">
        <v>2091</v>
      </c>
      <c r="F1" s="13" t="s">
        <v>144</v>
      </c>
      <c r="G1" s="13" t="s">
        <v>2092</v>
      </c>
      <c r="H1" s="13" t="s">
        <v>2093</v>
      </c>
      <c r="I1" s="13" t="s">
        <v>2094</v>
      </c>
      <c r="J1" s="13" t="s">
        <v>2095</v>
      </c>
      <c r="K1" s="13" t="s">
        <v>2096</v>
      </c>
      <c r="L1" s="13" t="s">
        <v>2097</v>
      </c>
    </row>
    <row r="2" spans="1:12" ht="15">
      <c r="A2" s="84" t="s">
        <v>1706</v>
      </c>
      <c r="B2" s="84" t="s">
        <v>1703</v>
      </c>
      <c r="C2" s="84">
        <v>39</v>
      </c>
      <c r="D2" s="110">
        <v>0.008432057592872143</v>
      </c>
      <c r="E2" s="110">
        <v>1.1363005234493395</v>
      </c>
      <c r="F2" s="84" t="s">
        <v>2085</v>
      </c>
      <c r="G2" s="84" t="b">
        <v>0</v>
      </c>
      <c r="H2" s="84" t="b">
        <v>0</v>
      </c>
      <c r="I2" s="84" t="b">
        <v>0</v>
      </c>
      <c r="J2" s="84" t="b">
        <v>0</v>
      </c>
      <c r="K2" s="84" t="b">
        <v>0</v>
      </c>
      <c r="L2" s="84" t="b">
        <v>0</v>
      </c>
    </row>
    <row r="3" spans="1:12" ht="15">
      <c r="A3" s="85" t="s">
        <v>1708</v>
      </c>
      <c r="B3" s="84" t="s">
        <v>1709</v>
      </c>
      <c r="C3" s="79">
        <v>37</v>
      </c>
      <c r="D3" s="109">
        <v>0.00828124447269553</v>
      </c>
      <c r="E3" s="109">
        <v>1.8835847114572952</v>
      </c>
      <c r="F3" s="79" t="s">
        <v>2085</v>
      </c>
      <c r="G3" s="79" t="b">
        <v>0</v>
      </c>
      <c r="H3" s="79" t="b">
        <v>0</v>
      </c>
      <c r="I3" s="79" t="b">
        <v>0</v>
      </c>
      <c r="J3" s="79" t="b">
        <v>0</v>
      </c>
      <c r="K3" s="79" t="b">
        <v>0</v>
      </c>
      <c r="L3" s="79" t="b">
        <v>0</v>
      </c>
    </row>
    <row r="4" spans="1:12" ht="15">
      <c r="A4" s="85" t="s">
        <v>1709</v>
      </c>
      <c r="B4" s="84" t="s">
        <v>1710</v>
      </c>
      <c r="C4" s="79">
        <v>37</v>
      </c>
      <c r="D4" s="109">
        <v>0.00828124447269553</v>
      </c>
      <c r="E4" s="109">
        <v>1.8835847114572952</v>
      </c>
      <c r="F4" s="79" t="s">
        <v>2085</v>
      </c>
      <c r="G4" s="79" t="b">
        <v>0</v>
      </c>
      <c r="H4" s="79" t="b">
        <v>0</v>
      </c>
      <c r="I4" s="79" t="b">
        <v>0</v>
      </c>
      <c r="J4" s="79" t="b">
        <v>0</v>
      </c>
      <c r="K4" s="79" t="b">
        <v>0</v>
      </c>
      <c r="L4" s="79" t="b">
        <v>0</v>
      </c>
    </row>
    <row r="5" spans="1:12" ht="15">
      <c r="A5" s="85" t="s">
        <v>1710</v>
      </c>
      <c r="B5" s="84" t="s">
        <v>1711</v>
      </c>
      <c r="C5" s="79">
        <v>37</v>
      </c>
      <c r="D5" s="109">
        <v>0.00828124447269553</v>
      </c>
      <c r="E5" s="109">
        <v>1.8835847114572952</v>
      </c>
      <c r="F5" s="79" t="s">
        <v>2085</v>
      </c>
      <c r="G5" s="79" t="b">
        <v>0</v>
      </c>
      <c r="H5" s="79" t="b">
        <v>0</v>
      </c>
      <c r="I5" s="79" t="b">
        <v>0</v>
      </c>
      <c r="J5" s="79" t="b">
        <v>0</v>
      </c>
      <c r="K5" s="79" t="b">
        <v>0</v>
      </c>
      <c r="L5" s="79" t="b">
        <v>0</v>
      </c>
    </row>
    <row r="6" spans="1:12" ht="15">
      <c r="A6" s="85" t="s">
        <v>1711</v>
      </c>
      <c r="B6" s="84" t="s">
        <v>1712</v>
      </c>
      <c r="C6" s="79">
        <v>37</v>
      </c>
      <c r="D6" s="109">
        <v>0.00828124447269553</v>
      </c>
      <c r="E6" s="109">
        <v>1.8835847114572952</v>
      </c>
      <c r="F6" s="79" t="s">
        <v>2085</v>
      </c>
      <c r="G6" s="79" t="b">
        <v>0</v>
      </c>
      <c r="H6" s="79" t="b">
        <v>0</v>
      </c>
      <c r="I6" s="79" t="b">
        <v>0</v>
      </c>
      <c r="J6" s="79" t="b">
        <v>0</v>
      </c>
      <c r="K6" s="79" t="b">
        <v>0</v>
      </c>
      <c r="L6" s="79" t="b">
        <v>0</v>
      </c>
    </row>
    <row r="7" spans="1:12" ht="15">
      <c r="A7" s="85" t="s">
        <v>1712</v>
      </c>
      <c r="B7" s="84" t="s">
        <v>1713</v>
      </c>
      <c r="C7" s="79">
        <v>37</v>
      </c>
      <c r="D7" s="109">
        <v>0.00828124447269553</v>
      </c>
      <c r="E7" s="109">
        <v>1.8835847114572952</v>
      </c>
      <c r="F7" s="79" t="s">
        <v>2085</v>
      </c>
      <c r="G7" s="79" t="b">
        <v>0</v>
      </c>
      <c r="H7" s="79" t="b">
        <v>0</v>
      </c>
      <c r="I7" s="79" t="b">
        <v>0</v>
      </c>
      <c r="J7" s="79" t="b">
        <v>0</v>
      </c>
      <c r="K7" s="79" t="b">
        <v>0</v>
      </c>
      <c r="L7" s="79" t="b">
        <v>0</v>
      </c>
    </row>
    <row r="8" spans="1:12" ht="15">
      <c r="A8" s="85" t="s">
        <v>1713</v>
      </c>
      <c r="B8" s="84" t="s">
        <v>1714</v>
      </c>
      <c r="C8" s="79">
        <v>37</v>
      </c>
      <c r="D8" s="109">
        <v>0.00828124447269553</v>
      </c>
      <c r="E8" s="109">
        <v>1.8835847114572952</v>
      </c>
      <c r="F8" s="79" t="s">
        <v>2085</v>
      </c>
      <c r="G8" s="79" t="b">
        <v>0</v>
      </c>
      <c r="H8" s="79" t="b">
        <v>0</v>
      </c>
      <c r="I8" s="79" t="b">
        <v>0</v>
      </c>
      <c r="J8" s="79" t="b">
        <v>0</v>
      </c>
      <c r="K8" s="79" t="b">
        <v>0</v>
      </c>
      <c r="L8" s="79" t="b">
        <v>0</v>
      </c>
    </row>
    <row r="9" spans="1:12" ht="15">
      <c r="A9" s="85" t="s">
        <v>1714</v>
      </c>
      <c r="B9" s="84" t="s">
        <v>1715</v>
      </c>
      <c r="C9" s="79">
        <v>37</v>
      </c>
      <c r="D9" s="109">
        <v>0.00828124447269553</v>
      </c>
      <c r="E9" s="109">
        <v>1.8835847114572952</v>
      </c>
      <c r="F9" s="79" t="s">
        <v>2085</v>
      </c>
      <c r="G9" s="79" t="b">
        <v>0</v>
      </c>
      <c r="H9" s="79" t="b">
        <v>0</v>
      </c>
      <c r="I9" s="79" t="b">
        <v>0</v>
      </c>
      <c r="J9" s="79" t="b">
        <v>0</v>
      </c>
      <c r="K9" s="79" t="b">
        <v>0</v>
      </c>
      <c r="L9" s="79" t="b">
        <v>0</v>
      </c>
    </row>
    <row r="10" spans="1:12" ht="15">
      <c r="A10" s="85" t="s">
        <v>1715</v>
      </c>
      <c r="B10" s="84" t="s">
        <v>1707</v>
      </c>
      <c r="C10" s="79">
        <v>37</v>
      </c>
      <c r="D10" s="109">
        <v>0.00828124447269553</v>
      </c>
      <c r="E10" s="109">
        <v>1.849726444196328</v>
      </c>
      <c r="F10" s="79" t="s">
        <v>2085</v>
      </c>
      <c r="G10" s="79" t="b">
        <v>0</v>
      </c>
      <c r="H10" s="79" t="b">
        <v>0</v>
      </c>
      <c r="I10" s="79" t="b">
        <v>0</v>
      </c>
      <c r="J10" s="79" t="b">
        <v>0</v>
      </c>
      <c r="K10" s="79" t="b">
        <v>0</v>
      </c>
      <c r="L10" s="79" t="b">
        <v>0</v>
      </c>
    </row>
    <row r="11" spans="1:12" ht="15">
      <c r="A11" s="85" t="s">
        <v>1707</v>
      </c>
      <c r="B11" s="84" t="s">
        <v>1704</v>
      </c>
      <c r="C11" s="79">
        <v>37</v>
      </c>
      <c r="D11" s="109">
        <v>0.00828124447269553</v>
      </c>
      <c r="E11" s="109">
        <v>1.5203010769728815</v>
      </c>
      <c r="F11" s="79" t="s">
        <v>2085</v>
      </c>
      <c r="G11" s="79" t="b">
        <v>0</v>
      </c>
      <c r="H11" s="79" t="b">
        <v>0</v>
      </c>
      <c r="I11" s="79" t="b">
        <v>0</v>
      </c>
      <c r="J11" s="79" t="b">
        <v>0</v>
      </c>
      <c r="K11" s="79" t="b">
        <v>0</v>
      </c>
      <c r="L11" s="79" t="b">
        <v>0</v>
      </c>
    </row>
    <row r="12" spans="1:12" ht="15">
      <c r="A12" s="85" t="s">
        <v>1704</v>
      </c>
      <c r="B12" s="84" t="s">
        <v>1716</v>
      </c>
      <c r="C12" s="79">
        <v>37</v>
      </c>
      <c r="D12" s="109">
        <v>0.00828124447269553</v>
      </c>
      <c r="E12" s="109">
        <v>1.5541593442338488</v>
      </c>
      <c r="F12" s="79" t="s">
        <v>2085</v>
      </c>
      <c r="G12" s="79" t="b">
        <v>0</v>
      </c>
      <c r="H12" s="79" t="b">
        <v>0</v>
      </c>
      <c r="I12" s="79" t="b">
        <v>0</v>
      </c>
      <c r="J12" s="79" t="b">
        <v>0</v>
      </c>
      <c r="K12" s="79" t="b">
        <v>0</v>
      </c>
      <c r="L12" s="79" t="b">
        <v>0</v>
      </c>
    </row>
    <row r="13" spans="1:12" ht="15">
      <c r="A13" s="85" t="s">
        <v>1716</v>
      </c>
      <c r="B13" s="84" t="s">
        <v>1717</v>
      </c>
      <c r="C13" s="79">
        <v>37</v>
      </c>
      <c r="D13" s="109">
        <v>0.00828124447269553</v>
      </c>
      <c r="E13" s="109">
        <v>1.8835847114572952</v>
      </c>
      <c r="F13" s="79" t="s">
        <v>2085</v>
      </c>
      <c r="G13" s="79" t="b">
        <v>0</v>
      </c>
      <c r="H13" s="79" t="b">
        <v>0</v>
      </c>
      <c r="I13" s="79" t="b">
        <v>0</v>
      </c>
      <c r="J13" s="79" t="b">
        <v>0</v>
      </c>
      <c r="K13" s="79" t="b">
        <v>0</v>
      </c>
      <c r="L13" s="79" t="b">
        <v>0</v>
      </c>
    </row>
    <row r="14" spans="1:12" ht="15">
      <c r="A14" s="85" t="s">
        <v>1717</v>
      </c>
      <c r="B14" s="84" t="s">
        <v>1705</v>
      </c>
      <c r="C14" s="79">
        <v>37</v>
      </c>
      <c r="D14" s="109">
        <v>0.00828124447269553</v>
      </c>
      <c r="E14" s="109">
        <v>1.7528164311882715</v>
      </c>
      <c r="F14" s="79" t="s">
        <v>2085</v>
      </c>
      <c r="G14" s="79" t="b">
        <v>0</v>
      </c>
      <c r="H14" s="79" t="b">
        <v>0</v>
      </c>
      <c r="I14" s="79" t="b">
        <v>0</v>
      </c>
      <c r="J14" s="79" t="b">
        <v>0</v>
      </c>
      <c r="K14" s="79" t="b">
        <v>0</v>
      </c>
      <c r="L14" s="79" t="b">
        <v>0</v>
      </c>
    </row>
    <row r="15" spans="1:12" ht="15">
      <c r="A15" s="85" t="s">
        <v>1705</v>
      </c>
      <c r="B15" s="84" t="s">
        <v>1718</v>
      </c>
      <c r="C15" s="79">
        <v>37</v>
      </c>
      <c r="D15" s="109">
        <v>0.00828124447269553</v>
      </c>
      <c r="E15" s="109">
        <v>1.7528164311882715</v>
      </c>
      <c r="F15" s="79" t="s">
        <v>2085</v>
      </c>
      <c r="G15" s="79" t="b">
        <v>0</v>
      </c>
      <c r="H15" s="79" t="b">
        <v>0</v>
      </c>
      <c r="I15" s="79" t="b">
        <v>0</v>
      </c>
      <c r="J15" s="79" t="b">
        <v>0</v>
      </c>
      <c r="K15" s="79" t="b">
        <v>0</v>
      </c>
      <c r="L15" s="79" t="b">
        <v>0</v>
      </c>
    </row>
    <row r="16" spans="1:12" ht="15">
      <c r="A16" s="85" t="s">
        <v>1718</v>
      </c>
      <c r="B16" s="84" t="s">
        <v>1704</v>
      </c>
      <c r="C16" s="79">
        <v>37</v>
      </c>
      <c r="D16" s="109">
        <v>0.00828124447269553</v>
      </c>
      <c r="E16" s="109">
        <v>1.5541593442338488</v>
      </c>
      <c r="F16" s="79" t="s">
        <v>2085</v>
      </c>
      <c r="G16" s="79" t="b">
        <v>0</v>
      </c>
      <c r="H16" s="79" t="b">
        <v>0</v>
      </c>
      <c r="I16" s="79" t="b">
        <v>0</v>
      </c>
      <c r="J16" s="79" t="b">
        <v>0</v>
      </c>
      <c r="K16" s="79" t="b">
        <v>0</v>
      </c>
      <c r="L16" s="79" t="b">
        <v>0</v>
      </c>
    </row>
    <row r="17" spans="1:12" ht="15">
      <c r="A17" s="85" t="s">
        <v>1704</v>
      </c>
      <c r="B17" s="84" t="s">
        <v>1719</v>
      </c>
      <c r="C17" s="79">
        <v>37</v>
      </c>
      <c r="D17" s="109">
        <v>0.00828124447269553</v>
      </c>
      <c r="E17" s="109">
        <v>1.5541593442338488</v>
      </c>
      <c r="F17" s="79" t="s">
        <v>2085</v>
      </c>
      <c r="G17" s="79" t="b">
        <v>0</v>
      </c>
      <c r="H17" s="79" t="b">
        <v>0</v>
      </c>
      <c r="I17" s="79" t="b">
        <v>0</v>
      </c>
      <c r="J17" s="79" t="b">
        <v>0</v>
      </c>
      <c r="K17" s="79" t="b">
        <v>0</v>
      </c>
      <c r="L17" s="79" t="b">
        <v>0</v>
      </c>
    </row>
    <row r="18" spans="1:12" ht="15">
      <c r="A18" s="85" t="s">
        <v>1719</v>
      </c>
      <c r="B18" s="84" t="s">
        <v>1720</v>
      </c>
      <c r="C18" s="79">
        <v>37</v>
      </c>
      <c r="D18" s="109">
        <v>0.00828124447269553</v>
      </c>
      <c r="E18" s="109">
        <v>1.8835847114572952</v>
      </c>
      <c r="F18" s="79" t="s">
        <v>2085</v>
      </c>
      <c r="G18" s="79" t="b">
        <v>0</v>
      </c>
      <c r="H18" s="79" t="b">
        <v>0</v>
      </c>
      <c r="I18" s="79" t="b">
        <v>0</v>
      </c>
      <c r="J18" s="79" t="b">
        <v>0</v>
      </c>
      <c r="K18" s="79" t="b">
        <v>0</v>
      </c>
      <c r="L18" s="79" t="b">
        <v>0</v>
      </c>
    </row>
    <row r="19" spans="1:12" ht="15">
      <c r="A19" s="85" t="s">
        <v>1720</v>
      </c>
      <c r="B19" s="84" t="s">
        <v>1721</v>
      </c>
      <c r="C19" s="79">
        <v>37</v>
      </c>
      <c r="D19" s="109">
        <v>0.00828124447269553</v>
      </c>
      <c r="E19" s="109">
        <v>1.8835847114572952</v>
      </c>
      <c r="F19" s="79" t="s">
        <v>2085</v>
      </c>
      <c r="G19" s="79" t="b">
        <v>0</v>
      </c>
      <c r="H19" s="79" t="b">
        <v>0</v>
      </c>
      <c r="I19" s="79" t="b">
        <v>0</v>
      </c>
      <c r="J19" s="79" t="b">
        <v>0</v>
      </c>
      <c r="K19" s="79" t="b">
        <v>0</v>
      </c>
      <c r="L19" s="79" t="b">
        <v>0</v>
      </c>
    </row>
    <row r="20" spans="1:12" ht="15">
      <c r="A20" s="85" t="s">
        <v>1721</v>
      </c>
      <c r="B20" s="84" t="s">
        <v>1722</v>
      </c>
      <c r="C20" s="79">
        <v>37</v>
      </c>
      <c r="D20" s="109">
        <v>0.00828124447269553</v>
      </c>
      <c r="E20" s="109">
        <v>1.8835847114572952</v>
      </c>
      <c r="F20" s="79" t="s">
        <v>2085</v>
      </c>
      <c r="G20" s="79" t="b">
        <v>0</v>
      </c>
      <c r="H20" s="79" t="b">
        <v>0</v>
      </c>
      <c r="I20" s="79" t="b">
        <v>0</v>
      </c>
      <c r="J20" s="79" t="b">
        <v>0</v>
      </c>
      <c r="K20" s="79" t="b">
        <v>0</v>
      </c>
      <c r="L20" s="79" t="b">
        <v>0</v>
      </c>
    </row>
    <row r="21" spans="1:12" ht="15">
      <c r="A21" s="85" t="s">
        <v>1722</v>
      </c>
      <c r="B21" s="84" t="s">
        <v>1723</v>
      </c>
      <c r="C21" s="79">
        <v>37</v>
      </c>
      <c r="D21" s="109">
        <v>0.00828124447269553</v>
      </c>
      <c r="E21" s="109">
        <v>1.8835847114572952</v>
      </c>
      <c r="F21" s="79" t="s">
        <v>2085</v>
      </c>
      <c r="G21" s="79" t="b">
        <v>0</v>
      </c>
      <c r="H21" s="79" t="b">
        <v>0</v>
      </c>
      <c r="I21" s="79" t="b">
        <v>0</v>
      </c>
      <c r="J21" s="79" t="b">
        <v>0</v>
      </c>
      <c r="K21" s="79" t="b">
        <v>0</v>
      </c>
      <c r="L21" s="79" t="b">
        <v>0</v>
      </c>
    </row>
    <row r="22" spans="1:12" ht="15">
      <c r="A22" s="85" t="s">
        <v>1723</v>
      </c>
      <c r="B22" s="84" t="s">
        <v>1706</v>
      </c>
      <c r="C22" s="79">
        <v>37</v>
      </c>
      <c r="D22" s="109">
        <v>0.00828124447269553</v>
      </c>
      <c r="E22" s="109">
        <v>1.770545198148703</v>
      </c>
      <c r="F22" s="79" t="s">
        <v>2085</v>
      </c>
      <c r="G22" s="79" t="b">
        <v>0</v>
      </c>
      <c r="H22" s="79" t="b">
        <v>0</v>
      </c>
      <c r="I22" s="79" t="b">
        <v>0</v>
      </c>
      <c r="J22" s="79" t="b">
        <v>0</v>
      </c>
      <c r="K22" s="79" t="b">
        <v>0</v>
      </c>
      <c r="L22" s="79" t="b">
        <v>0</v>
      </c>
    </row>
    <row r="23" spans="1:12" ht="15">
      <c r="A23" s="85" t="s">
        <v>1737</v>
      </c>
      <c r="B23" s="84" t="s">
        <v>1731</v>
      </c>
      <c r="C23" s="79">
        <v>14</v>
      </c>
      <c r="D23" s="109">
        <v>0.005100498327716732</v>
      </c>
      <c r="E23" s="109">
        <v>2.221337514146016</v>
      </c>
      <c r="F23" s="79" t="s">
        <v>2085</v>
      </c>
      <c r="G23" s="79" t="b">
        <v>0</v>
      </c>
      <c r="H23" s="79" t="b">
        <v>0</v>
      </c>
      <c r="I23" s="79" t="b">
        <v>0</v>
      </c>
      <c r="J23" s="79" t="b">
        <v>0</v>
      </c>
      <c r="K23" s="79" t="b">
        <v>0</v>
      </c>
      <c r="L23" s="79" t="b">
        <v>0</v>
      </c>
    </row>
    <row r="24" spans="1:12" ht="15">
      <c r="A24" s="85" t="s">
        <v>1731</v>
      </c>
      <c r="B24" s="84" t="s">
        <v>1738</v>
      </c>
      <c r="C24" s="79">
        <v>14</v>
      </c>
      <c r="D24" s="109">
        <v>0.005100498327716732</v>
      </c>
      <c r="E24" s="109">
        <v>2.221337514146016</v>
      </c>
      <c r="F24" s="79" t="s">
        <v>2085</v>
      </c>
      <c r="G24" s="79" t="b">
        <v>0</v>
      </c>
      <c r="H24" s="79" t="b">
        <v>0</v>
      </c>
      <c r="I24" s="79" t="b">
        <v>0</v>
      </c>
      <c r="J24" s="79" t="b">
        <v>0</v>
      </c>
      <c r="K24" s="79" t="b">
        <v>0</v>
      </c>
      <c r="L24" s="79" t="b">
        <v>0</v>
      </c>
    </row>
    <row r="25" spans="1:12" ht="15">
      <c r="A25" s="85" t="s">
        <v>1738</v>
      </c>
      <c r="B25" s="84" t="s">
        <v>1739</v>
      </c>
      <c r="C25" s="79">
        <v>14</v>
      </c>
      <c r="D25" s="109">
        <v>0.005100498327716732</v>
      </c>
      <c r="E25" s="109">
        <v>2.305658399846052</v>
      </c>
      <c r="F25" s="79" t="s">
        <v>2085</v>
      </c>
      <c r="G25" s="79" t="b">
        <v>0</v>
      </c>
      <c r="H25" s="79" t="b">
        <v>0</v>
      </c>
      <c r="I25" s="79" t="b">
        <v>0</v>
      </c>
      <c r="J25" s="79" t="b">
        <v>0</v>
      </c>
      <c r="K25" s="79" t="b">
        <v>0</v>
      </c>
      <c r="L25" s="79" t="b">
        <v>0</v>
      </c>
    </row>
    <row r="26" spans="1:12" ht="15">
      <c r="A26" s="85" t="s">
        <v>1739</v>
      </c>
      <c r="B26" s="84" t="s">
        <v>370</v>
      </c>
      <c r="C26" s="79">
        <v>14</v>
      </c>
      <c r="D26" s="109">
        <v>0.005100498327716732</v>
      </c>
      <c r="E26" s="109">
        <v>2.305658399846052</v>
      </c>
      <c r="F26" s="79" t="s">
        <v>2085</v>
      </c>
      <c r="G26" s="79" t="b">
        <v>0</v>
      </c>
      <c r="H26" s="79" t="b">
        <v>0</v>
      </c>
      <c r="I26" s="79" t="b">
        <v>0</v>
      </c>
      <c r="J26" s="79" t="b">
        <v>0</v>
      </c>
      <c r="K26" s="79" t="b">
        <v>0</v>
      </c>
      <c r="L26" s="79" t="b">
        <v>0</v>
      </c>
    </row>
    <row r="27" spans="1:12" ht="15">
      <c r="A27" s="85" t="s">
        <v>370</v>
      </c>
      <c r="B27" s="84" t="s">
        <v>1736</v>
      </c>
      <c r="C27" s="79">
        <v>14</v>
      </c>
      <c r="D27" s="109">
        <v>0.005100498327716732</v>
      </c>
      <c r="E27" s="109">
        <v>2.275695176468609</v>
      </c>
      <c r="F27" s="79" t="s">
        <v>2085</v>
      </c>
      <c r="G27" s="79" t="b">
        <v>0</v>
      </c>
      <c r="H27" s="79" t="b">
        <v>0</v>
      </c>
      <c r="I27" s="79" t="b">
        <v>0</v>
      </c>
      <c r="J27" s="79" t="b">
        <v>0</v>
      </c>
      <c r="K27" s="79" t="b">
        <v>0</v>
      </c>
      <c r="L27" s="79" t="b">
        <v>0</v>
      </c>
    </row>
    <row r="28" spans="1:12" ht="15">
      <c r="A28" s="85" t="s">
        <v>1736</v>
      </c>
      <c r="B28" s="84" t="s">
        <v>368</v>
      </c>
      <c r="C28" s="79">
        <v>14</v>
      </c>
      <c r="D28" s="109">
        <v>0.005100498327716732</v>
      </c>
      <c r="E28" s="109">
        <v>2.0996039174129275</v>
      </c>
      <c r="F28" s="79" t="s">
        <v>2085</v>
      </c>
      <c r="G28" s="79" t="b">
        <v>0</v>
      </c>
      <c r="H28" s="79" t="b">
        <v>0</v>
      </c>
      <c r="I28" s="79" t="b">
        <v>0</v>
      </c>
      <c r="J28" s="79" t="b">
        <v>0</v>
      </c>
      <c r="K28" s="79" t="b">
        <v>0</v>
      </c>
      <c r="L28" s="79" t="b">
        <v>0</v>
      </c>
    </row>
    <row r="29" spans="1:12" ht="15">
      <c r="A29" s="85" t="s">
        <v>368</v>
      </c>
      <c r="B29" s="84" t="s">
        <v>1727</v>
      </c>
      <c r="C29" s="79">
        <v>14</v>
      </c>
      <c r="D29" s="109">
        <v>0.005100498327716732</v>
      </c>
      <c r="E29" s="109">
        <v>1.8989444668665094</v>
      </c>
      <c r="F29" s="79" t="s">
        <v>2085</v>
      </c>
      <c r="G29" s="79" t="b">
        <v>0</v>
      </c>
      <c r="H29" s="79" t="b">
        <v>0</v>
      </c>
      <c r="I29" s="79" t="b">
        <v>0</v>
      </c>
      <c r="J29" s="79" t="b">
        <v>0</v>
      </c>
      <c r="K29" s="79" t="b">
        <v>0</v>
      </c>
      <c r="L29" s="79" t="b">
        <v>0</v>
      </c>
    </row>
    <row r="30" spans="1:12" ht="15">
      <c r="A30" s="85" t="s">
        <v>1727</v>
      </c>
      <c r="B30" s="84" t="s">
        <v>1740</v>
      </c>
      <c r="C30" s="79">
        <v>14</v>
      </c>
      <c r="D30" s="109">
        <v>0.005100498327716732</v>
      </c>
      <c r="E30" s="109">
        <v>2.150756439860309</v>
      </c>
      <c r="F30" s="79" t="s">
        <v>2085</v>
      </c>
      <c r="G30" s="79" t="b">
        <v>0</v>
      </c>
      <c r="H30" s="79" t="b">
        <v>0</v>
      </c>
      <c r="I30" s="79" t="b">
        <v>0</v>
      </c>
      <c r="J30" s="79" t="b">
        <v>0</v>
      </c>
      <c r="K30" s="79" t="b">
        <v>0</v>
      </c>
      <c r="L30" s="79" t="b">
        <v>0</v>
      </c>
    </row>
    <row r="31" spans="1:12" ht="15">
      <c r="A31" s="85" t="s">
        <v>1740</v>
      </c>
      <c r="B31" s="84" t="s">
        <v>1741</v>
      </c>
      <c r="C31" s="79">
        <v>14</v>
      </c>
      <c r="D31" s="109">
        <v>0.005100498327716732</v>
      </c>
      <c r="E31" s="109">
        <v>2.305658399846052</v>
      </c>
      <c r="F31" s="79" t="s">
        <v>2085</v>
      </c>
      <c r="G31" s="79" t="b">
        <v>0</v>
      </c>
      <c r="H31" s="79" t="b">
        <v>0</v>
      </c>
      <c r="I31" s="79" t="b">
        <v>0</v>
      </c>
      <c r="J31" s="79" t="b">
        <v>0</v>
      </c>
      <c r="K31" s="79" t="b">
        <v>0</v>
      </c>
      <c r="L31" s="79" t="b">
        <v>0</v>
      </c>
    </row>
    <row r="32" spans="1:12" ht="15">
      <c r="A32" s="85" t="s">
        <v>1741</v>
      </c>
      <c r="B32" s="84" t="s">
        <v>1742</v>
      </c>
      <c r="C32" s="79">
        <v>14</v>
      </c>
      <c r="D32" s="109">
        <v>0.005100498327716732</v>
      </c>
      <c r="E32" s="109">
        <v>2.305658399846052</v>
      </c>
      <c r="F32" s="79" t="s">
        <v>2085</v>
      </c>
      <c r="G32" s="79" t="b">
        <v>0</v>
      </c>
      <c r="H32" s="79" t="b">
        <v>0</v>
      </c>
      <c r="I32" s="79" t="b">
        <v>0</v>
      </c>
      <c r="J32" s="79" t="b">
        <v>0</v>
      </c>
      <c r="K32" s="79" t="b">
        <v>0</v>
      </c>
      <c r="L32" s="79" t="b">
        <v>0</v>
      </c>
    </row>
    <row r="33" spans="1:12" ht="15">
      <c r="A33" s="85" t="s">
        <v>1742</v>
      </c>
      <c r="B33" s="84" t="s">
        <v>1743</v>
      </c>
      <c r="C33" s="79">
        <v>14</v>
      </c>
      <c r="D33" s="109">
        <v>0.005100498327716732</v>
      </c>
      <c r="E33" s="109">
        <v>2.305658399846052</v>
      </c>
      <c r="F33" s="79" t="s">
        <v>2085</v>
      </c>
      <c r="G33" s="79" t="b">
        <v>0</v>
      </c>
      <c r="H33" s="79" t="b">
        <v>0</v>
      </c>
      <c r="I33" s="79" t="b">
        <v>0</v>
      </c>
      <c r="J33" s="79" t="b">
        <v>0</v>
      </c>
      <c r="K33" s="79" t="b">
        <v>0</v>
      </c>
      <c r="L33" s="79" t="b">
        <v>0</v>
      </c>
    </row>
    <row r="34" spans="1:12" ht="15">
      <c r="A34" s="85" t="s">
        <v>1743</v>
      </c>
      <c r="B34" s="84" t="s">
        <v>1725</v>
      </c>
      <c r="C34" s="79">
        <v>14</v>
      </c>
      <c r="D34" s="109">
        <v>0.005100498327716732</v>
      </c>
      <c r="E34" s="109">
        <v>2.0368130875534725</v>
      </c>
      <c r="F34" s="79" t="s">
        <v>2085</v>
      </c>
      <c r="G34" s="79" t="b">
        <v>0</v>
      </c>
      <c r="H34" s="79" t="b">
        <v>0</v>
      </c>
      <c r="I34" s="79" t="b">
        <v>0</v>
      </c>
      <c r="J34" s="79" t="b">
        <v>0</v>
      </c>
      <c r="K34" s="79" t="b">
        <v>0</v>
      </c>
      <c r="L34" s="79" t="b">
        <v>0</v>
      </c>
    </row>
    <row r="35" spans="1:12" ht="15">
      <c r="A35" s="85" t="s">
        <v>1725</v>
      </c>
      <c r="B35" s="84" t="s">
        <v>1703</v>
      </c>
      <c r="C35" s="79">
        <v>14</v>
      </c>
      <c r="D35" s="109">
        <v>0.005100498327716732</v>
      </c>
      <c r="E35" s="109">
        <v>0.9576318415058475</v>
      </c>
      <c r="F35" s="79" t="s">
        <v>2085</v>
      </c>
      <c r="G35" s="79" t="b">
        <v>0</v>
      </c>
      <c r="H35" s="79" t="b">
        <v>0</v>
      </c>
      <c r="I35" s="79" t="b">
        <v>0</v>
      </c>
      <c r="J35" s="79" t="b">
        <v>0</v>
      </c>
      <c r="K35" s="79" t="b">
        <v>0</v>
      </c>
      <c r="L35" s="79" t="b">
        <v>0</v>
      </c>
    </row>
    <row r="36" spans="1:12" ht="15">
      <c r="A36" s="85" t="s">
        <v>1747</v>
      </c>
      <c r="B36" s="84" t="s">
        <v>1733</v>
      </c>
      <c r="C36" s="79">
        <v>10</v>
      </c>
      <c r="D36" s="109">
        <v>0.004129657950341543</v>
      </c>
      <c r="E36" s="109">
        <v>2.1684852068207405</v>
      </c>
      <c r="F36" s="79" t="s">
        <v>2085</v>
      </c>
      <c r="G36" s="79" t="b">
        <v>0</v>
      </c>
      <c r="H36" s="79" t="b">
        <v>0</v>
      </c>
      <c r="I36" s="79" t="b">
        <v>0</v>
      </c>
      <c r="J36" s="79" t="b">
        <v>0</v>
      </c>
      <c r="K36" s="79" t="b">
        <v>0</v>
      </c>
      <c r="L36" s="79" t="b">
        <v>0</v>
      </c>
    </row>
    <row r="37" spans="1:12" ht="15">
      <c r="A37" s="85" t="s">
        <v>1754</v>
      </c>
      <c r="B37" s="84" t="s">
        <v>1724</v>
      </c>
      <c r="C37" s="79">
        <v>10</v>
      </c>
      <c r="D37" s="109">
        <v>0.004129657950341543</v>
      </c>
      <c r="E37" s="109">
        <v>1.9893884376253341</v>
      </c>
      <c r="F37" s="79" t="s">
        <v>2085</v>
      </c>
      <c r="G37" s="79" t="b">
        <v>0</v>
      </c>
      <c r="H37" s="79" t="b">
        <v>0</v>
      </c>
      <c r="I37" s="79" t="b">
        <v>0</v>
      </c>
      <c r="J37" s="79" t="b">
        <v>0</v>
      </c>
      <c r="K37" s="79" t="b">
        <v>0</v>
      </c>
      <c r="L37" s="79" t="b">
        <v>0</v>
      </c>
    </row>
    <row r="38" spans="1:12" ht="15">
      <c r="A38" s="85" t="s">
        <v>1730</v>
      </c>
      <c r="B38" s="84" t="s">
        <v>1763</v>
      </c>
      <c r="C38" s="79">
        <v>9</v>
      </c>
      <c r="D38" s="109">
        <v>0.003853781840742168</v>
      </c>
      <c r="E38" s="109">
        <v>2.221337514146016</v>
      </c>
      <c r="F38" s="79" t="s">
        <v>2085</v>
      </c>
      <c r="G38" s="79" t="b">
        <v>0</v>
      </c>
      <c r="H38" s="79" t="b">
        <v>0</v>
      </c>
      <c r="I38" s="79" t="b">
        <v>0</v>
      </c>
      <c r="J38" s="79" t="b">
        <v>0</v>
      </c>
      <c r="K38" s="79" t="b">
        <v>0</v>
      </c>
      <c r="L38" s="79" t="b">
        <v>0</v>
      </c>
    </row>
    <row r="39" spans="1:12" ht="15">
      <c r="A39" s="85" t="s">
        <v>1752</v>
      </c>
      <c r="B39" s="84" t="s">
        <v>1703</v>
      </c>
      <c r="C39" s="79">
        <v>8</v>
      </c>
      <c r="D39" s="109">
        <v>0.003561808951506408</v>
      </c>
      <c r="E39" s="109">
        <v>1.129567140790371</v>
      </c>
      <c r="F39" s="79" t="s">
        <v>2085</v>
      </c>
      <c r="G39" s="79" t="b">
        <v>0</v>
      </c>
      <c r="H39" s="79" t="b">
        <v>0</v>
      </c>
      <c r="I39" s="79" t="b">
        <v>0</v>
      </c>
      <c r="J39" s="79" t="b">
        <v>0</v>
      </c>
      <c r="K39" s="79" t="b">
        <v>0</v>
      </c>
      <c r="L39" s="79" t="b">
        <v>0</v>
      </c>
    </row>
    <row r="40" spans="1:12" ht="15">
      <c r="A40" s="85" t="s">
        <v>1767</v>
      </c>
      <c r="B40" s="84" t="s">
        <v>1732</v>
      </c>
      <c r="C40" s="79">
        <v>8</v>
      </c>
      <c r="D40" s="109">
        <v>0.003561808951506408</v>
      </c>
      <c r="E40" s="109">
        <v>2.221337514146016</v>
      </c>
      <c r="F40" s="79" t="s">
        <v>2085</v>
      </c>
      <c r="G40" s="79" t="b">
        <v>0</v>
      </c>
      <c r="H40" s="79" t="b">
        <v>0</v>
      </c>
      <c r="I40" s="79" t="b">
        <v>0</v>
      </c>
      <c r="J40" s="79" t="b">
        <v>0</v>
      </c>
      <c r="K40" s="79" t="b">
        <v>0</v>
      </c>
      <c r="L40" s="79" t="b">
        <v>0</v>
      </c>
    </row>
    <row r="41" spans="1:12" ht="15">
      <c r="A41" s="85" t="s">
        <v>1729</v>
      </c>
      <c r="B41" s="84" t="s">
        <v>1771</v>
      </c>
      <c r="C41" s="79">
        <v>8</v>
      </c>
      <c r="D41" s="109">
        <v>0.003561808951506408</v>
      </c>
      <c r="E41" s="109">
        <v>2.196513930420984</v>
      </c>
      <c r="F41" s="79" t="s">
        <v>2085</v>
      </c>
      <c r="G41" s="79" t="b">
        <v>0</v>
      </c>
      <c r="H41" s="79" t="b">
        <v>0</v>
      </c>
      <c r="I41" s="79" t="b">
        <v>0</v>
      </c>
      <c r="J41" s="79" t="b">
        <v>0</v>
      </c>
      <c r="K41" s="79" t="b">
        <v>0</v>
      </c>
      <c r="L41" s="79" t="b">
        <v>0</v>
      </c>
    </row>
    <row r="42" spans="1:12" ht="15">
      <c r="A42" s="85" t="s">
        <v>1771</v>
      </c>
      <c r="B42" s="84" t="s">
        <v>1726</v>
      </c>
      <c r="C42" s="79">
        <v>8</v>
      </c>
      <c r="D42" s="109">
        <v>0.003561808951506408</v>
      </c>
      <c r="E42" s="109">
        <v>2.129567140790371</v>
      </c>
      <c r="F42" s="79" t="s">
        <v>2085</v>
      </c>
      <c r="G42" s="79" t="b">
        <v>0</v>
      </c>
      <c r="H42" s="79" t="b">
        <v>0</v>
      </c>
      <c r="I42" s="79" t="b">
        <v>0</v>
      </c>
      <c r="J42" s="79" t="b">
        <v>0</v>
      </c>
      <c r="K42" s="79" t="b">
        <v>0</v>
      </c>
      <c r="L42" s="79" t="b">
        <v>0</v>
      </c>
    </row>
    <row r="43" spans="1:12" ht="15">
      <c r="A43" s="85" t="s">
        <v>1726</v>
      </c>
      <c r="B43" s="84" t="s">
        <v>1772</v>
      </c>
      <c r="C43" s="79">
        <v>8</v>
      </c>
      <c r="D43" s="109">
        <v>0.003561808951506408</v>
      </c>
      <c r="E43" s="109">
        <v>2.129567140790371</v>
      </c>
      <c r="F43" s="79" t="s">
        <v>2085</v>
      </c>
      <c r="G43" s="79" t="b">
        <v>0</v>
      </c>
      <c r="H43" s="79" t="b">
        <v>0</v>
      </c>
      <c r="I43" s="79" t="b">
        <v>0</v>
      </c>
      <c r="J43" s="79" t="b">
        <v>0</v>
      </c>
      <c r="K43" s="79" t="b">
        <v>0</v>
      </c>
      <c r="L43" s="79" t="b">
        <v>0</v>
      </c>
    </row>
    <row r="44" spans="1:12" ht="15">
      <c r="A44" s="85" t="s">
        <v>1772</v>
      </c>
      <c r="B44" s="84" t="s">
        <v>1735</v>
      </c>
      <c r="C44" s="79">
        <v>8</v>
      </c>
      <c r="D44" s="109">
        <v>0.003561808951506408</v>
      </c>
      <c r="E44" s="109">
        <v>2.2476664528683656</v>
      </c>
      <c r="F44" s="79" t="s">
        <v>2085</v>
      </c>
      <c r="G44" s="79" t="b">
        <v>0</v>
      </c>
      <c r="H44" s="79" t="b">
        <v>0</v>
      </c>
      <c r="I44" s="79" t="b">
        <v>0</v>
      </c>
      <c r="J44" s="79" t="b">
        <v>0</v>
      </c>
      <c r="K44" s="79" t="b">
        <v>0</v>
      </c>
      <c r="L44" s="79" t="b">
        <v>0</v>
      </c>
    </row>
    <row r="45" spans="1:12" ht="15">
      <c r="A45" s="85" t="s">
        <v>1735</v>
      </c>
      <c r="B45" s="84" t="s">
        <v>1773</v>
      </c>
      <c r="C45" s="79">
        <v>8</v>
      </c>
      <c r="D45" s="109">
        <v>0.003561808951506408</v>
      </c>
      <c r="E45" s="109">
        <v>2.2476664528683656</v>
      </c>
      <c r="F45" s="79" t="s">
        <v>2085</v>
      </c>
      <c r="G45" s="79" t="b">
        <v>0</v>
      </c>
      <c r="H45" s="79" t="b">
        <v>0</v>
      </c>
      <c r="I45" s="79" t="b">
        <v>0</v>
      </c>
      <c r="J45" s="79" t="b">
        <v>0</v>
      </c>
      <c r="K45" s="79" t="b">
        <v>0</v>
      </c>
      <c r="L45" s="79" t="b">
        <v>0</v>
      </c>
    </row>
    <row r="46" spans="1:12" ht="15">
      <c r="A46" s="85" t="s">
        <v>1773</v>
      </c>
      <c r="B46" s="84" t="s">
        <v>1774</v>
      </c>
      <c r="C46" s="79">
        <v>8</v>
      </c>
      <c r="D46" s="109">
        <v>0.003561808951506408</v>
      </c>
      <c r="E46" s="109">
        <v>2.5486964485323464</v>
      </c>
      <c r="F46" s="79" t="s">
        <v>2085</v>
      </c>
      <c r="G46" s="79" t="b">
        <v>0</v>
      </c>
      <c r="H46" s="79" t="b">
        <v>0</v>
      </c>
      <c r="I46" s="79" t="b">
        <v>0</v>
      </c>
      <c r="J46" s="79" t="b">
        <v>0</v>
      </c>
      <c r="K46" s="79" t="b">
        <v>0</v>
      </c>
      <c r="L46" s="79" t="b">
        <v>0</v>
      </c>
    </row>
    <row r="47" spans="1:12" ht="15">
      <c r="A47" s="85" t="s">
        <v>1774</v>
      </c>
      <c r="B47" s="84" t="s">
        <v>1748</v>
      </c>
      <c r="C47" s="79">
        <v>8</v>
      </c>
      <c r="D47" s="109">
        <v>0.003561808951506408</v>
      </c>
      <c r="E47" s="109">
        <v>2.3726051894766655</v>
      </c>
      <c r="F47" s="79" t="s">
        <v>2085</v>
      </c>
      <c r="G47" s="79" t="b">
        <v>0</v>
      </c>
      <c r="H47" s="79" t="b">
        <v>0</v>
      </c>
      <c r="I47" s="79" t="b">
        <v>0</v>
      </c>
      <c r="J47" s="79" t="b">
        <v>0</v>
      </c>
      <c r="K47" s="79" t="b">
        <v>0</v>
      </c>
      <c r="L47" s="79" t="b">
        <v>0</v>
      </c>
    </row>
    <row r="48" spans="1:12" ht="15">
      <c r="A48" s="85" t="s">
        <v>1748</v>
      </c>
      <c r="B48" s="84" t="s">
        <v>1757</v>
      </c>
      <c r="C48" s="79">
        <v>8</v>
      </c>
      <c r="D48" s="109">
        <v>0.003561808951506408</v>
      </c>
      <c r="E48" s="109">
        <v>2.275695176468609</v>
      </c>
      <c r="F48" s="79" t="s">
        <v>2085</v>
      </c>
      <c r="G48" s="79" t="b">
        <v>0</v>
      </c>
      <c r="H48" s="79" t="b">
        <v>0</v>
      </c>
      <c r="I48" s="79" t="b">
        <v>0</v>
      </c>
      <c r="J48" s="79" t="b">
        <v>0</v>
      </c>
      <c r="K48" s="79" t="b">
        <v>0</v>
      </c>
      <c r="L48" s="79" t="b">
        <v>0</v>
      </c>
    </row>
    <row r="49" spans="1:12" ht="15">
      <c r="A49" s="85" t="s">
        <v>1757</v>
      </c>
      <c r="B49" s="84" t="s">
        <v>1735</v>
      </c>
      <c r="C49" s="79">
        <v>8</v>
      </c>
      <c r="D49" s="109">
        <v>0.003561808951506408</v>
      </c>
      <c r="E49" s="109">
        <v>2.150756439860309</v>
      </c>
      <c r="F49" s="79" t="s">
        <v>2085</v>
      </c>
      <c r="G49" s="79" t="b">
        <v>0</v>
      </c>
      <c r="H49" s="79" t="b">
        <v>0</v>
      </c>
      <c r="I49" s="79" t="b">
        <v>0</v>
      </c>
      <c r="J49" s="79" t="b">
        <v>0</v>
      </c>
      <c r="K49" s="79" t="b">
        <v>0</v>
      </c>
      <c r="L49" s="79" t="b">
        <v>0</v>
      </c>
    </row>
    <row r="50" spans="1:12" ht="15">
      <c r="A50" s="85" t="s">
        <v>1735</v>
      </c>
      <c r="B50" s="84" t="s">
        <v>1775</v>
      </c>
      <c r="C50" s="79">
        <v>8</v>
      </c>
      <c r="D50" s="109">
        <v>0.003561808951506408</v>
      </c>
      <c r="E50" s="109">
        <v>2.2476664528683656</v>
      </c>
      <c r="F50" s="79" t="s">
        <v>2085</v>
      </c>
      <c r="G50" s="79" t="b">
        <v>0</v>
      </c>
      <c r="H50" s="79" t="b">
        <v>0</v>
      </c>
      <c r="I50" s="79" t="b">
        <v>0</v>
      </c>
      <c r="J50" s="79" t="b">
        <v>0</v>
      </c>
      <c r="K50" s="79" t="b">
        <v>0</v>
      </c>
      <c r="L50" s="79" t="b">
        <v>0</v>
      </c>
    </row>
    <row r="51" spans="1:12" ht="15">
      <c r="A51" s="85" t="s">
        <v>1775</v>
      </c>
      <c r="B51" s="84" t="s">
        <v>1776</v>
      </c>
      <c r="C51" s="79">
        <v>8</v>
      </c>
      <c r="D51" s="109">
        <v>0.003561808951506408</v>
      </c>
      <c r="E51" s="109">
        <v>2.5486964485323464</v>
      </c>
      <c r="F51" s="79" t="s">
        <v>2085</v>
      </c>
      <c r="G51" s="79" t="b">
        <v>0</v>
      </c>
      <c r="H51" s="79" t="b">
        <v>0</v>
      </c>
      <c r="I51" s="79" t="b">
        <v>0</v>
      </c>
      <c r="J51" s="79" t="b">
        <v>0</v>
      </c>
      <c r="K51" s="79" t="b">
        <v>0</v>
      </c>
      <c r="L51" s="79" t="b">
        <v>0</v>
      </c>
    </row>
    <row r="52" spans="1:12" ht="15">
      <c r="A52" s="85" t="s">
        <v>1776</v>
      </c>
      <c r="B52" s="84" t="s">
        <v>268</v>
      </c>
      <c r="C52" s="79">
        <v>8</v>
      </c>
      <c r="D52" s="109">
        <v>0.003561808951506408</v>
      </c>
      <c r="E52" s="109">
        <v>2.5486964485323464</v>
      </c>
      <c r="F52" s="79" t="s">
        <v>2085</v>
      </c>
      <c r="G52" s="79" t="b">
        <v>0</v>
      </c>
      <c r="H52" s="79" t="b">
        <v>0</v>
      </c>
      <c r="I52" s="79" t="b">
        <v>0</v>
      </c>
      <c r="J52" s="79" t="b">
        <v>0</v>
      </c>
      <c r="K52" s="79" t="b">
        <v>0</v>
      </c>
      <c r="L52" s="79" t="b">
        <v>0</v>
      </c>
    </row>
    <row r="53" spans="1:12" ht="15">
      <c r="A53" s="85" t="s">
        <v>268</v>
      </c>
      <c r="B53" s="84" t="s">
        <v>1777</v>
      </c>
      <c r="C53" s="79">
        <v>8</v>
      </c>
      <c r="D53" s="109">
        <v>0.003561808951506408</v>
      </c>
      <c r="E53" s="109">
        <v>2.5486964485323464</v>
      </c>
      <c r="F53" s="79" t="s">
        <v>2085</v>
      </c>
      <c r="G53" s="79" t="b">
        <v>0</v>
      </c>
      <c r="H53" s="79" t="b">
        <v>0</v>
      </c>
      <c r="I53" s="79" t="b">
        <v>0</v>
      </c>
      <c r="J53" s="79" t="b">
        <v>0</v>
      </c>
      <c r="K53" s="79" t="b">
        <v>0</v>
      </c>
      <c r="L53" s="79" t="b">
        <v>0</v>
      </c>
    </row>
    <row r="54" spans="1:12" ht="15">
      <c r="A54" s="85" t="s">
        <v>1777</v>
      </c>
      <c r="B54" s="84" t="s">
        <v>1778</v>
      </c>
      <c r="C54" s="79">
        <v>8</v>
      </c>
      <c r="D54" s="109">
        <v>0.003561808951506408</v>
      </c>
      <c r="E54" s="109">
        <v>2.5486964485323464</v>
      </c>
      <c r="F54" s="79" t="s">
        <v>2085</v>
      </c>
      <c r="G54" s="79" t="b">
        <v>0</v>
      </c>
      <c r="H54" s="79" t="b">
        <v>0</v>
      </c>
      <c r="I54" s="79" t="b">
        <v>0</v>
      </c>
      <c r="J54" s="79" t="b">
        <v>0</v>
      </c>
      <c r="K54" s="79" t="b">
        <v>0</v>
      </c>
      <c r="L54" s="79" t="b">
        <v>0</v>
      </c>
    </row>
    <row r="55" spans="1:12" ht="15">
      <c r="A55" s="85" t="s">
        <v>1778</v>
      </c>
      <c r="B55" s="84" t="s">
        <v>1779</v>
      </c>
      <c r="C55" s="79">
        <v>8</v>
      </c>
      <c r="D55" s="109">
        <v>0.003561808951506408</v>
      </c>
      <c r="E55" s="109">
        <v>2.5486964485323464</v>
      </c>
      <c r="F55" s="79" t="s">
        <v>2085</v>
      </c>
      <c r="G55" s="79" t="b">
        <v>0</v>
      </c>
      <c r="H55" s="79" t="b">
        <v>0</v>
      </c>
      <c r="I55" s="79" t="b">
        <v>0</v>
      </c>
      <c r="J55" s="79" t="b">
        <v>0</v>
      </c>
      <c r="K55" s="79" t="b">
        <v>0</v>
      </c>
      <c r="L55" s="79" t="b">
        <v>0</v>
      </c>
    </row>
    <row r="56" spans="1:12" ht="15">
      <c r="A56" s="85" t="s">
        <v>1779</v>
      </c>
      <c r="B56" s="84" t="s">
        <v>1780</v>
      </c>
      <c r="C56" s="79">
        <v>8</v>
      </c>
      <c r="D56" s="109">
        <v>0.003561808951506408</v>
      </c>
      <c r="E56" s="109">
        <v>2.5486964485323464</v>
      </c>
      <c r="F56" s="79" t="s">
        <v>2085</v>
      </c>
      <c r="G56" s="79" t="b">
        <v>0</v>
      </c>
      <c r="H56" s="79" t="b">
        <v>0</v>
      </c>
      <c r="I56" s="79" t="b">
        <v>0</v>
      </c>
      <c r="J56" s="79" t="b">
        <v>0</v>
      </c>
      <c r="K56" s="79" t="b">
        <v>0</v>
      </c>
      <c r="L56" s="79" t="b">
        <v>0</v>
      </c>
    </row>
    <row r="57" spans="1:12" ht="15">
      <c r="A57" s="85" t="s">
        <v>1780</v>
      </c>
      <c r="B57" s="84" t="s">
        <v>1781</v>
      </c>
      <c r="C57" s="79">
        <v>8</v>
      </c>
      <c r="D57" s="109">
        <v>0.003561808951506408</v>
      </c>
      <c r="E57" s="109">
        <v>2.5486964485323464</v>
      </c>
      <c r="F57" s="79" t="s">
        <v>2085</v>
      </c>
      <c r="G57" s="79" t="b">
        <v>0</v>
      </c>
      <c r="H57" s="79" t="b">
        <v>0</v>
      </c>
      <c r="I57" s="79" t="b">
        <v>0</v>
      </c>
      <c r="J57" s="79" t="b">
        <v>0</v>
      </c>
      <c r="K57" s="79" t="b">
        <v>0</v>
      </c>
      <c r="L57" s="79" t="b">
        <v>0</v>
      </c>
    </row>
    <row r="58" spans="1:12" ht="15">
      <c r="A58" s="85" t="s">
        <v>1781</v>
      </c>
      <c r="B58" s="84" t="s">
        <v>1747</v>
      </c>
      <c r="C58" s="79">
        <v>8</v>
      </c>
      <c r="D58" s="109">
        <v>0.003561808951506408</v>
      </c>
      <c r="E58" s="109">
        <v>2.45178643552429</v>
      </c>
      <c r="F58" s="79" t="s">
        <v>2085</v>
      </c>
      <c r="G58" s="79" t="b">
        <v>0</v>
      </c>
      <c r="H58" s="79" t="b">
        <v>0</v>
      </c>
      <c r="I58" s="79" t="b">
        <v>0</v>
      </c>
      <c r="J58" s="79" t="b">
        <v>0</v>
      </c>
      <c r="K58" s="79" t="b">
        <v>0</v>
      </c>
      <c r="L58" s="79" t="b">
        <v>0</v>
      </c>
    </row>
    <row r="59" spans="1:12" ht="15">
      <c r="A59" s="85" t="s">
        <v>1733</v>
      </c>
      <c r="B59" s="84" t="s">
        <v>1703</v>
      </c>
      <c r="C59" s="79">
        <v>8</v>
      </c>
      <c r="D59" s="109">
        <v>0.003561808951506408</v>
      </c>
      <c r="E59" s="109">
        <v>1.0503858947427462</v>
      </c>
      <c r="F59" s="79" t="s">
        <v>2085</v>
      </c>
      <c r="G59" s="79" t="b">
        <v>0</v>
      </c>
      <c r="H59" s="79" t="b">
        <v>0</v>
      </c>
      <c r="I59" s="79" t="b">
        <v>0</v>
      </c>
      <c r="J59" s="79" t="b">
        <v>0</v>
      </c>
      <c r="K59" s="79" t="b">
        <v>0</v>
      </c>
      <c r="L59" s="79" t="b">
        <v>0</v>
      </c>
    </row>
    <row r="60" spans="1:12" ht="15">
      <c r="A60" s="85" t="s">
        <v>1764</v>
      </c>
      <c r="B60" s="84" t="s">
        <v>1765</v>
      </c>
      <c r="C60" s="79">
        <v>7</v>
      </c>
      <c r="D60" s="109">
        <v>0.0032517171963643145</v>
      </c>
      <c r="E60" s="109">
        <v>2.49070450155466</v>
      </c>
      <c r="F60" s="79" t="s">
        <v>2085</v>
      </c>
      <c r="G60" s="79" t="b">
        <v>0</v>
      </c>
      <c r="H60" s="79" t="b">
        <v>0</v>
      </c>
      <c r="I60" s="79" t="b">
        <v>0</v>
      </c>
      <c r="J60" s="79" t="b">
        <v>0</v>
      </c>
      <c r="K60" s="79" t="b">
        <v>0</v>
      </c>
      <c r="L60" s="79" t="b">
        <v>0</v>
      </c>
    </row>
    <row r="61" spans="1:12" ht="15">
      <c r="A61" s="85" t="s">
        <v>368</v>
      </c>
      <c r="B61" s="84" t="s">
        <v>1784</v>
      </c>
      <c r="C61" s="79">
        <v>7</v>
      </c>
      <c r="D61" s="109">
        <v>0.0032517171963643145</v>
      </c>
      <c r="E61" s="109">
        <v>2.0538464268522527</v>
      </c>
      <c r="F61" s="79" t="s">
        <v>2085</v>
      </c>
      <c r="G61" s="79" t="b">
        <v>0</v>
      </c>
      <c r="H61" s="79" t="b">
        <v>0</v>
      </c>
      <c r="I61" s="79" t="b">
        <v>0</v>
      </c>
      <c r="J61" s="79" t="b">
        <v>0</v>
      </c>
      <c r="K61" s="79" t="b">
        <v>0</v>
      </c>
      <c r="L61" s="79" t="b">
        <v>0</v>
      </c>
    </row>
    <row r="62" spans="1:12" ht="15">
      <c r="A62" s="85" t="s">
        <v>1784</v>
      </c>
      <c r="B62" s="84" t="s">
        <v>1734</v>
      </c>
      <c r="C62" s="79">
        <v>7</v>
      </c>
      <c r="D62" s="109">
        <v>0.0032517171963643145</v>
      </c>
      <c r="E62" s="109">
        <v>2.2476664528683656</v>
      </c>
      <c r="F62" s="79" t="s">
        <v>2085</v>
      </c>
      <c r="G62" s="79" t="b">
        <v>0</v>
      </c>
      <c r="H62" s="79" t="b">
        <v>0</v>
      </c>
      <c r="I62" s="79" t="b">
        <v>0</v>
      </c>
      <c r="J62" s="79" t="b">
        <v>0</v>
      </c>
      <c r="K62" s="79" t="b">
        <v>0</v>
      </c>
      <c r="L62" s="79" t="b">
        <v>0</v>
      </c>
    </row>
    <row r="63" spans="1:12" ht="15">
      <c r="A63" s="85" t="s">
        <v>1734</v>
      </c>
      <c r="B63" s="84" t="s">
        <v>1785</v>
      </c>
      <c r="C63" s="79">
        <v>7</v>
      </c>
      <c r="D63" s="109">
        <v>0.0032517171963643145</v>
      </c>
      <c r="E63" s="109">
        <v>2.2476664528683656</v>
      </c>
      <c r="F63" s="79" t="s">
        <v>2085</v>
      </c>
      <c r="G63" s="79" t="b">
        <v>0</v>
      </c>
      <c r="H63" s="79" t="b">
        <v>0</v>
      </c>
      <c r="I63" s="79" t="b">
        <v>0</v>
      </c>
      <c r="J63" s="79" t="b">
        <v>0</v>
      </c>
      <c r="K63" s="79" t="b">
        <v>0</v>
      </c>
      <c r="L63" s="79" t="b">
        <v>0</v>
      </c>
    </row>
    <row r="64" spans="1:12" ht="15">
      <c r="A64" s="85" t="s">
        <v>1785</v>
      </c>
      <c r="B64" s="84" t="s">
        <v>1754</v>
      </c>
      <c r="C64" s="79">
        <v>7</v>
      </c>
      <c r="D64" s="109">
        <v>0.0032517171963643145</v>
      </c>
      <c r="E64" s="109">
        <v>2.6066883955100333</v>
      </c>
      <c r="F64" s="79" t="s">
        <v>2085</v>
      </c>
      <c r="G64" s="79" t="b">
        <v>0</v>
      </c>
      <c r="H64" s="79" t="b">
        <v>0</v>
      </c>
      <c r="I64" s="79" t="b">
        <v>0</v>
      </c>
      <c r="J64" s="79" t="b">
        <v>0</v>
      </c>
      <c r="K64" s="79" t="b">
        <v>0</v>
      </c>
      <c r="L64" s="79" t="b">
        <v>0</v>
      </c>
    </row>
    <row r="65" spans="1:12" ht="15">
      <c r="A65" s="85" t="s">
        <v>1724</v>
      </c>
      <c r="B65" s="84" t="s">
        <v>1786</v>
      </c>
      <c r="C65" s="79">
        <v>7</v>
      </c>
      <c r="D65" s="109">
        <v>0.0032517171963643145</v>
      </c>
      <c r="E65" s="109">
        <v>1.9604247416900176</v>
      </c>
      <c r="F65" s="79" t="s">
        <v>2085</v>
      </c>
      <c r="G65" s="79" t="b">
        <v>0</v>
      </c>
      <c r="H65" s="79" t="b">
        <v>0</v>
      </c>
      <c r="I65" s="79" t="b">
        <v>0</v>
      </c>
      <c r="J65" s="79" t="b">
        <v>0</v>
      </c>
      <c r="K65" s="79" t="b">
        <v>0</v>
      </c>
      <c r="L65" s="79" t="b">
        <v>0</v>
      </c>
    </row>
    <row r="66" spans="1:12" ht="15">
      <c r="A66" s="85" t="s">
        <v>1786</v>
      </c>
      <c r="B66" s="84" t="s">
        <v>1725</v>
      </c>
      <c r="C66" s="79">
        <v>7</v>
      </c>
      <c r="D66" s="109">
        <v>0.0032517171963643145</v>
      </c>
      <c r="E66" s="109">
        <v>2.0368130875534725</v>
      </c>
      <c r="F66" s="79" t="s">
        <v>2085</v>
      </c>
      <c r="G66" s="79" t="b">
        <v>0</v>
      </c>
      <c r="H66" s="79" t="b">
        <v>0</v>
      </c>
      <c r="I66" s="79" t="b">
        <v>0</v>
      </c>
      <c r="J66" s="79" t="b">
        <v>0</v>
      </c>
      <c r="K66" s="79" t="b">
        <v>0</v>
      </c>
      <c r="L66" s="79" t="b">
        <v>0</v>
      </c>
    </row>
    <row r="67" spans="1:12" ht="15">
      <c r="A67" s="85" t="s">
        <v>1725</v>
      </c>
      <c r="B67" s="84" t="s">
        <v>1787</v>
      </c>
      <c r="C67" s="79">
        <v>7</v>
      </c>
      <c r="D67" s="109">
        <v>0.0032517171963643145</v>
      </c>
      <c r="E67" s="109">
        <v>2.0368130875534725</v>
      </c>
      <c r="F67" s="79" t="s">
        <v>2085</v>
      </c>
      <c r="G67" s="79" t="b">
        <v>0</v>
      </c>
      <c r="H67" s="79" t="b">
        <v>0</v>
      </c>
      <c r="I67" s="79" t="b">
        <v>0</v>
      </c>
      <c r="J67" s="79" t="b">
        <v>0</v>
      </c>
      <c r="K67" s="79" t="b">
        <v>0</v>
      </c>
      <c r="L67" s="79" t="b">
        <v>0</v>
      </c>
    </row>
    <row r="68" spans="1:12" ht="15">
      <c r="A68" s="85" t="s">
        <v>1787</v>
      </c>
      <c r="B68" s="84" t="s">
        <v>1703</v>
      </c>
      <c r="C68" s="79">
        <v>7</v>
      </c>
      <c r="D68" s="109">
        <v>0.0032517171963643145</v>
      </c>
      <c r="E68" s="109">
        <v>1.2264771537984274</v>
      </c>
      <c r="F68" s="79" t="s">
        <v>2085</v>
      </c>
      <c r="G68" s="79" t="b">
        <v>0</v>
      </c>
      <c r="H68" s="79" t="b">
        <v>0</v>
      </c>
      <c r="I68" s="79" t="b">
        <v>0</v>
      </c>
      <c r="J68" s="79" t="b">
        <v>0</v>
      </c>
      <c r="K68" s="79" t="b">
        <v>0</v>
      </c>
      <c r="L68" s="79" t="b">
        <v>0</v>
      </c>
    </row>
    <row r="69" spans="1:12" ht="15">
      <c r="A69" s="85" t="s">
        <v>1703</v>
      </c>
      <c r="B69" s="84" t="s">
        <v>1788</v>
      </c>
      <c r="C69" s="79">
        <v>7</v>
      </c>
      <c r="D69" s="109">
        <v>0.0032517171963643145</v>
      </c>
      <c r="E69" s="109">
        <v>1.5172879842807225</v>
      </c>
      <c r="F69" s="79" t="s">
        <v>2085</v>
      </c>
      <c r="G69" s="79" t="b">
        <v>0</v>
      </c>
      <c r="H69" s="79" t="b">
        <v>0</v>
      </c>
      <c r="I69" s="79" t="b">
        <v>0</v>
      </c>
      <c r="J69" s="79" t="b">
        <v>0</v>
      </c>
      <c r="K69" s="79" t="b">
        <v>0</v>
      </c>
      <c r="L69" s="79" t="b">
        <v>0</v>
      </c>
    </row>
    <row r="70" spans="1:12" ht="15">
      <c r="A70" s="85" t="s">
        <v>1788</v>
      </c>
      <c r="B70" s="84" t="s">
        <v>1732</v>
      </c>
      <c r="C70" s="79">
        <v>7</v>
      </c>
      <c r="D70" s="109">
        <v>0.0032517171963643145</v>
      </c>
      <c r="E70" s="109">
        <v>2.221337514146016</v>
      </c>
      <c r="F70" s="79" t="s">
        <v>2085</v>
      </c>
      <c r="G70" s="79" t="b">
        <v>0</v>
      </c>
      <c r="H70" s="79" t="b">
        <v>0</v>
      </c>
      <c r="I70" s="79" t="b">
        <v>0</v>
      </c>
      <c r="J70" s="79" t="b">
        <v>0</v>
      </c>
      <c r="K70" s="79" t="b">
        <v>0</v>
      </c>
      <c r="L70" s="79" t="b">
        <v>0</v>
      </c>
    </row>
    <row r="71" spans="1:12" ht="15">
      <c r="A71" s="85" t="s">
        <v>1732</v>
      </c>
      <c r="B71" s="84" t="s">
        <v>1789</v>
      </c>
      <c r="C71" s="79">
        <v>7</v>
      </c>
      <c r="D71" s="109">
        <v>0.0032517171963643145</v>
      </c>
      <c r="E71" s="109">
        <v>2.221337514146016</v>
      </c>
      <c r="F71" s="79" t="s">
        <v>2085</v>
      </c>
      <c r="G71" s="79" t="b">
        <v>0</v>
      </c>
      <c r="H71" s="79" t="b">
        <v>0</v>
      </c>
      <c r="I71" s="79" t="b">
        <v>0</v>
      </c>
      <c r="J71" s="79" t="b">
        <v>0</v>
      </c>
      <c r="K71" s="79" t="b">
        <v>0</v>
      </c>
      <c r="L71" s="79" t="b">
        <v>0</v>
      </c>
    </row>
    <row r="72" spans="1:12" ht="15">
      <c r="A72" s="85" t="s">
        <v>1789</v>
      </c>
      <c r="B72" s="84" t="s">
        <v>1767</v>
      </c>
      <c r="C72" s="79">
        <v>7</v>
      </c>
      <c r="D72" s="109">
        <v>0.0032517171963643145</v>
      </c>
      <c r="E72" s="109">
        <v>2.5486964485323464</v>
      </c>
      <c r="F72" s="79" t="s">
        <v>2085</v>
      </c>
      <c r="G72" s="79" t="b">
        <v>0</v>
      </c>
      <c r="H72" s="79" t="b">
        <v>0</v>
      </c>
      <c r="I72" s="79" t="b">
        <v>0</v>
      </c>
      <c r="J72" s="79" t="b">
        <v>0</v>
      </c>
      <c r="K72" s="79" t="b">
        <v>0</v>
      </c>
      <c r="L72" s="79" t="b">
        <v>0</v>
      </c>
    </row>
    <row r="73" spans="1:12" ht="15">
      <c r="A73" s="85" t="s">
        <v>1732</v>
      </c>
      <c r="B73" s="84" t="s">
        <v>1790</v>
      </c>
      <c r="C73" s="79">
        <v>7</v>
      </c>
      <c r="D73" s="109">
        <v>0.0032517171963643145</v>
      </c>
      <c r="E73" s="109">
        <v>2.221337514146016</v>
      </c>
      <c r="F73" s="79" t="s">
        <v>2085</v>
      </c>
      <c r="G73" s="79" t="b">
        <v>0</v>
      </c>
      <c r="H73" s="79" t="b">
        <v>0</v>
      </c>
      <c r="I73" s="79" t="b">
        <v>0</v>
      </c>
      <c r="J73" s="79" t="b">
        <v>0</v>
      </c>
      <c r="K73" s="79" t="b">
        <v>0</v>
      </c>
      <c r="L73" s="79" t="b">
        <v>0</v>
      </c>
    </row>
    <row r="74" spans="1:12" ht="15">
      <c r="A74" s="85" t="s">
        <v>1790</v>
      </c>
      <c r="B74" s="84" t="s">
        <v>1705</v>
      </c>
      <c r="C74" s="79">
        <v>7</v>
      </c>
      <c r="D74" s="109">
        <v>0.0032517171963643145</v>
      </c>
      <c r="E74" s="109">
        <v>1.7528164311882715</v>
      </c>
      <c r="F74" s="79" t="s">
        <v>2085</v>
      </c>
      <c r="G74" s="79" t="b">
        <v>0</v>
      </c>
      <c r="H74" s="79" t="b">
        <v>0</v>
      </c>
      <c r="I74" s="79" t="b">
        <v>0</v>
      </c>
      <c r="J74" s="79" t="b">
        <v>0</v>
      </c>
      <c r="K74" s="79" t="b">
        <v>0</v>
      </c>
      <c r="L74" s="79" t="b">
        <v>0</v>
      </c>
    </row>
    <row r="75" spans="1:12" ht="15">
      <c r="A75" s="85" t="s">
        <v>1705</v>
      </c>
      <c r="B75" s="84" t="s">
        <v>1760</v>
      </c>
      <c r="C75" s="79">
        <v>7</v>
      </c>
      <c r="D75" s="109">
        <v>0.0032517171963643145</v>
      </c>
      <c r="E75" s="109">
        <v>1.6436719617632034</v>
      </c>
      <c r="F75" s="79" t="s">
        <v>2085</v>
      </c>
      <c r="G75" s="79" t="b">
        <v>0</v>
      </c>
      <c r="H75" s="79" t="b">
        <v>0</v>
      </c>
      <c r="I75" s="79" t="b">
        <v>0</v>
      </c>
      <c r="J75" s="79" t="b">
        <v>0</v>
      </c>
      <c r="K75" s="79" t="b">
        <v>0</v>
      </c>
      <c r="L75" s="79" t="b">
        <v>0</v>
      </c>
    </row>
    <row r="76" spans="1:12" ht="15">
      <c r="A76" s="85" t="s">
        <v>1760</v>
      </c>
      <c r="B76" s="84" t="s">
        <v>1758</v>
      </c>
      <c r="C76" s="79">
        <v>7</v>
      </c>
      <c r="D76" s="109">
        <v>0.0032517171963643145</v>
      </c>
      <c r="E76" s="109">
        <v>2.4975439260849654</v>
      </c>
      <c r="F76" s="79" t="s">
        <v>2085</v>
      </c>
      <c r="G76" s="79" t="b">
        <v>0</v>
      </c>
      <c r="H76" s="79" t="b">
        <v>0</v>
      </c>
      <c r="I76" s="79" t="b">
        <v>0</v>
      </c>
      <c r="J76" s="79" t="b">
        <v>0</v>
      </c>
      <c r="K76" s="79" t="b">
        <v>0</v>
      </c>
      <c r="L76" s="79" t="b">
        <v>0</v>
      </c>
    </row>
    <row r="77" spans="1:12" ht="15">
      <c r="A77" s="85" t="s">
        <v>1795</v>
      </c>
      <c r="B77" s="84" t="s">
        <v>219</v>
      </c>
      <c r="C77" s="79">
        <v>7</v>
      </c>
      <c r="D77" s="109">
        <v>0.0032517171963643145</v>
      </c>
      <c r="E77" s="109">
        <v>2.6066883955100333</v>
      </c>
      <c r="F77" s="79" t="s">
        <v>2085</v>
      </c>
      <c r="G77" s="79" t="b">
        <v>0</v>
      </c>
      <c r="H77" s="79" t="b">
        <v>0</v>
      </c>
      <c r="I77" s="79" t="b">
        <v>0</v>
      </c>
      <c r="J77" s="79" t="b">
        <v>0</v>
      </c>
      <c r="K77" s="79" t="b">
        <v>0</v>
      </c>
      <c r="L77" s="79" t="b">
        <v>0</v>
      </c>
    </row>
    <row r="78" spans="1:12" ht="15">
      <c r="A78" s="85" t="s">
        <v>219</v>
      </c>
      <c r="B78" s="84" t="s">
        <v>1796</v>
      </c>
      <c r="C78" s="79">
        <v>7</v>
      </c>
      <c r="D78" s="109">
        <v>0.0032517171963643145</v>
      </c>
      <c r="E78" s="109">
        <v>2.6066883955100333</v>
      </c>
      <c r="F78" s="79" t="s">
        <v>2085</v>
      </c>
      <c r="G78" s="79" t="b">
        <v>0</v>
      </c>
      <c r="H78" s="79" t="b">
        <v>0</v>
      </c>
      <c r="I78" s="79" t="b">
        <v>0</v>
      </c>
      <c r="J78" s="79" t="b">
        <v>0</v>
      </c>
      <c r="K78" s="79" t="b">
        <v>0</v>
      </c>
      <c r="L78" s="79" t="b">
        <v>0</v>
      </c>
    </row>
    <row r="79" spans="1:12" ht="15">
      <c r="A79" s="85" t="s">
        <v>1796</v>
      </c>
      <c r="B79" s="84" t="s">
        <v>1797</v>
      </c>
      <c r="C79" s="79">
        <v>7</v>
      </c>
      <c r="D79" s="109">
        <v>0.0032517171963643145</v>
      </c>
      <c r="E79" s="109">
        <v>2.6066883955100333</v>
      </c>
      <c r="F79" s="79" t="s">
        <v>2085</v>
      </c>
      <c r="G79" s="79" t="b">
        <v>0</v>
      </c>
      <c r="H79" s="79" t="b">
        <v>0</v>
      </c>
      <c r="I79" s="79" t="b">
        <v>0</v>
      </c>
      <c r="J79" s="79" t="b">
        <v>0</v>
      </c>
      <c r="K79" s="79" t="b">
        <v>0</v>
      </c>
      <c r="L79" s="79" t="b">
        <v>0</v>
      </c>
    </row>
    <row r="80" spans="1:12" ht="15">
      <c r="A80" s="85" t="s">
        <v>1797</v>
      </c>
      <c r="B80" s="84" t="s">
        <v>1798</v>
      </c>
      <c r="C80" s="79">
        <v>7</v>
      </c>
      <c r="D80" s="109">
        <v>0.0032517171963643145</v>
      </c>
      <c r="E80" s="109">
        <v>2.6066883955100333</v>
      </c>
      <c r="F80" s="79" t="s">
        <v>2085</v>
      </c>
      <c r="G80" s="79" t="b">
        <v>0</v>
      </c>
      <c r="H80" s="79" t="b">
        <v>0</v>
      </c>
      <c r="I80" s="79" t="b">
        <v>0</v>
      </c>
      <c r="J80" s="79" t="b">
        <v>0</v>
      </c>
      <c r="K80" s="79" t="b">
        <v>0</v>
      </c>
      <c r="L80" s="79" t="b">
        <v>0</v>
      </c>
    </row>
    <row r="81" spans="1:12" ht="15">
      <c r="A81" s="85" t="s">
        <v>1798</v>
      </c>
      <c r="B81" s="84" t="s">
        <v>1799</v>
      </c>
      <c r="C81" s="79">
        <v>7</v>
      </c>
      <c r="D81" s="109">
        <v>0.0032517171963643145</v>
      </c>
      <c r="E81" s="109">
        <v>2.6066883955100333</v>
      </c>
      <c r="F81" s="79" t="s">
        <v>2085</v>
      </c>
      <c r="G81" s="79" t="b">
        <v>0</v>
      </c>
      <c r="H81" s="79" t="b">
        <v>0</v>
      </c>
      <c r="I81" s="79" t="b">
        <v>0</v>
      </c>
      <c r="J81" s="79" t="b">
        <v>0</v>
      </c>
      <c r="K81" s="79" t="b">
        <v>0</v>
      </c>
      <c r="L81" s="79" t="b">
        <v>0</v>
      </c>
    </row>
    <row r="82" spans="1:12" ht="15">
      <c r="A82" s="85" t="s">
        <v>1799</v>
      </c>
      <c r="B82" s="84" t="s">
        <v>1800</v>
      </c>
      <c r="C82" s="79">
        <v>7</v>
      </c>
      <c r="D82" s="109">
        <v>0.0032517171963643145</v>
      </c>
      <c r="E82" s="109">
        <v>2.6066883955100333</v>
      </c>
      <c r="F82" s="79" t="s">
        <v>2085</v>
      </c>
      <c r="G82" s="79" t="b">
        <v>0</v>
      </c>
      <c r="H82" s="79" t="b">
        <v>0</v>
      </c>
      <c r="I82" s="79" t="b">
        <v>0</v>
      </c>
      <c r="J82" s="79" t="b">
        <v>0</v>
      </c>
      <c r="K82" s="79" t="b">
        <v>0</v>
      </c>
      <c r="L82" s="79" t="b">
        <v>0</v>
      </c>
    </row>
    <row r="83" spans="1:12" ht="15">
      <c r="A83" s="85" t="s">
        <v>1800</v>
      </c>
      <c r="B83" s="84" t="s">
        <v>220</v>
      </c>
      <c r="C83" s="79">
        <v>7</v>
      </c>
      <c r="D83" s="109">
        <v>0.0032517171963643145</v>
      </c>
      <c r="E83" s="109">
        <v>2.6066883955100333</v>
      </c>
      <c r="F83" s="79" t="s">
        <v>2085</v>
      </c>
      <c r="G83" s="79" t="b">
        <v>0</v>
      </c>
      <c r="H83" s="79" t="b">
        <v>0</v>
      </c>
      <c r="I83" s="79" t="b">
        <v>0</v>
      </c>
      <c r="J83" s="79" t="b">
        <v>0</v>
      </c>
      <c r="K83" s="79" t="b">
        <v>0</v>
      </c>
      <c r="L83" s="79" t="b">
        <v>0</v>
      </c>
    </row>
    <row r="84" spans="1:12" ht="15">
      <c r="A84" s="85" t="s">
        <v>220</v>
      </c>
      <c r="B84" s="84" t="s">
        <v>358</v>
      </c>
      <c r="C84" s="79">
        <v>7</v>
      </c>
      <c r="D84" s="109">
        <v>0.0032517171963643145</v>
      </c>
      <c r="E84" s="109">
        <v>2.6066883955100333</v>
      </c>
      <c r="F84" s="79" t="s">
        <v>2085</v>
      </c>
      <c r="G84" s="79" t="b">
        <v>0</v>
      </c>
      <c r="H84" s="79" t="b">
        <v>0</v>
      </c>
      <c r="I84" s="79" t="b">
        <v>0</v>
      </c>
      <c r="J84" s="79" t="b">
        <v>0</v>
      </c>
      <c r="K84" s="79" t="b">
        <v>0</v>
      </c>
      <c r="L84" s="79" t="b">
        <v>0</v>
      </c>
    </row>
    <row r="85" spans="1:12" ht="15">
      <c r="A85" s="85" t="s">
        <v>358</v>
      </c>
      <c r="B85" s="84" t="s">
        <v>221</v>
      </c>
      <c r="C85" s="79">
        <v>7</v>
      </c>
      <c r="D85" s="109">
        <v>0.0032517171963643145</v>
      </c>
      <c r="E85" s="109">
        <v>2.6066883955100333</v>
      </c>
      <c r="F85" s="79" t="s">
        <v>2085</v>
      </c>
      <c r="G85" s="79" t="b">
        <v>0</v>
      </c>
      <c r="H85" s="79" t="b">
        <v>0</v>
      </c>
      <c r="I85" s="79" t="b">
        <v>0</v>
      </c>
      <c r="J85" s="79" t="b">
        <v>0</v>
      </c>
      <c r="K85" s="79" t="b">
        <v>0</v>
      </c>
      <c r="L85" s="79" t="b">
        <v>0</v>
      </c>
    </row>
    <row r="86" spans="1:12" ht="15">
      <c r="A86" s="85" t="s">
        <v>221</v>
      </c>
      <c r="B86" s="84" t="s">
        <v>1801</v>
      </c>
      <c r="C86" s="79">
        <v>7</v>
      </c>
      <c r="D86" s="109">
        <v>0.0032517171963643145</v>
      </c>
      <c r="E86" s="109">
        <v>2.6066883955100333</v>
      </c>
      <c r="F86" s="79" t="s">
        <v>2085</v>
      </c>
      <c r="G86" s="79" t="b">
        <v>0</v>
      </c>
      <c r="H86" s="79" t="b">
        <v>0</v>
      </c>
      <c r="I86" s="79" t="b">
        <v>0</v>
      </c>
      <c r="J86" s="79" t="b">
        <v>0</v>
      </c>
      <c r="K86" s="79" t="b">
        <v>0</v>
      </c>
      <c r="L86" s="79" t="b">
        <v>0</v>
      </c>
    </row>
    <row r="87" spans="1:12" ht="15">
      <c r="A87" s="85" t="s">
        <v>1801</v>
      </c>
      <c r="B87" s="84" t="s">
        <v>1802</v>
      </c>
      <c r="C87" s="79">
        <v>7</v>
      </c>
      <c r="D87" s="109">
        <v>0.0032517171963643145</v>
      </c>
      <c r="E87" s="109">
        <v>2.6066883955100333</v>
      </c>
      <c r="F87" s="79" t="s">
        <v>2085</v>
      </c>
      <c r="G87" s="79" t="b">
        <v>0</v>
      </c>
      <c r="H87" s="79" t="b">
        <v>0</v>
      </c>
      <c r="I87" s="79" t="b">
        <v>0</v>
      </c>
      <c r="J87" s="79" t="b">
        <v>0</v>
      </c>
      <c r="K87" s="79" t="b">
        <v>0</v>
      </c>
      <c r="L87" s="79" t="b">
        <v>0</v>
      </c>
    </row>
    <row r="88" spans="1:12" ht="15">
      <c r="A88" s="85" t="s">
        <v>1802</v>
      </c>
      <c r="B88" s="84" t="s">
        <v>1744</v>
      </c>
      <c r="C88" s="79">
        <v>7</v>
      </c>
      <c r="D88" s="109">
        <v>0.0032517171963643145</v>
      </c>
      <c r="E88" s="109">
        <v>2.305658399846052</v>
      </c>
      <c r="F88" s="79" t="s">
        <v>2085</v>
      </c>
      <c r="G88" s="79" t="b">
        <v>0</v>
      </c>
      <c r="H88" s="79" t="b">
        <v>0</v>
      </c>
      <c r="I88" s="79" t="b">
        <v>0</v>
      </c>
      <c r="J88" s="79" t="b">
        <v>0</v>
      </c>
      <c r="K88" s="79" t="b">
        <v>0</v>
      </c>
      <c r="L88" s="79" t="b">
        <v>0</v>
      </c>
    </row>
    <row r="89" spans="1:12" ht="15">
      <c r="A89" s="85" t="s">
        <v>1744</v>
      </c>
      <c r="B89" s="84" t="s">
        <v>1803</v>
      </c>
      <c r="C89" s="79">
        <v>7</v>
      </c>
      <c r="D89" s="109">
        <v>0.0032517171963643145</v>
      </c>
      <c r="E89" s="109">
        <v>2.305658399846052</v>
      </c>
      <c r="F89" s="79" t="s">
        <v>2085</v>
      </c>
      <c r="G89" s="79" t="b">
        <v>0</v>
      </c>
      <c r="H89" s="79" t="b">
        <v>0</v>
      </c>
      <c r="I89" s="79" t="b">
        <v>0</v>
      </c>
      <c r="J89" s="79" t="b">
        <v>0</v>
      </c>
      <c r="K89" s="79" t="b">
        <v>0</v>
      </c>
      <c r="L89" s="79" t="b">
        <v>0</v>
      </c>
    </row>
    <row r="90" spans="1:12" ht="15">
      <c r="A90" s="85" t="s">
        <v>1803</v>
      </c>
      <c r="B90" s="84" t="s">
        <v>1751</v>
      </c>
      <c r="C90" s="79">
        <v>7</v>
      </c>
      <c r="D90" s="109">
        <v>0.0032517171963643145</v>
      </c>
      <c r="E90" s="109">
        <v>2.4103937503660653</v>
      </c>
      <c r="F90" s="79" t="s">
        <v>2085</v>
      </c>
      <c r="G90" s="79" t="b">
        <v>0</v>
      </c>
      <c r="H90" s="79" t="b">
        <v>0</v>
      </c>
      <c r="I90" s="79" t="b">
        <v>0</v>
      </c>
      <c r="J90" s="79" t="b">
        <v>0</v>
      </c>
      <c r="K90" s="79" t="b">
        <v>0</v>
      </c>
      <c r="L90" s="79" t="b">
        <v>0</v>
      </c>
    </row>
    <row r="91" spans="1:12" ht="15">
      <c r="A91" s="85" t="s">
        <v>1751</v>
      </c>
      <c r="B91" s="84" t="s">
        <v>1703</v>
      </c>
      <c r="C91" s="79">
        <v>7</v>
      </c>
      <c r="D91" s="109">
        <v>0.0032517171963643145</v>
      </c>
      <c r="E91" s="109">
        <v>1.0301825086544592</v>
      </c>
      <c r="F91" s="79" t="s">
        <v>2085</v>
      </c>
      <c r="G91" s="79" t="b">
        <v>0</v>
      </c>
      <c r="H91" s="79" t="b">
        <v>0</v>
      </c>
      <c r="I91" s="79" t="b">
        <v>0</v>
      </c>
      <c r="J91" s="79" t="b">
        <v>0</v>
      </c>
      <c r="K91" s="79" t="b">
        <v>0</v>
      </c>
      <c r="L91" s="79" t="b">
        <v>0</v>
      </c>
    </row>
    <row r="92" spans="1:12" ht="15">
      <c r="A92" s="85" t="s">
        <v>1703</v>
      </c>
      <c r="B92" s="84" t="s">
        <v>1744</v>
      </c>
      <c r="C92" s="79">
        <v>7</v>
      </c>
      <c r="D92" s="109">
        <v>0.0032517171963643145</v>
      </c>
      <c r="E92" s="109">
        <v>1.2162579886167413</v>
      </c>
      <c r="F92" s="79" t="s">
        <v>2085</v>
      </c>
      <c r="G92" s="79" t="b">
        <v>0</v>
      </c>
      <c r="H92" s="79" t="b">
        <v>0</v>
      </c>
      <c r="I92" s="79" t="b">
        <v>0</v>
      </c>
      <c r="J92" s="79" t="b">
        <v>0</v>
      </c>
      <c r="K92" s="79" t="b">
        <v>0</v>
      </c>
      <c r="L92" s="79" t="b">
        <v>0</v>
      </c>
    </row>
    <row r="93" spans="1:12" ht="15">
      <c r="A93" s="85" t="s">
        <v>1744</v>
      </c>
      <c r="B93" s="84" t="s">
        <v>1804</v>
      </c>
      <c r="C93" s="79">
        <v>7</v>
      </c>
      <c r="D93" s="109">
        <v>0.0032517171963643145</v>
      </c>
      <c r="E93" s="109">
        <v>2.305658399846052</v>
      </c>
      <c r="F93" s="79" t="s">
        <v>2085</v>
      </c>
      <c r="G93" s="79" t="b">
        <v>0</v>
      </c>
      <c r="H93" s="79" t="b">
        <v>0</v>
      </c>
      <c r="I93" s="79" t="b">
        <v>0</v>
      </c>
      <c r="J93" s="79" t="b">
        <v>0</v>
      </c>
      <c r="K93" s="79" t="b">
        <v>0</v>
      </c>
      <c r="L93" s="79" t="b">
        <v>0</v>
      </c>
    </row>
    <row r="94" spans="1:12" ht="15">
      <c r="A94" s="85" t="s">
        <v>1805</v>
      </c>
      <c r="B94" s="84" t="s">
        <v>1752</v>
      </c>
      <c r="C94" s="79">
        <v>6</v>
      </c>
      <c r="D94" s="109">
        <v>0.0029209014605172225</v>
      </c>
      <c r="E94" s="109">
        <v>2.45178643552429</v>
      </c>
      <c r="F94" s="79" t="s">
        <v>2085</v>
      </c>
      <c r="G94" s="79" t="b">
        <v>0</v>
      </c>
      <c r="H94" s="79" t="b">
        <v>0</v>
      </c>
      <c r="I94" s="79" t="b">
        <v>0</v>
      </c>
      <c r="J94" s="79" t="b">
        <v>0</v>
      </c>
      <c r="K94" s="79" t="b">
        <v>0</v>
      </c>
      <c r="L94" s="79" t="b">
        <v>0</v>
      </c>
    </row>
    <row r="95" spans="1:12" ht="15">
      <c r="A95" s="85" t="s">
        <v>1806</v>
      </c>
      <c r="B95" s="84" t="s">
        <v>1807</v>
      </c>
      <c r="C95" s="79">
        <v>6</v>
      </c>
      <c r="D95" s="109">
        <v>0.0029209014605172225</v>
      </c>
      <c r="E95" s="109">
        <v>2.673635185140647</v>
      </c>
      <c r="F95" s="79" t="s">
        <v>2085</v>
      </c>
      <c r="G95" s="79" t="b">
        <v>0</v>
      </c>
      <c r="H95" s="79" t="b">
        <v>0</v>
      </c>
      <c r="I95" s="79" t="b">
        <v>0</v>
      </c>
      <c r="J95" s="79" t="b">
        <v>0</v>
      </c>
      <c r="K95" s="79" t="b">
        <v>0</v>
      </c>
      <c r="L95" s="79" t="b">
        <v>0</v>
      </c>
    </row>
    <row r="96" spans="1:12" ht="15">
      <c r="A96" s="85" t="s">
        <v>1807</v>
      </c>
      <c r="B96" s="84" t="s">
        <v>1745</v>
      </c>
      <c r="C96" s="79">
        <v>6</v>
      </c>
      <c r="D96" s="109">
        <v>0.0029209014605172225</v>
      </c>
      <c r="E96" s="109">
        <v>2.3378430832174537</v>
      </c>
      <c r="F96" s="79" t="s">
        <v>2085</v>
      </c>
      <c r="G96" s="79" t="b">
        <v>0</v>
      </c>
      <c r="H96" s="79" t="b">
        <v>0</v>
      </c>
      <c r="I96" s="79" t="b">
        <v>0</v>
      </c>
      <c r="J96" s="79" t="b">
        <v>0</v>
      </c>
      <c r="K96" s="79" t="b">
        <v>0</v>
      </c>
      <c r="L96" s="79" t="b">
        <v>0</v>
      </c>
    </row>
    <row r="97" spans="1:12" ht="15">
      <c r="A97" s="85" t="s">
        <v>1745</v>
      </c>
      <c r="B97" s="84" t="s">
        <v>1808</v>
      </c>
      <c r="C97" s="79">
        <v>6</v>
      </c>
      <c r="D97" s="109">
        <v>0.0029209014605172225</v>
      </c>
      <c r="E97" s="109">
        <v>2.3378430832174537</v>
      </c>
      <c r="F97" s="79" t="s">
        <v>2085</v>
      </c>
      <c r="G97" s="79" t="b">
        <v>0</v>
      </c>
      <c r="H97" s="79" t="b">
        <v>0</v>
      </c>
      <c r="I97" s="79" t="b">
        <v>0</v>
      </c>
      <c r="J97" s="79" t="b">
        <v>0</v>
      </c>
      <c r="K97" s="79" t="b">
        <v>0</v>
      </c>
      <c r="L97" s="79" t="b">
        <v>0</v>
      </c>
    </row>
    <row r="98" spans="1:12" ht="15">
      <c r="A98" s="85" t="s">
        <v>1808</v>
      </c>
      <c r="B98" s="84" t="s">
        <v>1809</v>
      </c>
      <c r="C98" s="79">
        <v>6</v>
      </c>
      <c r="D98" s="109">
        <v>0.0029209014605172225</v>
      </c>
      <c r="E98" s="109">
        <v>2.673635185140647</v>
      </c>
      <c r="F98" s="79" t="s">
        <v>2085</v>
      </c>
      <c r="G98" s="79" t="b">
        <v>0</v>
      </c>
      <c r="H98" s="79" t="b">
        <v>0</v>
      </c>
      <c r="I98" s="79" t="b">
        <v>0</v>
      </c>
      <c r="J98" s="79" t="b">
        <v>0</v>
      </c>
      <c r="K98" s="79" t="b">
        <v>0</v>
      </c>
      <c r="L98" s="79" t="b">
        <v>0</v>
      </c>
    </row>
    <row r="99" spans="1:12" ht="15">
      <c r="A99" s="85" t="s">
        <v>1809</v>
      </c>
      <c r="B99" s="84" t="s">
        <v>1727</v>
      </c>
      <c r="C99" s="79">
        <v>6</v>
      </c>
      <c r="D99" s="109">
        <v>0.0029209014605172225</v>
      </c>
      <c r="E99" s="109">
        <v>2.150756439860309</v>
      </c>
      <c r="F99" s="79" t="s">
        <v>2085</v>
      </c>
      <c r="G99" s="79" t="b">
        <v>0</v>
      </c>
      <c r="H99" s="79" t="b">
        <v>0</v>
      </c>
      <c r="I99" s="79" t="b">
        <v>0</v>
      </c>
      <c r="J99" s="79" t="b">
        <v>0</v>
      </c>
      <c r="K99" s="79" t="b">
        <v>0</v>
      </c>
      <c r="L99" s="79" t="b">
        <v>0</v>
      </c>
    </row>
    <row r="100" spans="1:12" ht="15">
      <c r="A100" s="85" t="s">
        <v>1727</v>
      </c>
      <c r="B100" s="84" t="s">
        <v>1810</v>
      </c>
      <c r="C100" s="79">
        <v>6</v>
      </c>
      <c r="D100" s="109">
        <v>0.0029209014605172225</v>
      </c>
      <c r="E100" s="109">
        <v>2.150756439860309</v>
      </c>
      <c r="F100" s="79" t="s">
        <v>2085</v>
      </c>
      <c r="G100" s="79" t="b">
        <v>0</v>
      </c>
      <c r="H100" s="79" t="b">
        <v>0</v>
      </c>
      <c r="I100" s="79" t="b">
        <v>0</v>
      </c>
      <c r="J100" s="79" t="b">
        <v>0</v>
      </c>
      <c r="K100" s="79" t="b">
        <v>0</v>
      </c>
      <c r="L100" s="79" t="b">
        <v>0</v>
      </c>
    </row>
    <row r="101" spans="1:12" ht="15">
      <c r="A101" s="85" t="s">
        <v>1810</v>
      </c>
      <c r="B101" s="84" t="s">
        <v>1811</v>
      </c>
      <c r="C101" s="79">
        <v>6</v>
      </c>
      <c r="D101" s="109">
        <v>0.0029209014605172225</v>
      </c>
      <c r="E101" s="109">
        <v>2.673635185140647</v>
      </c>
      <c r="F101" s="79" t="s">
        <v>2085</v>
      </c>
      <c r="G101" s="79" t="b">
        <v>0</v>
      </c>
      <c r="H101" s="79" t="b">
        <v>0</v>
      </c>
      <c r="I101" s="79" t="b">
        <v>0</v>
      </c>
      <c r="J101" s="79" t="b">
        <v>0</v>
      </c>
      <c r="K101" s="79" t="b">
        <v>0</v>
      </c>
      <c r="L101" s="79" t="b">
        <v>0</v>
      </c>
    </row>
    <row r="102" spans="1:12" ht="15">
      <c r="A102" s="85" t="s">
        <v>1811</v>
      </c>
      <c r="B102" s="84" t="s">
        <v>1812</v>
      </c>
      <c r="C102" s="79">
        <v>6</v>
      </c>
      <c r="D102" s="109">
        <v>0.0029209014605172225</v>
      </c>
      <c r="E102" s="109">
        <v>2.673635185140647</v>
      </c>
      <c r="F102" s="79" t="s">
        <v>2085</v>
      </c>
      <c r="G102" s="79" t="b">
        <v>0</v>
      </c>
      <c r="H102" s="79" t="b">
        <v>0</v>
      </c>
      <c r="I102" s="79" t="b">
        <v>0</v>
      </c>
      <c r="J102" s="79" t="b">
        <v>0</v>
      </c>
      <c r="K102" s="79" t="b">
        <v>0</v>
      </c>
      <c r="L102" s="79" t="b">
        <v>0</v>
      </c>
    </row>
    <row r="103" spans="1:12" ht="15">
      <c r="A103" s="85" t="s">
        <v>1812</v>
      </c>
      <c r="B103" s="84" t="s">
        <v>1728</v>
      </c>
      <c r="C103" s="79">
        <v>6</v>
      </c>
      <c r="D103" s="109">
        <v>0.0029209014605172225</v>
      </c>
      <c r="E103" s="109">
        <v>2.196513930420984</v>
      </c>
      <c r="F103" s="79" t="s">
        <v>2085</v>
      </c>
      <c r="G103" s="79" t="b">
        <v>0</v>
      </c>
      <c r="H103" s="79" t="b">
        <v>0</v>
      </c>
      <c r="I103" s="79" t="b">
        <v>0</v>
      </c>
      <c r="J103" s="79" t="b">
        <v>0</v>
      </c>
      <c r="K103" s="79" t="b">
        <v>0</v>
      </c>
      <c r="L103" s="79" t="b">
        <v>0</v>
      </c>
    </row>
    <row r="104" spans="1:12" ht="15">
      <c r="A104" s="85" t="s">
        <v>1728</v>
      </c>
      <c r="B104" s="84" t="s">
        <v>1813</v>
      </c>
      <c r="C104" s="79">
        <v>6</v>
      </c>
      <c r="D104" s="109">
        <v>0.0029209014605172225</v>
      </c>
      <c r="E104" s="109">
        <v>2.196513930420984</v>
      </c>
      <c r="F104" s="79" t="s">
        <v>2085</v>
      </c>
      <c r="G104" s="79" t="b">
        <v>0</v>
      </c>
      <c r="H104" s="79" t="b">
        <v>0</v>
      </c>
      <c r="I104" s="79" t="b">
        <v>0</v>
      </c>
      <c r="J104" s="79" t="b">
        <v>0</v>
      </c>
      <c r="K104" s="79" t="b">
        <v>0</v>
      </c>
      <c r="L104" s="79" t="b">
        <v>0</v>
      </c>
    </row>
    <row r="105" spans="1:12" ht="15">
      <c r="A105" s="85" t="s">
        <v>1813</v>
      </c>
      <c r="B105" s="84" t="s">
        <v>1814</v>
      </c>
      <c r="C105" s="79">
        <v>6</v>
      </c>
      <c r="D105" s="109">
        <v>0.0029209014605172225</v>
      </c>
      <c r="E105" s="109">
        <v>2.673635185140647</v>
      </c>
      <c r="F105" s="79" t="s">
        <v>2085</v>
      </c>
      <c r="G105" s="79" t="b">
        <v>0</v>
      </c>
      <c r="H105" s="79" t="b">
        <v>0</v>
      </c>
      <c r="I105" s="79" t="b">
        <v>0</v>
      </c>
      <c r="J105" s="79" t="b">
        <v>0</v>
      </c>
      <c r="K105" s="79" t="b">
        <v>0</v>
      </c>
      <c r="L105" s="79" t="b">
        <v>0</v>
      </c>
    </row>
    <row r="106" spans="1:12" ht="15">
      <c r="A106" s="85" t="s">
        <v>1814</v>
      </c>
      <c r="B106" s="84" t="s">
        <v>1745</v>
      </c>
      <c r="C106" s="79">
        <v>6</v>
      </c>
      <c r="D106" s="109">
        <v>0.0029209014605172225</v>
      </c>
      <c r="E106" s="109">
        <v>2.3378430832174537</v>
      </c>
      <c r="F106" s="79" t="s">
        <v>2085</v>
      </c>
      <c r="G106" s="79" t="b">
        <v>0</v>
      </c>
      <c r="H106" s="79" t="b">
        <v>0</v>
      </c>
      <c r="I106" s="79" t="b">
        <v>0</v>
      </c>
      <c r="J106" s="79" t="b">
        <v>0</v>
      </c>
      <c r="K106" s="79" t="b">
        <v>0</v>
      </c>
      <c r="L106" s="79" t="b">
        <v>0</v>
      </c>
    </row>
    <row r="107" spans="1:12" ht="15">
      <c r="A107" s="85" t="s">
        <v>1745</v>
      </c>
      <c r="B107" s="84" t="s">
        <v>1815</v>
      </c>
      <c r="C107" s="79">
        <v>6</v>
      </c>
      <c r="D107" s="109">
        <v>0.0029209014605172225</v>
      </c>
      <c r="E107" s="109">
        <v>2.3378430832174537</v>
      </c>
      <c r="F107" s="79" t="s">
        <v>2085</v>
      </c>
      <c r="G107" s="79" t="b">
        <v>0</v>
      </c>
      <c r="H107" s="79" t="b">
        <v>0</v>
      </c>
      <c r="I107" s="79" t="b">
        <v>0</v>
      </c>
      <c r="J107" s="79" t="b">
        <v>0</v>
      </c>
      <c r="K107" s="79" t="b">
        <v>0</v>
      </c>
      <c r="L107" s="79" t="b">
        <v>0</v>
      </c>
    </row>
    <row r="108" spans="1:12" ht="15">
      <c r="A108" s="85" t="s">
        <v>1815</v>
      </c>
      <c r="B108" s="84" t="s">
        <v>1750</v>
      </c>
      <c r="C108" s="79">
        <v>6</v>
      </c>
      <c r="D108" s="109">
        <v>0.0029209014605172225</v>
      </c>
      <c r="E108" s="109">
        <v>2.4103937503660653</v>
      </c>
      <c r="F108" s="79" t="s">
        <v>2085</v>
      </c>
      <c r="G108" s="79" t="b">
        <v>0</v>
      </c>
      <c r="H108" s="79" t="b">
        <v>0</v>
      </c>
      <c r="I108" s="79" t="b">
        <v>0</v>
      </c>
      <c r="J108" s="79" t="b">
        <v>0</v>
      </c>
      <c r="K108" s="79" t="b">
        <v>0</v>
      </c>
      <c r="L108" s="79" t="b">
        <v>0</v>
      </c>
    </row>
    <row r="109" spans="1:12" ht="15">
      <c r="A109" s="85" t="s">
        <v>1750</v>
      </c>
      <c r="B109" s="84" t="s">
        <v>1816</v>
      </c>
      <c r="C109" s="79">
        <v>6</v>
      </c>
      <c r="D109" s="109">
        <v>0.0029209014605172225</v>
      </c>
      <c r="E109" s="109">
        <v>2.4103937503660653</v>
      </c>
      <c r="F109" s="79" t="s">
        <v>2085</v>
      </c>
      <c r="G109" s="79" t="b">
        <v>0</v>
      </c>
      <c r="H109" s="79" t="b">
        <v>0</v>
      </c>
      <c r="I109" s="79" t="b">
        <v>0</v>
      </c>
      <c r="J109" s="79" t="b">
        <v>0</v>
      </c>
      <c r="K109" s="79" t="b">
        <v>0</v>
      </c>
      <c r="L109" s="79" t="b">
        <v>0</v>
      </c>
    </row>
    <row r="110" spans="1:12" ht="15">
      <c r="A110" s="85" t="s">
        <v>1816</v>
      </c>
      <c r="B110" s="84" t="s">
        <v>1703</v>
      </c>
      <c r="C110" s="79">
        <v>6</v>
      </c>
      <c r="D110" s="109">
        <v>0.0029209014605172225</v>
      </c>
      <c r="E110" s="109">
        <v>1.2264771537984274</v>
      </c>
      <c r="F110" s="79" t="s">
        <v>2085</v>
      </c>
      <c r="G110" s="79" t="b">
        <v>0</v>
      </c>
      <c r="H110" s="79" t="b">
        <v>0</v>
      </c>
      <c r="I110" s="79" t="b">
        <v>0</v>
      </c>
      <c r="J110" s="79" t="b">
        <v>0</v>
      </c>
      <c r="K110" s="79" t="b">
        <v>0</v>
      </c>
      <c r="L110" s="79" t="b">
        <v>0</v>
      </c>
    </row>
    <row r="111" spans="1:12" ht="15">
      <c r="A111" s="85" t="s">
        <v>1703</v>
      </c>
      <c r="B111" s="84" t="s">
        <v>1706</v>
      </c>
      <c r="C111" s="79">
        <v>6</v>
      </c>
      <c r="D111" s="109">
        <v>0.0029209014605172225</v>
      </c>
      <c r="E111" s="109">
        <v>0.6141979972887789</v>
      </c>
      <c r="F111" s="79" t="s">
        <v>2085</v>
      </c>
      <c r="G111" s="79" t="b">
        <v>0</v>
      </c>
      <c r="H111" s="79" t="b">
        <v>0</v>
      </c>
      <c r="I111" s="79" t="b">
        <v>0</v>
      </c>
      <c r="J111" s="79" t="b">
        <v>0</v>
      </c>
      <c r="K111" s="79" t="b">
        <v>0</v>
      </c>
      <c r="L111" s="79" t="b">
        <v>0</v>
      </c>
    </row>
    <row r="112" spans="1:12" ht="15">
      <c r="A112" s="85" t="s">
        <v>1706</v>
      </c>
      <c r="B112" s="84" t="s">
        <v>1753</v>
      </c>
      <c r="C112" s="79">
        <v>6</v>
      </c>
      <c r="D112" s="109">
        <v>0.0029209014605172225</v>
      </c>
      <c r="E112" s="109">
        <v>1.5486964485323467</v>
      </c>
      <c r="F112" s="79" t="s">
        <v>2085</v>
      </c>
      <c r="G112" s="79" t="b">
        <v>0</v>
      </c>
      <c r="H112" s="79" t="b">
        <v>0</v>
      </c>
      <c r="I112" s="79" t="b">
        <v>0</v>
      </c>
      <c r="J112" s="79" t="b">
        <v>0</v>
      </c>
      <c r="K112" s="79" t="b">
        <v>0</v>
      </c>
      <c r="L112" s="79" t="b">
        <v>0</v>
      </c>
    </row>
    <row r="113" spans="1:12" ht="15">
      <c r="A113" s="85" t="s">
        <v>1703</v>
      </c>
      <c r="B113" s="84" t="s">
        <v>1782</v>
      </c>
      <c r="C113" s="79">
        <v>5</v>
      </c>
      <c r="D113" s="109">
        <v>0.0025658775698178776</v>
      </c>
      <c r="E113" s="109">
        <v>1.3711599486024844</v>
      </c>
      <c r="F113" s="79" t="s">
        <v>2085</v>
      </c>
      <c r="G113" s="79" t="b">
        <v>0</v>
      </c>
      <c r="H113" s="79" t="b">
        <v>0</v>
      </c>
      <c r="I113" s="79" t="b">
        <v>0</v>
      </c>
      <c r="J113" s="79" t="b">
        <v>0</v>
      </c>
      <c r="K113" s="79" t="b">
        <v>0</v>
      </c>
      <c r="L113" s="79" t="b">
        <v>0</v>
      </c>
    </row>
    <row r="114" spans="1:12" ht="15">
      <c r="A114" s="85" t="s">
        <v>1768</v>
      </c>
      <c r="B114" s="84" t="s">
        <v>1821</v>
      </c>
      <c r="C114" s="79">
        <v>5</v>
      </c>
      <c r="D114" s="109">
        <v>0.0025658775698178776</v>
      </c>
      <c r="E114" s="109">
        <v>2.5486964485323464</v>
      </c>
      <c r="F114" s="79" t="s">
        <v>2085</v>
      </c>
      <c r="G114" s="79" t="b">
        <v>0</v>
      </c>
      <c r="H114" s="79" t="b">
        <v>0</v>
      </c>
      <c r="I114" s="79" t="b">
        <v>0</v>
      </c>
      <c r="J114" s="79" t="b">
        <v>0</v>
      </c>
      <c r="K114" s="79" t="b">
        <v>0</v>
      </c>
      <c r="L114" s="79" t="b">
        <v>0</v>
      </c>
    </row>
    <row r="115" spans="1:12" ht="15">
      <c r="A115" s="85" t="s">
        <v>1821</v>
      </c>
      <c r="B115" s="84" t="s">
        <v>1822</v>
      </c>
      <c r="C115" s="79">
        <v>5</v>
      </c>
      <c r="D115" s="109">
        <v>0.0025658775698178776</v>
      </c>
      <c r="E115" s="109">
        <v>2.7528164311882715</v>
      </c>
      <c r="F115" s="79" t="s">
        <v>2085</v>
      </c>
      <c r="G115" s="79" t="b">
        <v>0</v>
      </c>
      <c r="H115" s="79" t="b">
        <v>0</v>
      </c>
      <c r="I115" s="79" t="b">
        <v>0</v>
      </c>
      <c r="J115" s="79" t="b">
        <v>0</v>
      </c>
      <c r="K115" s="79" t="b">
        <v>0</v>
      </c>
      <c r="L115" s="79" t="b">
        <v>0</v>
      </c>
    </row>
    <row r="116" spans="1:12" ht="15">
      <c r="A116" s="85" t="s">
        <v>1822</v>
      </c>
      <c r="B116" s="84" t="s">
        <v>1823</v>
      </c>
      <c r="C116" s="79">
        <v>5</v>
      </c>
      <c r="D116" s="109">
        <v>0.0025658775698178776</v>
      </c>
      <c r="E116" s="109">
        <v>2.7528164311882715</v>
      </c>
      <c r="F116" s="79" t="s">
        <v>2085</v>
      </c>
      <c r="G116" s="79" t="b">
        <v>0</v>
      </c>
      <c r="H116" s="79" t="b">
        <v>0</v>
      </c>
      <c r="I116" s="79" t="b">
        <v>0</v>
      </c>
      <c r="J116" s="79" t="b">
        <v>0</v>
      </c>
      <c r="K116" s="79" t="b">
        <v>0</v>
      </c>
      <c r="L116" s="79" t="b">
        <v>0</v>
      </c>
    </row>
    <row r="117" spans="1:12" ht="15">
      <c r="A117" s="85" t="s">
        <v>1823</v>
      </c>
      <c r="B117" s="84" t="s">
        <v>1755</v>
      </c>
      <c r="C117" s="79">
        <v>5</v>
      </c>
      <c r="D117" s="109">
        <v>0.0025658775698178776</v>
      </c>
      <c r="E117" s="109">
        <v>2.45178643552429</v>
      </c>
      <c r="F117" s="79" t="s">
        <v>2085</v>
      </c>
      <c r="G117" s="79" t="b">
        <v>0</v>
      </c>
      <c r="H117" s="79" t="b">
        <v>0</v>
      </c>
      <c r="I117" s="79" t="b">
        <v>0</v>
      </c>
      <c r="J117" s="79" t="b">
        <v>0</v>
      </c>
      <c r="K117" s="79" t="b">
        <v>0</v>
      </c>
      <c r="L117" s="79" t="b">
        <v>0</v>
      </c>
    </row>
    <row r="118" spans="1:12" ht="15">
      <c r="A118" s="85" t="s">
        <v>1755</v>
      </c>
      <c r="B118" s="84" t="s">
        <v>1824</v>
      </c>
      <c r="C118" s="79">
        <v>5</v>
      </c>
      <c r="D118" s="109">
        <v>0.0025658775698178776</v>
      </c>
      <c r="E118" s="109">
        <v>2.45178643552429</v>
      </c>
      <c r="F118" s="79" t="s">
        <v>2085</v>
      </c>
      <c r="G118" s="79" t="b">
        <v>0</v>
      </c>
      <c r="H118" s="79" t="b">
        <v>0</v>
      </c>
      <c r="I118" s="79" t="b">
        <v>0</v>
      </c>
      <c r="J118" s="79" t="b">
        <v>0</v>
      </c>
      <c r="K118" s="79" t="b">
        <v>0</v>
      </c>
      <c r="L118" s="79" t="b">
        <v>0</v>
      </c>
    </row>
    <row r="119" spans="1:12" ht="15">
      <c r="A119" s="85" t="s">
        <v>1824</v>
      </c>
      <c r="B119" s="84" t="s">
        <v>1746</v>
      </c>
      <c r="C119" s="79">
        <v>5</v>
      </c>
      <c r="D119" s="109">
        <v>0.0025658775698178776</v>
      </c>
      <c r="E119" s="109">
        <v>2.3378430832174533</v>
      </c>
      <c r="F119" s="79" t="s">
        <v>2085</v>
      </c>
      <c r="G119" s="79" t="b">
        <v>0</v>
      </c>
      <c r="H119" s="79" t="b">
        <v>0</v>
      </c>
      <c r="I119" s="79" t="b">
        <v>0</v>
      </c>
      <c r="J119" s="79" t="b">
        <v>0</v>
      </c>
      <c r="K119" s="79" t="b">
        <v>0</v>
      </c>
      <c r="L119" s="79" t="b">
        <v>0</v>
      </c>
    </row>
    <row r="120" spans="1:12" ht="15">
      <c r="A120" s="85" t="s">
        <v>1746</v>
      </c>
      <c r="B120" s="84" t="s">
        <v>1825</v>
      </c>
      <c r="C120" s="79">
        <v>5</v>
      </c>
      <c r="D120" s="109">
        <v>0.0025658775698178776</v>
      </c>
      <c r="E120" s="109">
        <v>2.3378430832174533</v>
      </c>
      <c r="F120" s="79" t="s">
        <v>2085</v>
      </c>
      <c r="G120" s="79" t="b">
        <v>0</v>
      </c>
      <c r="H120" s="79" t="b">
        <v>0</v>
      </c>
      <c r="I120" s="79" t="b">
        <v>0</v>
      </c>
      <c r="J120" s="79" t="b">
        <v>0</v>
      </c>
      <c r="K120" s="79" t="b">
        <v>0</v>
      </c>
      <c r="L120" s="79" t="b">
        <v>0</v>
      </c>
    </row>
    <row r="121" spans="1:12" ht="15">
      <c r="A121" s="85" t="s">
        <v>1825</v>
      </c>
      <c r="B121" s="84" t="s">
        <v>1761</v>
      </c>
      <c r="C121" s="79">
        <v>5</v>
      </c>
      <c r="D121" s="109">
        <v>0.0025658775698178776</v>
      </c>
      <c r="E121" s="109">
        <v>2.4975439260849654</v>
      </c>
      <c r="F121" s="79" t="s">
        <v>2085</v>
      </c>
      <c r="G121" s="79" t="b">
        <v>0</v>
      </c>
      <c r="H121" s="79" t="b">
        <v>0</v>
      </c>
      <c r="I121" s="79" t="b">
        <v>0</v>
      </c>
      <c r="J121" s="79" t="b">
        <v>0</v>
      </c>
      <c r="K121" s="79" t="b">
        <v>0</v>
      </c>
      <c r="L121" s="79" t="b">
        <v>0</v>
      </c>
    </row>
    <row r="122" spans="1:12" ht="15">
      <c r="A122" s="85" t="s">
        <v>1761</v>
      </c>
      <c r="B122" s="84" t="s">
        <v>1826</v>
      </c>
      <c r="C122" s="79">
        <v>5</v>
      </c>
      <c r="D122" s="109">
        <v>0.0025658775698178776</v>
      </c>
      <c r="E122" s="109">
        <v>2.4975439260849654</v>
      </c>
      <c r="F122" s="79" t="s">
        <v>2085</v>
      </c>
      <c r="G122" s="79" t="b">
        <v>0</v>
      </c>
      <c r="H122" s="79" t="b">
        <v>0</v>
      </c>
      <c r="I122" s="79" t="b">
        <v>0</v>
      </c>
      <c r="J122" s="79" t="b">
        <v>1</v>
      </c>
      <c r="K122" s="79" t="b">
        <v>0</v>
      </c>
      <c r="L122" s="79" t="b">
        <v>0</v>
      </c>
    </row>
    <row r="123" spans="1:12" ht="15">
      <c r="A123" s="85" t="s">
        <v>1826</v>
      </c>
      <c r="B123" s="84" t="s">
        <v>1827</v>
      </c>
      <c r="C123" s="79">
        <v>5</v>
      </c>
      <c r="D123" s="109">
        <v>0.0025658775698178776</v>
      </c>
      <c r="E123" s="109">
        <v>2.7528164311882715</v>
      </c>
      <c r="F123" s="79" t="s">
        <v>2085</v>
      </c>
      <c r="G123" s="79" t="b">
        <v>1</v>
      </c>
      <c r="H123" s="79" t="b">
        <v>0</v>
      </c>
      <c r="I123" s="79" t="b">
        <v>0</v>
      </c>
      <c r="J123" s="79" t="b">
        <v>0</v>
      </c>
      <c r="K123" s="79" t="b">
        <v>0</v>
      </c>
      <c r="L123" s="79" t="b">
        <v>0</v>
      </c>
    </row>
    <row r="124" spans="1:12" ht="15">
      <c r="A124" s="85" t="s">
        <v>1827</v>
      </c>
      <c r="B124" s="84" t="s">
        <v>1828</v>
      </c>
      <c r="C124" s="79">
        <v>5</v>
      </c>
      <c r="D124" s="109">
        <v>0.0025658775698178776</v>
      </c>
      <c r="E124" s="109">
        <v>2.7528164311882715</v>
      </c>
      <c r="F124" s="79" t="s">
        <v>2085</v>
      </c>
      <c r="G124" s="79" t="b">
        <v>0</v>
      </c>
      <c r="H124" s="79" t="b">
        <v>0</v>
      </c>
      <c r="I124" s="79" t="b">
        <v>0</v>
      </c>
      <c r="J124" s="79" t="b">
        <v>0</v>
      </c>
      <c r="K124" s="79" t="b">
        <v>0</v>
      </c>
      <c r="L124" s="79" t="b">
        <v>0</v>
      </c>
    </row>
    <row r="125" spans="1:12" ht="15">
      <c r="A125" s="85" t="s">
        <v>1828</v>
      </c>
      <c r="B125" s="84" t="s">
        <v>1829</v>
      </c>
      <c r="C125" s="79">
        <v>5</v>
      </c>
      <c r="D125" s="109">
        <v>0.0025658775698178776</v>
      </c>
      <c r="E125" s="109">
        <v>2.7528164311882715</v>
      </c>
      <c r="F125" s="79" t="s">
        <v>2085</v>
      </c>
      <c r="G125" s="79" t="b">
        <v>0</v>
      </c>
      <c r="H125" s="79" t="b">
        <v>0</v>
      </c>
      <c r="I125" s="79" t="b">
        <v>0</v>
      </c>
      <c r="J125" s="79" t="b">
        <v>0</v>
      </c>
      <c r="K125" s="79" t="b">
        <v>0</v>
      </c>
      <c r="L125" s="79" t="b">
        <v>0</v>
      </c>
    </row>
    <row r="126" spans="1:12" ht="15">
      <c r="A126" s="85" t="s">
        <v>1829</v>
      </c>
      <c r="B126" s="84" t="s">
        <v>1703</v>
      </c>
      <c r="C126" s="79">
        <v>5</v>
      </c>
      <c r="D126" s="109">
        <v>0.0025658775698178776</v>
      </c>
      <c r="E126" s="109">
        <v>1.2264771537984274</v>
      </c>
      <c r="F126" s="79" t="s">
        <v>2085</v>
      </c>
      <c r="G126" s="79" t="b">
        <v>0</v>
      </c>
      <c r="H126" s="79" t="b">
        <v>0</v>
      </c>
      <c r="I126" s="79" t="b">
        <v>0</v>
      </c>
      <c r="J126" s="79" t="b">
        <v>0</v>
      </c>
      <c r="K126" s="79" t="b">
        <v>0</v>
      </c>
      <c r="L126" s="79" t="b">
        <v>0</v>
      </c>
    </row>
    <row r="127" spans="1:12" ht="15">
      <c r="A127" s="85" t="s">
        <v>1703</v>
      </c>
      <c r="B127" s="84" t="s">
        <v>1830</v>
      </c>
      <c r="C127" s="79">
        <v>5</v>
      </c>
      <c r="D127" s="109">
        <v>0.0025658775698178776</v>
      </c>
      <c r="E127" s="109">
        <v>1.5172879842807225</v>
      </c>
      <c r="F127" s="79" t="s">
        <v>2085</v>
      </c>
      <c r="G127" s="79" t="b">
        <v>0</v>
      </c>
      <c r="H127" s="79" t="b">
        <v>0</v>
      </c>
      <c r="I127" s="79" t="b">
        <v>0</v>
      </c>
      <c r="J127" s="79" t="b">
        <v>0</v>
      </c>
      <c r="K127" s="79" t="b">
        <v>0</v>
      </c>
      <c r="L127" s="79" t="b">
        <v>0</v>
      </c>
    </row>
    <row r="128" spans="1:12" ht="15">
      <c r="A128" s="85" t="s">
        <v>1830</v>
      </c>
      <c r="B128" s="84" t="s">
        <v>1831</v>
      </c>
      <c r="C128" s="79">
        <v>5</v>
      </c>
      <c r="D128" s="109">
        <v>0.0025658775698178776</v>
      </c>
      <c r="E128" s="109">
        <v>2.7528164311882715</v>
      </c>
      <c r="F128" s="79" t="s">
        <v>2085</v>
      </c>
      <c r="G128" s="79" t="b">
        <v>0</v>
      </c>
      <c r="H128" s="79" t="b">
        <v>0</v>
      </c>
      <c r="I128" s="79" t="b">
        <v>0</v>
      </c>
      <c r="J128" s="79" t="b">
        <v>0</v>
      </c>
      <c r="K128" s="79" t="b">
        <v>0</v>
      </c>
      <c r="L128" s="79" t="b">
        <v>0</v>
      </c>
    </row>
    <row r="129" spans="1:12" ht="15">
      <c r="A129" s="85" t="s">
        <v>1831</v>
      </c>
      <c r="B129" s="84" t="s">
        <v>1832</v>
      </c>
      <c r="C129" s="79">
        <v>5</v>
      </c>
      <c r="D129" s="109">
        <v>0.0025658775698178776</v>
      </c>
      <c r="E129" s="109">
        <v>2.7528164311882715</v>
      </c>
      <c r="F129" s="79" t="s">
        <v>2085</v>
      </c>
      <c r="G129" s="79" t="b">
        <v>0</v>
      </c>
      <c r="H129" s="79" t="b">
        <v>0</v>
      </c>
      <c r="I129" s="79" t="b">
        <v>0</v>
      </c>
      <c r="J129" s="79" t="b">
        <v>0</v>
      </c>
      <c r="K129" s="79" t="b">
        <v>0</v>
      </c>
      <c r="L129" s="79" t="b">
        <v>0</v>
      </c>
    </row>
    <row r="130" spans="1:12" ht="15">
      <c r="A130" s="85" t="s">
        <v>1832</v>
      </c>
      <c r="B130" s="84" t="s">
        <v>1756</v>
      </c>
      <c r="C130" s="79">
        <v>5</v>
      </c>
      <c r="D130" s="109">
        <v>0.0025658775698178776</v>
      </c>
      <c r="E130" s="109">
        <v>2.45178643552429</v>
      </c>
      <c r="F130" s="79" t="s">
        <v>2085</v>
      </c>
      <c r="G130" s="79" t="b">
        <v>0</v>
      </c>
      <c r="H130" s="79" t="b">
        <v>0</v>
      </c>
      <c r="I130" s="79" t="b">
        <v>0</v>
      </c>
      <c r="J130" s="79" t="b">
        <v>0</v>
      </c>
      <c r="K130" s="79" t="b">
        <v>0</v>
      </c>
      <c r="L130" s="79" t="b">
        <v>0</v>
      </c>
    </row>
    <row r="131" spans="1:12" ht="15">
      <c r="A131" s="85" t="s">
        <v>1756</v>
      </c>
      <c r="B131" s="84" t="s">
        <v>1833</v>
      </c>
      <c r="C131" s="79">
        <v>5</v>
      </c>
      <c r="D131" s="109">
        <v>0.0025658775698178776</v>
      </c>
      <c r="E131" s="109">
        <v>2.45178643552429</v>
      </c>
      <c r="F131" s="79" t="s">
        <v>2085</v>
      </c>
      <c r="G131" s="79" t="b">
        <v>0</v>
      </c>
      <c r="H131" s="79" t="b">
        <v>0</v>
      </c>
      <c r="I131" s="79" t="b">
        <v>0</v>
      </c>
      <c r="J131" s="79" t="b">
        <v>0</v>
      </c>
      <c r="K131" s="79" t="b">
        <v>0</v>
      </c>
      <c r="L131" s="79" t="b">
        <v>0</v>
      </c>
    </row>
    <row r="132" spans="1:12" ht="15">
      <c r="A132" s="85" t="s">
        <v>1833</v>
      </c>
      <c r="B132" s="84" t="s">
        <v>1726</v>
      </c>
      <c r="C132" s="79">
        <v>5</v>
      </c>
      <c r="D132" s="109">
        <v>0.0025658775698178776</v>
      </c>
      <c r="E132" s="109">
        <v>2.129567140790371</v>
      </c>
      <c r="F132" s="79" t="s">
        <v>2085</v>
      </c>
      <c r="G132" s="79" t="b">
        <v>0</v>
      </c>
      <c r="H132" s="79" t="b">
        <v>0</v>
      </c>
      <c r="I132" s="79" t="b">
        <v>0</v>
      </c>
      <c r="J132" s="79" t="b">
        <v>0</v>
      </c>
      <c r="K132" s="79" t="b">
        <v>0</v>
      </c>
      <c r="L132" s="79" t="b">
        <v>0</v>
      </c>
    </row>
    <row r="133" spans="1:12" ht="15">
      <c r="A133" s="85" t="s">
        <v>1726</v>
      </c>
      <c r="B133" s="84" t="s">
        <v>1762</v>
      </c>
      <c r="C133" s="79">
        <v>5</v>
      </c>
      <c r="D133" s="109">
        <v>0.0025658775698178776</v>
      </c>
      <c r="E133" s="109">
        <v>1.874294635687065</v>
      </c>
      <c r="F133" s="79" t="s">
        <v>2085</v>
      </c>
      <c r="G133" s="79" t="b">
        <v>0</v>
      </c>
      <c r="H133" s="79" t="b">
        <v>0</v>
      </c>
      <c r="I133" s="79" t="b">
        <v>0</v>
      </c>
      <c r="J133" s="79" t="b">
        <v>0</v>
      </c>
      <c r="K133" s="79" t="b">
        <v>0</v>
      </c>
      <c r="L133" s="79" t="b">
        <v>0</v>
      </c>
    </row>
    <row r="134" spans="1:12" ht="15">
      <c r="A134" s="85" t="s">
        <v>1762</v>
      </c>
      <c r="B134" s="84" t="s">
        <v>1834</v>
      </c>
      <c r="C134" s="79">
        <v>5</v>
      </c>
      <c r="D134" s="109">
        <v>0.0025658775698178776</v>
      </c>
      <c r="E134" s="109">
        <v>2.4975439260849654</v>
      </c>
      <c r="F134" s="79" t="s">
        <v>2085</v>
      </c>
      <c r="G134" s="79" t="b">
        <v>0</v>
      </c>
      <c r="H134" s="79" t="b">
        <v>0</v>
      </c>
      <c r="I134" s="79" t="b">
        <v>0</v>
      </c>
      <c r="J134" s="79" t="b">
        <v>0</v>
      </c>
      <c r="K134" s="79" t="b">
        <v>0</v>
      </c>
      <c r="L134" s="79" t="b">
        <v>0</v>
      </c>
    </row>
    <row r="135" spans="1:12" ht="15">
      <c r="A135" s="85" t="s">
        <v>1834</v>
      </c>
      <c r="B135" s="84" t="s">
        <v>1835</v>
      </c>
      <c r="C135" s="79">
        <v>5</v>
      </c>
      <c r="D135" s="109">
        <v>0.0025658775698178776</v>
      </c>
      <c r="E135" s="109">
        <v>2.7528164311882715</v>
      </c>
      <c r="F135" s="79" t="s">
        <v>2085</v>
      </c>
      <c r="G135" s="79" t="b">
        <v>0</v>
      </c>
      <c r="H135" s="79" t="b">
        <v>0</v>
      </c>
      <c r="I135" s="79" t="b">
        <v>0</v>
      </c>
      <c r="J135" s="79" t="b">
        <v>0</v>
      </c>
      <c r="K135" s="79" t="b">
        <v>0</v>
      </c>
      <c r="L135" s="79" t="b">
        <v>0</v>
      </c>
    </row>
    <row r="136" spans="1:12" ht="15">
      <c r="A136" s="85" t="s">
        <v>1835</v>
      </c>
      <c r="B136" s="84" t="s">
        <v>1755</v>
      </c>
      <c r="C136" s="79">
        <v>5</v>
      </c>
      <c r="D136" s="109">
        <v>0.0025658775698178776</v>
      </c>
      <c r="E136" s="109">
        <v>2.45178643552429</v>
      </c>
      <c r="F136" s="79" t="s">
        <v>2085</v>
      </c>
      <c r="G136" s="79" t="b">
        <v>0</v>
      </c>
      <c r="H136" s="79" t="b">
        <v>0</v>
      </c>
      <c r="I136" s="79" t="b">
        <v>0</v>
      </c>
      <c r="J136" s="79" t="b">
        <v>0</v>
      </c>
      <c r="K136" s="79" t="b">
        <v>0</v>
      </c>
      <c r="L136" s="79" t="b">
        <v>0</v>
      </c>
    </row>
    <row r="137" spans="1:12" ht="15">
      <c r="A137" s="85" t="s">
        <v>1755</v>
      </c>
      <c r="B137" s="84" t="s">
        <v>1836</v>
      </c>
      <c r="C137" s="79">
        <v>5</v>
      </c>
      <c r="D137" s="109">
        <v>0.0025658775698178776</v>
      </c>
      <c r="E137" s="109">
        <v>2.45178643552429</v>
      </c>
      <c r="F137" s="79" t="s">
        <v>2085</v>
      </c>
      <c r="G137" s="79" t="b">
        <v>0</v>
      </c>
      <c r="H137" s="79" t="b">
        <v>0</v>
      </c>
      <c r="I137" s="79" t="b">
        <v>0</v>
      </c>
      <c r="J137" s="79" t="b">
        <v>0</v>
      </c>
      <c r="K137" s="79" t="b">
        <v>0</v>
      </c>
      <c r="L137" s="79" t="b">
        <v>0</v>
      </c>
    </row>
    <row r="138" spans="1:12" ht="15">
      <c r="A138" s="85" t="s">
        <v>1836</v>
      </c>
      <c r="B138" s="84" t="s">
        <v>1837</v>
      </c>
      <c r="C138" s="79">
        <v>5</v>
      </c>
      <c r="D138" s="109">
        <v>0.0025658775698178776</v>
      </c>
      <c r="E138" s="109">
        <v>2.7528164311882715</v>
      </c>
      <c r="F138" s="79" t="s">
        <v>2085</v>
      </c>
      <c r="G138" s="79" t="b">
        <v>0</v>
      </c>
      <c r="H138" s="79" t="b">
        <v>0</v>
      </c>
      <c r="I138" s="79" t="b">
        <v>0</v>
      </c>
      <c r="J138" s="79" t="b">
        <v>0</v>
      </c>
      <c r="K138" s="79" t="b">
        <v>0</v>
      </c>
      <c r="L138" s="79" t="b">
        <v>0</v>
      </c>
    </row>
    <row r="139" spans="1:12" ht="15">
      <c r="A139" s="85" t="s">
        <v>1837</v>
      </c>
      <c r="B139" s="84" t="s">
        <v>1756</v>
      </c>
      <c r="C139" s="79">
        <v>5</v>
      </c>
      <c r="D139" s="109">
        <v>0.0025658775698178776</v>
      </c>
      <c r="E139" s="109">
        <v>2.45178643552429</v>
      </c>
      <c r="F139" s="79" t="s">
        <v>2085</v>
      </c>
      <c r="G139" s="79" t="b">
        <v>0</v>
      </c>
      <c r="H139" s="79" t="b">
        <v>0</v>
      </c>
      <c r="I139" s="79" t="b">
        <v>0</v>
      </c>
      <c r="J139" s="79" t="b">
        <v>0</v>
      </c>
      <c r="K139" s="79" t="b">
        <v>0</v>
      </c>
      <c r="L139" s="79" t="b">
        <v>0</v>
      </c>
    </row>
    <row r="140" spans="1:12" ht="15">
      <c r="A140" s="85" t="s">
        <v>1756</v>
      </c>
      <c r="B140" s="84" t="s">
        <v>1838</v>
      </c>
      <c r="C140" s="79">
        <v>5</v>
      </c>
      <c r="D140" s="109">
        <v>0.0025658775698178776</v>
      </c>
      <c r="E140" s="109">
        <v>2.45178643552429</v>
      </c>
      <c r="F140" s="79" t="s">
        <v>2085</v>
      </c>
      <c r="G140" s="79" t="b">
        <v>0</v>
      </c>
      <c r="H140" s="79" t="b">
        <v>0</v>
      </c>
      <c r="I140" s="79" t="b">
        <v>0</v>
      </c>
      <c r="J140" s="79" t="b">
        <v>0</v>
      </c>
      <c r="K140" s="79" t="b">
        <v>0</v>
      </c>
      <c r="L140" s="79" t="b">
        <v>0</v>
      </c>
    </row>
    <row r="141" spans="1:12" ht="15">
      <c r="A141" s="85" t="s">
        <v>1842</v>
      </c>
      <c r="B141" s="84" t="s">
        <v>1724</v>
      </c>
      <c r="C141" s="79">
        <v>5</v>
      </c>
      <c r="D141" s="109">
        <v>0.0025658775698178776</v>
      </c>
      <c r="E141" s="109">
        <v>1.9893884376253341</v>
      </c>
      <c r="F141" s="79" t="s">
        <v>2085</v>
      </c>
      <c r="G141" s="79" t="b">
        <v>0</v>
      </c>
      <c r="H141" s="79" t="b">
        <v>0</v>
      </c>
      <c r="I141" s="79" t="b">
        <v>0</v>
      </c>
      <c r="J141" s="79" t="b">
        <v>0</v>
      </c>
      <c r="K141" s="79" t="b">
        <v>0</v>
      </c>
      <c r="L141" s="79" t="b">
        <v>0</v>
      </c>
    </row>
    <row r="142" spans="1:12" ht="15">
      <c r="A142" s="85" t="s">
        <v>1724</v>
      </c>
      <c r="B142" s="84" t="s">
        <v>1843</v>
      </c>
      <c r="C142" s="79">
        <v>5</v>
      </c>
      <c r="D142" s="109">
        <v>0.0025658775698178776</v>
      </c>
      <c r="E142" s="109">
        <v>1.9604247416900176</v>
      </c>
      <c r="F142" s="79" t="s">
        <v>2085</v>
      </c>
      <c r="G142" s="79" t="b">
        <v>0</v>
      </c>
      <c r="H142" s="79" t="b">
        <v>0</v>
      </c>
      <c r="I142" s="79" t="b">
        <v>0</v>
      </c>
      <c r="J142" s="79" t="b">
        <v>0</v>
      </c>
      <c r="K142" s="79" t="b">
        <v>0</v>
      </c>
      <c r="L142" s="79" t="b">
        <v>0</v>
      </c>
    </row>
    <row r="143" spans="1:12" ht="15">
      <c r="A143" s="85" t="s">
        <v>1843</v>
      </c>
      <c r="B143" s="84" t="s">
        <v>1818</v>
      </c>
      <c r="C143" s="79">
        <v>5</v>
      </c>
      <c r="D143" s="109">
        <v>0.0025658775698178776</v>
      </c>
      <c r="E143" s="109">
        <v>2.673635185140647</v>
      </c>
      <c r="F143" s="79" t="s">
        <v>2085</v>
      </c>
      <c r="G143" s="79" t="b">
        <v>0</v>
      </c>
      <c r="H143" s="79" t="b">
        <v>0</v>
      </c>
      <c r="I143" s="79" t="b">
        <v>0</v>
      </c>
      <c r="J143" s="79" t="b">
        <v>0</v>
      </c>
      <c r="K143" s="79" t="b">
        <v>0</v>
      </c>
      <c r="L143" s="79" t="b">
        <v>0</v>
      </c>
    </row>
    <row r="144" spans="1:12" ht="15">
      <c r="A144" s="85" t="s">
        <v>1818</v>
      </c>
      <c r="B144" s="84" t="s">
        <v>1844</v>
      </c>
      <c r="C144" s="79">
        <v>5</v>
      </c>
      <c r="D144" s="109">
        <v>0.0025658775698178776</v>
      </c>
      <c r="E144" s="109">
        <v>2.673635185140647</v>
      </c>
      <c r="F144" s="79" t="s">
        <v>2085</v>
      </c>
      <c r="G144" s="79" t="b">
        <v>0</v>
      </c>
      <c r="H144" s="79" t="b">
        <v>0</v>
      </c>
      <c r="I144" s="79" t="b">
        <v>0</v>
      </c>
      <c r="J144" s="79" t="b">
        <v>0</v>
      </c>
      <c r="K144" s="79" t="b">
        <v>0</v>
      </c>
      <c r="L144" s="79" t="b">
        <v>0</v>
      </c>
    </row>
    <row r="145" spans="1:12" ht="15">
      <c r="A145" s="85" t="s">
        <v>1844</v>
      </c>
      <c r="B145" s="84" t="s">
        <v>1750</v>
      </c>
      <c r="C145" s="79">
        <v>5</v>
      </c>
      <c r="D145" s="109">
        <v>0.0025658775698178776</v>
      </c>
      <c r="E145" s="109">
        <v>2.4103937503660653</v>
      </c>
      <c r="F145" s="79" t="s">
        <v>2085</v>
      </c>
      <c r="G145" s="79" t="b">
        <v>0</v>
      </c>
      <c r="H145" s="79" t="b">
        <v>0</v>
      </c>
      <c r="I145" s="79" t="b">
        <v>0</v>
      </c>
      <c r="J145" s="79" t="b">
        <v>0</v>
      </c>
      <c r="K145" s="79" t="b">
        <v>0</v>
      </c>
      <c r="L145" s="79" t="b">
        <v>0</v>
      </c>
    </row>
    <row r="146" spans="1:12" ht="15">
      <c r="A146" s="85" t="s">
        <v>1750</v>
      </c>
      <c r="B146" s="84" t="s">
        <v>1759</v>
      </c>
      <c r="C146" s="79">
        <v>5</v>
      </c>
      <c r="D146" s="109">
        <v>0.0025658775698178776</v>
      </c>
      <c r="E146" s="109">
        <v>2.155121245262759</v>
      </c>
      <c r="F146" s="79" t="s">
        <v>2085</v>
      </c>
      <c r="G146" s="79" t="b">
        <v>0</v>
      </c>
      <c r="H146" s="79" t="b">
        <v>0</v>
      </c>
      <c r="I146" s="79" t="b">
        <v>0</v>
      </c>
      <c r="J146" s="79" t="b">
        <v>0</v>
      </c>
      <c r="K146" s="79" t="b">
        <v>0</v>
      </c>
      <c r="L146" s="79" t="b">
        <v>0</v>
      </c>
    </row>
    <row r="147" spans="1:12" ht="15">
      <c r="A147" s="85" t="s">
        <v>1759</v>
      </c>
      <c r="B147" s="84" t="s">
        <v>1845</v>
      </c>
      <c r="C147" s="79">
        <v>5</v>
      </c>
      <c r="D147" s="109">
        <v>0.0025658775698178776</v>
      </c>
      <c r="E147" s="109">
        <v>2.4975439260849654</v>
      </c>
      <c r="F147" s="79" t="s">
        <v>2085</v>
      </c>
      <c r="G147" s="79" t="b">
        <v>0</v>
      </c>
      <c r="H147" s="79" t="b">
        <v>0</v>
      </c>
      <c r="I147" s="79" t="b">
        <v>0</v>
      </c>
      <c r="J147" s="79" t="b">
        <v>0</v>
      </c>
      <c r="K147" s="79" t="b">
        <v>0</v>
      </c>
      <c r="L147" s="79" t="b">
        <v>0</v>
      </c>
    </row>
    <row r="148" spans="1:12" ht="15">
      <c r="A148" s="85" t="s">
        <v>1845</v>
      </c>
      <c r="B148" s="84" t="s">
        <v>1846</v>
      </c>
      <c r="C148" s="79">
        <v>5</v>
      </c>
      <c r="D148" s="109">
        <v>0.0025658775698178776</v>
      </c>
      <c r="E148" s="109">
        <v>2.7528164311882715</v>
      </c>
      <c r="F148" s="79" t="s">
        <v>2085</v>
      </c>
      <c r="G148" s="79" t="b">
        <v>0</v>
      </c>
      <c r="H148" s="79" t="b">
        <v>0</v>
      </c>
      <c r="I148" s="79" t="b">
        <v>0</v>
      </c>
      <c r="J148" s="79" t="b">
        <v>0</v>
      </c>
      <c r="K148" s="79" t="b">
        <v>0</v>
      </c>
      <c r="L148" s="79" t="b">
        <v>0</v>
      </c>
    </row>
    <row r="149" spans="1:12" ht="15">
      <c r="A149" s="85" t="s">
        <v>1846</v>
      </c>
      <c r="B149" s="84" t="s">
        <v>1847</v>
      </c>
      <c r="C149" s="79">
        <v>5</v>
      </c>
      <c r="D149" s="109">
        <v>0.0025658775698178776</v>
      </c>
      <c r="E149" s="109">
        <v>2.7528164311882715</v>
      </c>
      <c r="F149" s="79" t="s">
        <v>2085</v>
      </c>
      <c r="G149" s="79" t="b">
        <v>0</v>
      </c>
      <c r="H149" s="79" t="b">
        <v>0</v>
      </c>
      <c r="I149" s="79" t="b">
        <v>0</v>
      </c>
      <c r="J149" s="79" t="b">
        <v>0</v>
      </c>
      <c r="K149" s="79" t="b">
        <v>0</v>
      </c>
      <c r="L149" s="79" t="b">
        <v>0</v>
      </c>
    </row>
    <row r="150" spans="1:12" ht="15">
      <c r="A150" s="85" t="s">
        <v>1847</v>
      </c>
      <c r="B150" s="84" t="s">
        <v>1848</v>
      </c>
      <c r="C150" s="79">
        <v>5</v>
      </c>
      <c r="D150" s="109">
        <v>0.0025658775698178776</v>
      </c>
      <c r="E150" s="109">
        <v>2.7528164311882715</v>
      </c>
      <c r="F150" s="79" t="s">
        <v>2085</v>
      </c>
      <c r="G150" s="79" t="b">
        <v>0</v>
      </c>
      <c r="H150" s="79" t="b">
        <v>0</v>
      </c>
      <c r="I150" s="79" t="b">
        <v>0</v>
      </c>
      <c r="J150" s="79" t="b">
        <v>0</v>
      </c>
      <c r="K150" s="79" t="b">
        <v>0</v>
      </c>
      <c r="L150" s="79" t="b">
        <v>0</v>
      </c>
    </row>
    <row r="151" spans="1:12" ht="15">
      <c r="A151" s="85" t="s">
        <v>1848</v>
      </c>
      <c r="B151" s="84" t="s">
        <v>1728</v>
      </c>
      <c r="C151" s="79">
        <v>5</v>
      </c>
      <c r="D151" s="109">
        <v>0.0025658775698178776</v>
      </c>
      <c r="E151" s="109">
        <v>2.196513930420984</v>
      </c>
      <c r="F151" s="79" t="s">
        <v>2085</v>
      </c>
      <c r="G151" s="79" t="b">
        <v>0</v>
      </c>
      <c r="H151" s="79" t="b">
        <v>0</v>
      </c>
      <c r="I151" s="79" t="b">
        <v>0</v>
      </c>
      <c r="J151" s="79" t="b">
        <v>0</v>
      </c>
      <c r="K151" s="79" t="b">
        <v>0</v>
      </c>
      <c r="L151" s="79" t="b">
        <v>0</v>
      </c>
    </row>
    <row r="152" spans="1:12" ht="15">
      <c r="A152" s="85" t="s">
        <v>1728</v>
      </c>
      <c r="B152" s="84" t="s">
        <v>1849</v>
      </c>
      <c r="C152" s="79">
        <v>5</v>
      </c>
      <c r="D152" s="109">
        <v>0.0025658775698178776</v>
      </c>
      <c r="E152" s="109">
        <v>2.196513930420984</v>
      </c>
      <c r="F152" s="79" t="s">
        <v>2085</v>
      </c>
      <c r="G152" s="79" t="b">
        <v>0</v>
      </c>
      <c r="H152" s="79" t="b">
        <v>0</v>
      </c>
      <c r="I152" s="79" t="b">
        <v>0</v>
      </c>
      <c r="J152" s="79" t="b">
        <v>0</v>
      </c>
      <c r="K152" s="79" t="b">
        <v>0</v>
      </c>
      <c r="L152" s="79" t="b">
        <v>0</v>
      </c>
    </row>
    <row r="153" spans="1:12" ht="15">
      <c r="A153" s="85" t="s">
        <v>1849</v>
      </c>
      <c r="B153" s="84" t="s">
        <v>1850</v>
      </c>
      <c r="C153" s="79">
        <v>5</v>
      </c>
      <c r="D153" s="109">
        <v>0.0025658775698178776</v>
      </c>
      <c r="E153" s="109">
        <v>2.7528164311882715</v>
      </c>
      <c r="F153" s="79" t="s">
        <v>2085</v>
      </c>
      <c r="G153" s="79" t="b">
        <v>0</v>
      </c>
      <c r="H153" s="79" t="b">
        <v>0</v>
      </c>
      <c r="I153" s="79" t="b">
        <v>0</v>
      </c>
      <c r="J153" s="79" t="b">
        <v>0</v>
      </c>
      <c r="K153" s="79" t="b">
        <v>0</v>
      </c>
      <c r="L153" s="79" t="b">
        <v>0</v>
      </c>
    </row>
    <row r="154" spans="1:12" ht="15">
      <c r="A154" s="85" t="s">
        <v>1850</v>
      </c>
      <c r="B154" s="84" t="s">
        <v>1851</v>
      </c>
      <c r="C154" s="79">
        <v>5</v>
      </c>
      <c r="D154" s="109">
        <v>0.0025658775698178776</v>
      </c>
      <c r="E154" s="109">
        <v>2.7528164311882715</v>
      </c>
      <c r="F154" s="79" t="s">
        <v>2085</v>
      </c>
      <c r="G154" s="79" t="b">
        <v>0</v>
      </c>
      <c r="H154" s="79" t="b">
        <v>0</v>
      </c>
      <c r="I154" s="79" t="b">
        <v>0</v>
      </c>
      <c r="J154" s="79" t="b">
        <v>0</v>
      </c>
      <c r="K154" s="79" t="b">
        <v>0</v>
      </c>
      <c r="L154" s="79" t="b">
        <v>0</v>
      </c>
    </row>
    <row r="155" spans="1:12" ht="15">
      <c r="A155" s="85" t="s">
        <v>1851</v>
      </c>
      <c r="B155" s="84" t="s">
        <v>1852</v>
      </c>
      <c r="C155" s="79">
        <v>5</v>
      </c>
      <c r="D155" s="109">
        <v>0.0025658775698178776</v>
      </c>
      <c r="E155" s="109">
        <v>2.7528164311882715</v>
      </c>
      <c r="F155" s="79" t="s">
        <v>2085</v>
      </c>
      <c r="G155" s="79" t="b">
        <v>0</v>
      </c>
      <c r="H155" s="79" t="b">
        <v>0</v>
      </c>
      <c r="I155" s="79" t="b">
        <v>0</v>
      </c>
      <c r="J155" s="79" t="b">
        <v>0</v>
      </c>
      <c r="K155" s="79" t="b">
        <v>0</v>
      </c>
      <c r="L155" s="79" t="b">
        <v>0</v>
      </c>
    </row>
    <row r="156" spans="1:12" ht="15">
      <c r="A156" s="85" t="s">
        <v>1852</v>
      </c>
      <c r="B156" s="84" t="s">
        <v>1853</v>
      </c>
      <c r="C156" s="79">
        <v>5</v>
      </c>
      <c r="D156" s="109">
        <v>0.0025658775698178776</v>
      </c>
      <c r="E156" s="109">
        <v>2.7528164311882715</v>
      </c>
      <c r="F156" s="79" t="s">
        <v>2085</v>
      </c>
      <c r="G156" s="79" t="b">
        <v>0</v>
      </c>
      <c r="H156" s="79" t="b">
        <v>0</v>
      </c>
      <c r="I156" s="79" t="b">
        <v>0</v>
      </c>
      <c r="J156" s="79" t="b">
        <v>0</v>
      </c>
      <c r="K156" s="79" t="b">
        <v>0</v>
      </c>
      <c r="L156" s="79" t="b">
        <v>0</v>
      </c>
    </row>
    <row r="157" spans="1:12" ht="15">
      <c r="A157" s="85" t="s">
        <v>1853</v>
      </c>
      <c r="B157" s="84" t="s">
        <v>1854</v>
      </c>
      <c r="C157" s="79">
        <v>5</v>
      </c>
      <c r="D157" s="109">
        <v>0.0025658775698178776</v>
      </c>
      <c r="E157" s="109">
        <v>2.7528164311882715</v>
      </c>
      <c r="F157" s="79" t="s">
        <v>2085</v>
      </c>
      <c r="G157" s="79" t="b">
        <v>0</v>
      </c>
      <c r="H157" s="79" t="b">
        <v>0</v>
      </c>
      <c r="I157" s="79" t="b">
        <v>0</v>
      </c>
      <c r="J157" s="79" t="b">
        <v>0</v>
      </c>
      <c r="K157" s="79" t="b">
        <v>0</v>
      </c>
      <c r="L157" s="79" t="b">
        <v>0</v>
      </c>
    </row>
    <row r="158" spans="1:12" ht="15">
      <c r="A158" s="85" t="s">
        <v>1854</v>
      </c>
      <c r="B158" s="84" t="s">
        <v>1855</v>
      </c>
      <c r="C158" s="79">
        <v>5</v>
      </c>
      <c r="D158" s="109">
        <v>0.0025658775698178776</v>
      </c>
      <c r="E158" s="109">
        <v>2.7528164311882715</v>
      </c>
      <c r="F158" s="79" t="s">
        <v>2085</v>
      </c>
      <c r="G158" s="79" t="b">
        <v>0</v>
      </c>
      <c r="H158" s="79" t="b">
        <v>0</v>
      </c>
      <c r="I158" s="79" t="b">
        <v>0</v>
      </c>
      <c r="J158" s="79" t="b">
        <v>0</v>
      </c>
      <c r="K158" s="79" t="b">
        <v>0</v>
      </c>
      <c r="L158" s="79" t="b">
        <v>0</v>
      </c>
    </row>
    <row r="159" spans="1:12" ht="15">
      <c r="A159" s="85" t="s">
        <v>1855</v>
      </c>
      <c r="B159" s="84" t="s">
        <v>1856</v>
      </c>
      <c r="C159" s="79">
        <v>5</v>
      </c>
      <c r="D159" s="109">
        <v>0.0025658775698178776</v>
      </c>
      <c r="E159" s="109">
        <v>2.7528164311882715</v>
      </c>
      <c r="F159" s="79" t="s">
        <v>2085</v>
      </c>
      <c r="G159" s="79" t="b">
        <v>0</v>
      </c>
      <c r="H159" s="79" t="b">
        <v>0</v>
      </c>
      <c r="I159" s="79" t="b">
        <v>0</v>
      </c>
      <c r="J159" s="79" t="b">
        <v>0</v>
      </c>
      <c r="K159" s="79" t="b">
        <v>0</v>
      </c>
      <c r="L159" s="79" t="b">
        <v>0</v>
      </c>
    </row>
    <row r="160" spans="1:12" ht="15">
      <c r="A160" s="85" t="s">
        <v>1856</v>
      </c>
      <c r="B160" s="84" t="s">
        <v>1734</v>
      </c>
      <c r="C160" s="79">
        <v>5</v>
      </c>
      <c r="D160" s="109">
        <v>0.0025658775698178776</v>
      </c>
      <c r="E160" s="109">
        <v>2.2476664528683656</v>
      </c>
      <c r="F160" s="79" t="s">
        <v>2085</v>
      </c>
      <c r="G160" s="79" t="b">
        <v>0</v>
      </c>
      <c r="H160" s="79" t="b">
        <v>0</v>
      </c>
      <c r="I160" s="79" t="b">
        <v>0</v>
      </c>
      <c r="J160" s="79" t="b">
        <v>0</v>
      </c>
      <c r="K160" s="79" t="b">
        <v>0</v>
      </c>
      <c r="L160" s="79" t="b">
        <v>0</v>
      </c>
    </row>
    <row r="161" spans="1:12" ht="15">
      <c r="A161" s="85" t="s">
        <v>1734</v>
      </c>
      <c r="B161" s="84" t="s">
        <v>1703</v>
      </c>
      <c r="C161" s="79">
        <v>5</v>
      </c>
      <c r="D161" s="109">
        <v>0.0025658775698178776</v>
      </c>
      <c r="E161" s="109">
        <v>0.7213271754785214</v>
      </c>
      <c r="F161" s="79" t="s">
        <v>2085</v>
      </c>
      <c r="G161" s="79" t="b">
        <v>0</v>
      </c>
      <c r="H161" s="79" t="b">
        <v>0</v>
      </c>
      <c r="I161" s="79" t="b">
        <v>0</v>
      </c>
      <c r="J161" s="79" t="b">
        <v>0</v>
      </c>
      <c r="K161" s="79" t="b">
        <v>0</v>
      </c>
      <c r="L161" s="79" t="b">
        <v>0</v>
      </c>
    </row>
    <row r="162" spans="1:12" ht="15">
      <c r="A162" s="85" t="s">
        <v>1858</v>
      </c>
      <c r="B162" s="84" t="s">
        <v>1859</v>
      </c>
      <c r="C162" s="79">
        <v>4</v>
      </c>
      <c r="D162" s="109">
        <v>0.0021817433514708887</v>
      </c>
      <c r="E162" s="109">
        <v>2.8497264441963277</v>
      </c>
      <c r="F162" s="79" t="s">
        <v>2085</v>
      </c>
      <c r="G162" s="79" t="b">
        <v>0</v>
      </c>
      <c r="H162" s="79" t="b">
        <v>0</v>
      </c>
      <c r="I162" s="79" t="b">
        <v>0</v>
      </c>
      <c r="J162" s="79" t="b">
        <v>0</v>
      </c>
      <c r="K162" s="79" t="b">
        <v>0</v>
      </c>
      <c r="L162" s="79" t="b">
        <v>0</v>
      </c>
    </row>
    <row r="163" spans="1:12" ht="15">
      <c r="A163" s="85" t="s">
        <v>1859</v>
      </c>
      <c r="B163" s="84" t="s">
        <v>1766</v>
      </c>
      <c r="C163" s="79">
        <v>4</v>
      </c>
      <c r="D163" s="109">
        <v>0.0021817433514708887</v>
      </c>
      <c r="E163" s="109">
        <v>2.6066883955100333</v>
      </c>
      <c r="F163" s="79" t="s">
        <v>2085</v>
      </c>
      <c r="G163" s="79" t="b">
        <v>0</v>
      </c>
      <c r="H163" s="79" t="b">
        <v>0</v>
      </c>
      <c r="I163" s="79" t="b">
        <v>0</v>
      </c>
      <c r="J163" s="79" t="b">
        <v>0</v>
      </c>
      <c r="K163" s="79" t="b">
        <v>0</v>
      </c>
      <c r="L163" s="79" t="b">
        <v>0</v>
      </c>
    </row>
    <row r="164" spans="1:12" ht="15">
      <c r="A164" s="85" t="s">
        <v>1766</v>
      </c>
      <c r="B164" s="84" t="s">
        <v>1860</v>
      </c>
      <c r="C164" s="79">
        <v>4</v>
      </c>
      <c r="D164" s="109">
        <v>0.0021817433514708887</v>
      </c>
      <c r="E164" s="109">
        <v>2.7528164311882715</v>
      </c>
      <c r="F164" s="79" t="s">
        <v>2085</v>
      </c>
      <c r="G164" s="79" t="b">
        <v>0</v>
      </c>
      <c r="H164" s="79" t="b">
        <v>0</v>
      </c>
      <c r="I164" s="79" t="b">
        <v>0</v>
      </c>
      <c r="J164" s="79" t="b">
        <v>0</v>
      </c>
      <c r="K164" s="79" t="b">
        <v>0</v>
      </c>
      <c r="L164" s="79" t="b">
        <v>0</v>
      </c>
    </row>
    <row r="165" spans="1:12" ht="15">
      <c r="A165" s="85" t="s">
        <v>1860</v>
      </c>
      <c r="B165" s="84" t="s">
        <v>1861</v>
      </c>
      <c r="C165" s="79">
        <v>4</v>
      </c>
      <c r="D165" s="109">
        <v>0.0021817433514708887</v>
      </c>
      <c r="E165" s="109">
        <v>2.8497264441963277</v>
      </c>
      <c r="F165" s="79" t="s">
        <v>2085</v>
      </c>
      <c r="G165" s="79" t="b">
        <v>0</v>
      </c>
      <c r="H165" s="79" t="b">
        <v>0</v>
      </c>
      <c r="I165" s="79" t="b">
        <v>0</v>
      </c>
      <c r="J165" s="79" t="b">
        <v>0</v>
      </c>
      <c r="K165" s="79" t="b">
        <v>0</v>
      </c>
      <c r="L165" s="79" t="b">
        <v>0</v>
      </c>
    </row>
    <row r="166" spans="1:12" ht="15">
      <c r="A166" s="85" t="s">
        <v>1861</v>
      </c>
      <c r="B166" s="84" t="s">
        <v>376</v>
      </c>
      <c r="C166" s="79">
        <v>4</v>
      </c>
      <c r="D166" s="109">
        <v>0.0021817433514708887</v>
      </c>
      <c r="E166" s="109">
        <v>2.673635185140647</v>
      </c>
      <c r="F166" s="79" t="s">
        <v>2085</v>
      </c>
      <c r="G166" s="79" t="b">
        <v>0</v>
      </c>
      <c r="H166" s="79" t="b">
        <v>0</v>
      </c>
      <c r="I166" s="79" t="b">
        <v>0</v>
      </c>
      <c r="J166" s="79" t="b">
        <v>0</v>
      </c>
      <c r="K166" s="79" t="b">
        <v>0</v>
      </c>
      <c r="L166" s="79" t="b">
        <v>0</v>
      </c>
    </row>
    <row r="167" spans="1:12" ht="15">
      <c r="A167" s="85" t="s">
        <v>376</v>
      </c>
      <c r="B167" s="84" t="s">
        <v>1749</v>
      </c>
      <c r="C167" s="79">
        <v>4</v>
      </c>
      <c r="D167" s="109">
        <v>0.0021817433514708887</v>
      </c>
      <c r="E167" s="109">
        <v>2.3726051894766655</v>
      </c>
      <c r="F167" s="79" t="s">
        <v>2085</v>
      </c>
      <c r="G167" s="79" t="b">
        <v>0</v>
      </c>
      <c r="H167" s="79" t="b">
        <v>0</v>
      </c>
      <c r="I167" s="79" t="b">
        <v>0</v>
      </c>
      <c r="J167" s="79" t="b">
        <v>0</v>
      </c>
      <c r="K167" s="79" t="b">
        <v>0</v>
      </c>
      <c r="L167" s="79" t="b">
        <v>0</v>
      </c>
    </row>
    <row r="168" spans="1:12" ht="15">
      <c r="A168" s="85" t="s">
        <v>1749</v>
      </c>
      <c r="B168" s="84" t="s">
        <v>1862</v>
      </c>
      <c r="C168" s="79">
        <v>4</v>
      </c>
      <c r="D168" s="109">
        <v>0.0021817433514708887</v>
      </c>
      <c r="E168" s="109">
        <v>2.4103937503660653</v>
      </c>
      <c r="F168" s="79" t="s">
        <v>2085</v>
      </c>
      <c r="G168" s="79" t="b">
        <v>0</v>
      </c>
      <c r="H168" s="79" t="b">
        <v>0</v>
      </c>
      <c r="I168" s="79" t="b">
        <v>0</v>
      </c>
      <c r="J168" s="79" t="b">
        <v>0</v>
      </c>
      <c r="K168" s="79" t="b">
        <v>0</v>
      </c>
      <c r="L168" s="79" t="b">
        <v>0</v>
      </c>
    </row>
    <row r="169" spans="1:12" ht="15">
      <c r="A169" s="85" t="s">
        <v>1862</v>
      </c>
      <c r="B169" s="84" t="s">
        <v>1783</v>
      </c>
      <c r="C169" s="79">
        <v>4</v>
      </c>
      <c r="D169" s="109">
        <v>0.0021817433514708887</v>
      </c>
      <c r="E169" s="109">
        <v>2.6066883955100333</v>
      </c>
      <c r="F169" s="79" t="s">
        <v>2085</v>
      </c>
      <c r="G169" s="79" t="b">
        <v>0</v>
      </c>
      <c r="H169" s="79" t="b">
        <v>0</v>
      </c>
      <c r="I169" s="79" t="b">
        <v>0</v>
      </c>
      <c r="J169" s="79" t="b">
        <v>0</v>
      </c>
      <c r="K169" s="79" t="b">
        <v>0</v>
      </c>
      <c r="L169" s="79" t="b">
        <v>0</v>
      </c>
    </row>
    <row r="170" spans="1:12" ht="15">
      <c r="A170" s="85" t="s">
        <v>1783</v>
      </c>
      <c r="B170" s="84" t="s">
        <v>1805</v>
      </c>
      <c r="C170" s="79">
        <v>4</v>
      </c>
      <c r="D170" s="109">
        <v>0.0021817433514708887</v>
      </c>
      <c r="E170" s="109">
        <v>2.4975439260849654</v>
      </c>
      <c r="F170" s="79" t="s">
        <v>2085</v>
      </c>
      <c r="G170" s="79" t="b">
        <v>0</v>
      </c>
      <c r="H170" s="79" t="b">
        <v>0</v>
      </c>
      <c r="I170" s="79" t="b">
        <v>0</v>
      </c>
      <c r="J170" s="79" t="b">
        <v>0</v>
      </c>
      <c r="K170" s="79" t="b">
        <v>0</v>
      </c>
      <c r="L170" s="79" t="b">
        <v>0</v>
      </c>
    </row>
    <row r="171" spans="1:12" ht="15">
      <c r="A171" s="85" t="s">
        <v>1782</v>
      </c>
      <c r="B171" s="84" t="s">
        <v>1764</v>
      </c>
      <c r="C171" s="79">
        <v>4</v>
      </c>
      <c r="D171" s="109">
        <v>0.0021817433514708887</v>
      </c>
      <c r="E171" s="109">
        <v>2.305658399846052</v>
      </c>
      <c r="F171" s="79" t="s">
        <v>2085</v>
      </c>
      <c r="G171" s="79" t="b">
        <v>0</v>
      </c>
      <c r="H171" s="79" t="b">
        <v>0</v>
      </c>
      <c r="I171" s="79" t="b">
        <v>0</v>
      </c>
      <c r="J171" s="79" t="b">
        <v>0</v>
      </c>
      <c r="K171" s="79" t="b">
        <v>0</v>
      </c>
      <c r="L171" s="79" t="b">
        <v>0</v>
      </c>
    </row>
    <row r="172" spans="1:12" ht="15">
      <c r="A172" s="85" t="s">
        <v>1729</v>
      </c>
      <c r="B172" s="84" t="s">
        <v>1761</v>
      </c>
      <c r="C172" s="79">
        <v>4</v>
      </c>
      <c r="D172" s="109">
        <v>0.0021817433514708887</v>
      </c>
      <c r="E172" s="109">
        <v>1.8443314123096217</v>
      </c>
      <c r="F172" s="79" t="s">
        <v>2085</v>
      </c>
      <c r="G172" s="79" t="b">
        <v>0</v>
      </c>
      <c r="H172" s="79" t="b">
        <v>0</v>
      </c>
      <c r="I172" s="79" t="b">
        <v>0</v>
      </c>
      <c r="J172" s="79" t="b">
        <v>0</v>
      </c>
      <c r="K172" s="79" t="b">
        <v>0</v>
      </c>
      <c r="L172" s="79" t="b">
        <v>0</v>
      </c>
    </row>
    <row r="173" spans="1:12" ht="15">
      <c r="A173" s="85" t="s">
        <v>1761</v>
      </c>
      <c r="B173" s="84" t="s">
        <v>1748</v>
      </c>
      <c r="C173" s="79">
        <v>4</v>
      </c>
      <c r="D173" s="109">
        <v>0.0021817433514708887</v>
      </c>
      <c r="E173" s="109">
        <v>2.020422671365303</v>
      </c>
      <c r="F173" s="79" t="s">
        <v>2085</v>
      </c>
      <c r="G173" s="79" t="b">
        <v>0</v>
      </c>
      <c r="H173" s="79" t="b">
        <v>0</v>
      </c>
      <c r="I173" s="79" t="b">
        <v>0</v>
      </c>
      <c r="J173" s="79" t="b">
        <v>0</v>
      </c>
      <c r="K173" s="79" t="b">
        <v>0</v>
      </c>
      <c r="L173" s="79" t="b">
        <v>0</v>
      </c>
    </row>
    <row r="174" spans="1:12" ht="15">
      <c r="A174" s="85" t="s">
        <v>1748</v>
      </c>
      <c r="B174" s="84" t="s">
        <v>1792</v>
      </c>
      <c r="C174" s="79">
        <v>4</v>
      </c>
      <c r="D174" s="109">
        <v>0.0021817433514708887</v>
      </c>
      <c r="E174" s="109">
        <v>2.129567140790371</v>
      </c>
      <c r="F174" s="79" t="s">
        <v>2085</v>
      </c>
      <c r="G174" s="79" t="b">
        <v>0</v>
      </c>
      <c r="H174" s="79" t="b">
        <v>0</v>
      </c>
      <c r="I174" s="79" t="b">
        <v>0</v>
      </c>
      <c r="J174" s="79" t="b">
        <v>0</v>
      </c>
      <c r="K174" s="79" t="b">
        <v>0</v>
      </c>
      <c r="L174" s="79" t="b">
        <v>0</v>
      </c>
    </row>
    <row r="175" spans="1:12" ht="15">
      <c r="A175" s="85" t="s">
        <v>1792</v>
      </c>
      <c r="B175" s="84" t="s">
        <v>1703</v>
      </c>
      <c r="C175" s="79">
        <v>4</v>
      </c>
      <c r="D175" s="109">
        <v>0.0021817433514708887</v>
      </c>
      <c r="E175" s="109">
        <v>0.9834391051121328</v>
      </c>
      <c r="F175" s="79" t="s">
        <v>2085</v>
      </c>
      <c r="G175" s="79" t="b">
        <v>0</v>
      </c>
      <c r="H175" s="79" t="b">
        <v>0</v>
      </c>
      <c r="I175" s="79" t="b">
        <v>0</v>
      </c>
      <c r="J175" s="79" t="b">
        <v>0</v>
      </c>
      <c r="K175" s="79" t="b">
        <v>0</v>
      </c>
      <c r="L175" s="79" t="b">
        <v>0</v>
      </c>
    </row>
    <row r="176" spans="1:12" ht="15">
      <c r="A176" s="85" t="s">
        <v>1703</v>
      </c>
      <c r="B176" s="84" t="s">
        <v>1865</v>
      </c>
      <c r="C176" s="79">
        <v>4</v>
      </c>
      <c r="D176" s="109">
        <v>0.0021817433514708887</v>
      </c>
      <c r="E176" s="109">
        <v>1.5172879842807225</v>
      </c>
      <c r="F176" s="79" t="s">
        <v>2085</v>
      </c>
      <c r="G176" s="79" t="b">
        <v>0</v>
      </c>
      <c r="H176" s="79" t="b">
        <v>0</v>
      </c>
      <c r="I176" s="79" t="b">
        <v>0</v>
      </c>
      <c r="J176" s="79" t="b">
        <v>0</v>
      </c>
      <c r="K176" s="79" t="b">
        <v>0</v>
      </c>
      <c r="L176" s="79" t="b">
        <v>0</v>
      </c>
    </row>
    <row r="177" spans="1:12" ht="15">
      <c r="A177" s="85" t="s">
        <v>1865</v>
      </c>
      <c r="B177" s="84" t="s">
        <v>1866</v>
      </c>
      <c r="C177" s="79">
        <v>4</v>
      </c>
      <c r="D177" s="109">
        <v>0.0021817433514708887</v>
      </c>
      <c r="E177" s="109">
        <v>2.8497264441963277</v>
      </c>
      <c r="F177" s="79" t="s">
        <v>2085</v>
      </c>
      <c r="G177" s="79" t="b">
        <v>0</v>
      </c>
      <c r="H177" s="79" t="b">
        <v>0</v>
      </c>
      <c r="I177" s="79" t="b">
        <v>0</v>
      </c>
      <c r="J177" s="79" t="b">
        <v>0</v>
      </c>
      <c r="K177" s="79" t="b">
        <v>0</v>
      </c>
      <c r="L177" s="79" t="b">
        <v>0</v>
      </c>
    </row>
    <row r="178" spans="1:12" ht="15">
      <c r="A178" s="85" t="s">
        <v>1866</v>
      </c>
      <c r="B178" s="84" t="s">
        <v>1867</v>
      </c>
      <c r="C178" s="79">
        <v>4</v>
      </c>
      <c r="D178" s="109">
        <v>0.0021817433514708887</v>
      </c>
      <c r="E178" s="109">
        <v>2.8497264441963277</v>
      </c>
      <c r="F178" s="79" t="s">
        <v>2085</v>
      </c>
      <c r="G178" s="79" t="b">
        <v>0</v>
      </c>
      <c r="H178" s="79" t="b">
        <v>0</v>
      </c>
      <c r="I178" s="79" t="b">
        <v>0</v>
      </c>
      <c r="J178" s="79" t="b">
        <v>0</v>
      </c>
      <c r="K178" s="79" t="b">
        <v>0</v>
      </c>
      <c r="L178" s="79" t="b">
        <v>0</v>
      </c>
    </row>
    <row r="179" spans="1:12" ht="15">
      <c r="A179" s="85" t="s">
        <v>1867</v>
      </c>
      <c r="B179" s="84" t="s">
        <v>1793</v>
      </c>
      <c r="C179" s="79">
        <v>4</v>
      </c>
      <c r="D179" s="109">
        <v>0.0021817433514708887</v>
      </c>
      <c r="E179" s="109">
        <v>2.6066883955100333</v>
      </c>
      <c r="F179" s="79" t="s">
        <v>2085</v>
      </c>
      <c r="G179" s="79" t="b">
        <v>0</v>
      </c>
      <c r="H179" s="79" t="b">
        <v>0</v>
      </c>
      <c r="I179" s="79" t="b">
        <v>0</v>
      </c>
      <c r="J179" s="79" t="b">
        <v>0</v>
      </c>
      <c r="K179" s="79" t="b">
        <v>0</v>
      </c>
      <c r="L179" s="79" t="b">
        <v>0</v>
      </c>
    </row>
    <row r="180" spans="1:12" ht="15">
      <c r="A180" s="85" t="s">
        <v>1793</v>
      </c>
      <c r="B180" s="84" t="s">
        <v>1726</v>
      </c>
      <c r="C180" s="79">
        <v>4</v>
      </c>
      <c r="D180" s="109">
        <v>0.0021817433514708887</v>
      </c>
      <c r="E180" s="109">
        <v>1.8865290921040765</v>
      </c>
      <c r="F180" s="79" t="s">
        <v>2085</v>
      </c>
      <c r="G180" s="79" t="b">
        <v>0</v>
      </c>
      <c r="H180" s="79" t="b">
        <v>0</v>
      </c>
      <c r="I180" s="79" t="b">
        <v>0</v>
      </c>
      <c r="J180" s="79" t="b">
        <v>0</v>
      </c>
      <c r="K180" s="79" t="b">
        <v>0</v>
      </c>
      <c r="L180" s="79" t="b">
        <v>0</v>
      </c>
    </row>
    <row r="181" spans="1:12" ht="15">
      <c r="A181" s="85" t="s">
        <v>1726</v>
      </c>
      <c r="B181" s="84" t="s">
        <v>1820</v>
      </c>
      <c r="C181" s="79">
        <v>4</v>
      </c>
      <c r="D181" s="109">
        <v>0.0021817433514708887</v>
      </c>
      <c r="E181" s="109">
        <v>2.0326571277823144</v>
      </c>
      <c r="F181" s="79" t="s">
        <v>2085</v>
      </c>
      <c r="G181" s="79" t="b">
        <v>0</v>
      </c>
      <c r="H181" s="79" t="b">
        <v>0</v>
      </c>
      <c r="I181" s="79" t="b">
        <v>0</v>
      </c>
      <c r="J181" s="79" t="b">
        <v>0</v>
      </c>
      <c r="K181" s="79" t="b">
        <v>0</v>
      </c>
      <c r="L181" s="79" t="b">
        <v>0</v>
      </c>
    </row>
    <row r="182" spans="1:12" ht="15">
      <c r="A182" s="85" t="s">
        <v>1820</v>
      </c>
      <c r="B182" s="84" t="s">
        <v>1868</v>
      </c>
      <c r="C182" s="79">
        <v>4</v>
      </c>
      <c r="D182" s="109">
        <v>0.0021817433514708887</v>
      </c>
      <c r="E182" s="109">
        <v>2.7528164311882715</v>
      </c>
      <c r="F182" s="79" t="s">
        <v>2085</v>
      </c>
      <c r="G182" s="79" t="b">
        <v>0</v>
      </c>
      <c r="H182" s="79" t="b">
        <v>0</v>
      </c>
      <c r="I182" s="79" t="b">
        <v>0</v>
      </c>
      <c r="J182" s="79" t="b">
        <v>0</v>
      </c>
      <c r="K182" s="79" t="b">
        <v>0</v>
      </c>
      <c r="L182" s="79" t="b">
        <v>0</v>
      </c>
    </row>
    <row r="183" spans="1:12" ht="15">
      <c r="A183" s="85" t="s">
        <v>1868</v>
      </c>
      <c r="B183" s="84" t="s">
        <v>1869</v>
      </c>
      <c r="C183" s="79">
        <v>4</v>
      </c>
      <c r="D183" s="109">
        <v>0.0021817433514708887</v>
      </c>
      <c r="E183" s="109">
        <v>2.8497264441963277</v>
      </c>
      <c r="F183" s="79" t="s">
        <v>2085</v>
      </c>
      <c r="G183" s="79" t="b">
        <v>0</v>
      </c>
      <c r="H183" s="79" t="b">
        <v>0</v>
      </c>
      <c r="I183" s="79" t="b">
        <v>0</v>
      </c>
      <c r="J183" s="79" t="b">
        <v>0</v>
      </c>
      <c r="K183" s="79" t="b">
        <v>0</v>
      </c>
      <c r="L183" s="79" t="b">
        <v>0</v>
      </c>
    </row>
    <row r="184" spans="1:12" ht="15">
      <c r="A184" s="85" t="s">
        <v>1869</v>
      </c>
      <c r="B184" s="84" t="s">
        <v>1870</v>
      </c>
      <c r="C184" s="79">
        <v>4</v>
      </c>
      <c r="D184" s="109">
        <v>0.0021817433514708887</v>
      </c>
      <c r="E184" s="109">
        <v>2.8497264441963277</v>
      </c>
      <c r="F184" s="79" t="s">
        <v>2085</v>
      </c>
      <c r="G184" s="79" t="b">
        <v>0</v>
      </c>
      <c r="H184" s="79" t="b">
        <v>0</v>
      </c>
      <c r="I184" s="79" t="b">
        <v>0</v>
      </c>
      <c r="J184" s="79" t="b">
        <v>0</v>
      </c>
      <c r="K184" s="79" t="b">
        <v>0</v>
      </c>
      <c r="L184" s="79" t="b">
        <v>0</v>
      </c>
    </row>
    <row r="185" spans="1:12" ht="15">
      <c r="A185" s="85" t="s">
        <v>1870</v>
      </c>
      <c r="B185" s="84" t="s">
        <v>1871</v>
      </c>
      <c r="C185" s="79">
        <v>4</v>
      </c>
      <c r="D185" s="109">
        <v>0.0021817433514708887</v>
      </c>
      <c r="E185" s="109">
        <v>2.8497264441963277</v>
      </c>
      <c r="F185" s="79" t="s">
        <v>2085</v>
      </c>
      <c r="G185" s="79" t="b">
        <v>0</v>
      </c>
      <c r="H185" s="79" t="b">
        <v>0</v>
      </c>
      <c r="I185" s="79" t="b">
        <v>0</v>
      </c>
      <c r="J185" s="79" t="b">
        <v>0</v>
      </c>
      <c r="K185" s="79" t="b">
        <v>0</v>
      </c>
      <c r="L185" s="79" t="b">
        <v>0</v>
      </c>
    </row>
    <row r="186" spans="1:12" ht="15">
      <c r="A186" s="85" t="s">
        <v>1871</v>
      </c>
      <c r="B186" s="84" t="s">
        <v>1872</v>
      </c>
      <c r="C186" s="79">
        <v>4</v>
      </c>
      <c r="D186" s="109">
        <v>0.0021817433514708887</v>
      </c>
      <c r="E186" s="109">
        <v>2.8497264441963277</v>
      </c>
      <c r="F186" s="79" t="s">
        <v>2085</v>
      </c>
      <c r="G186" s="79" t="b">
        <v>0</v>
      </c>
      <c r="H186" s="79" t="b">
        <v>0</v>
      </c>
      <c r="I186" s="79" t="b">
        <v>0</v>
      </c>
      <c r="J186" s="79" t="b">
        <v>0</v>
      </c>
      <c r="K186" s="79" t="b">
        <v>0</v>
      </c>
      <c r="L186" s="79" t="b">
        <v>0</v>
      </c>
    </row>
    <row r="187" spans="1:12" ht="15">
      <c r="A187" s="85" t="s">
        <v>1872</v>
      </c>
      <c r="B187" s="84" t="s">
        <v>1873</v>
      </c>
      <c r="C187" s="79">
        <v>4</v>
      </c>
      <c r="D187" s="109">
        <v>0.0021817433514708887</v>
      </c>
      <c r="E187" s="109">
        <v>2.8497264441963277</v>
      </c>
      <c r="F187" s="79" t="s">
        <v>2085</v>
      </c>
      <c r="G187" s="79" t="b">
        <v>0</v>
      </c>
      <c r="H187" s="79" t="b">
        <v>0</v>
      </c>
      <c r="I187" s="79" t="b">
        <v>0</v>
      </c>
      <c r="J187" s="79" t="b">
        <v>0</v>
      </c>
      <c r="K187" s="79" t="b">
        <v>0</v>
      </c>
      <c r="L187" s="79" t="b">
        <v>0</v>
      </c>
    </row>
    <row r="188" spans="1:12" ht="15">
      <c r="A188" s="85" t="s">
        <v>1873</v>
      </c>
      <c r="B188" s="84" t="s">
        <v>1874</v>
      </c>
      <c r="C188" s="79">
        <v>4</v>
      </c>
      <c r="D188" s="109">
        <v>0.0021817433514708887</v>
      </c>
      <c r="E188" s="109">
        <v>2.8497264441963277</v>
      </c>
      <c r="F188" s="79" t="s">
        <v>2085</v>
      </c>
      <c r="G188" s="79" t="b">
        <v>0</v>
      </c>
      <c r="H188" s="79" t="b">
        <v>0</v>
      </c>
      <c r="I188" s="79" t="b">
        <v>0</v>
      </c>
      <c r="J188" s="79" t="b">
        <v>0</v>
      </c>
      <c r="K188" s="79" t="b">
        <v>0</v>
      </c>
      <c r="L188" s="79" t="b">
        <v>0</v>
      </c>
    </row>
    <row r="189" spans="1:12" ht="15">
      <c r="A189" s="85" t="s">
        <v>1874</v>
      </c>
      <c r="B189" s="84" t="s">
        <v>1762</v>
      </c>
      <c r="C189" s="79">
        <v>4</v>
      </c>
      <c r="D189" s="109">
        <v>0.0021817433514708887</v>
      </c>
      <c r="E189" s="109">
        <v>2.4975439260849654</v>
      </c>
      <c r="F189" s="79" t="s">
        <v>2085</v>
      </c>
      <c r="G189" s="79" t="b">
        <v>0</v>
      </c>
      <c r="H189" s="79" t="b">
        <v>0</v>
      </c>
      <c r="I189" s="79" t="b">
        <v>0</v>
      </c>
      <c r="J189" s="79" t="b">
        <v>0</v>
      </c>
      <c r="K189" s="79" t="b">
        <v>0</v>
      </c>
      <c r="L189" s="79" t="b">
        <v>0</v>
      </c>
    </row>
    <row r="190" spans="1:12" ht="15">
      <c r="A190" s="85" t="s">
        <v>1762</v>
      </c>
      <c r="B190" s="84" t="s">
        <v>1875</v>
      </c>
      <c r="C190" s="79">
        <v>4</v>
      </c>
      <c r="D190" s="109">
        <v>0.0021817433514708887</v>
      </c>
      <c r="E190" s="109">
        <v>2.4975439260849654</v>
      </c>
      <c r="F190" s="79" t="s">
        <v>2085</v>
      </c>
      <c r="G190" s="79" t="b">
        <v>0</v>
      </c>
      <c r="H190" s="79" t="b">
        <v>0</v>
      </c>
      <c r="I190" s="79" t="b">
        <v>0</v>
      </c>
      <c r="J190" s="79" t="b">
        <v>0</v>
      </c>
      <c r="K190" s="79" t="b">
        <v>0</v>
      </c>
      <c r="L190" s="79" t="b">
        <v>0</v>
      </c>
    </row>
    <row r="191" spans="1:12" ht="15">
      <c r="A191" s="85" t="s">
        <v>1875</v>
      </c>
      <c r="B191" s="84" t="s">
        <v>1876</v>
      </c>
      <c r="C191" s="79">
        <v>4</v>
      </c>
      <c r="D191" s="109">
        <v>0.0021817433514708887</v>
      </c>
      <c r="E191" s="109">
        <v>2.8497264441963277</v>
      </c>
      <c r="F191" s="79" t="s">
        <v>2085</v>
      </c>
      <c r="G191" s="79" t="b">
        <v>0</v>
      </c>
      <c r="H191" s="79" t="b">
        <v>0</v>
      </c>
      <c r="I191" s="79" t="b">
        <v>0</v>
      </c>
      <c r="J191" s="79" t="b">
        <v>0</v>
      </c>
      <c r="K191" s="79" t="b">
        <v>0</v>
      </c>
      <c r="L191" s="79" t="b">
        <v>0</v>
      </c>
    </row>
    <row r="192" spans="1:12" ht="15">
      <c r="A192" s="85" t="s">
        <v>1876</v>
      </c>
      <c r="B192" s="84" t="s">
        <v>1877</v>
      </c>
      <c r="C192" s="79">
        <v>4</v>
      </c>
      <c r="D192" s="109">
        <v>0.0021817433514708887</v>
      </c>
      <c r="E192" s="109">
        <v>2.8497264441963277</v>
      </c>
      <c r="F192" s="79" t="s">
        <v>2085</v>
      </c>
      <c r="G192" s="79" t="b">
        <v>0</v>
      </c>
      <c r="H192" s="79" t="b">
        <v>0</v>
      </c>
      <c r="I192" s="79" t="b">
        <v>0</v>
      </c>
      <c r="J192" s="79" t="b">
        <v>0</v>
      </c>
      <c r="K192" s="79" t="b">
        <v>0</v>
      </c>
      <c r="L192" s="79" t="b">
        <v>0</v>
      </c>
    </row>
    <row r="193" spans="1:12" ht="15">
      <c r="A193" s="85" t="s">
        <v>1877</v>
      </c>
      <c r="B193" s="84" t="s">
        <v>1726</v>
      </c>
      <c r="C193" s="79">
        <v>4</v>
      </c>
      <c r="D193" s="109">
        <v>0.0021817433514708887</v>
      </c>
      <c r="E193" s="109">
        <v>2.129567140790371</v>
      </c>
      <c r="F193" s="79" t="s">
        <v>2085</v>
      </c>
      <c r="G193" s="79" t="b">
        <v>0</v>
      </c>
      <c r="H193" s="79" t="b">
        <v>0</v>
      </c>
      <c r="I193" s="79" t="b">
        <v>0</v>
      </c>
      <c r="J193" s="79" t="b">
        <v>0</v>
      </c>
      <c r="K193" s="79" t="b">
        <v>0</v>
      </c>
      <c r="L193" s="79" t="b">
        <v>0</v>
      </c>
    </row>
    <row r="194" spans="1:12" ht="15">
      <c r="A194" s="85" t="s">
        <v>1726</v>
      </c>
      <c r="B194" s="84" t="s">
        <v>1746</v>
      </c>
      <c r="C194" s="79">
        <v>4</v>
      </c>
      <c r="D194" s="109">
        <v>0.0021817433514708887</v>
      </c>
      <c r="E194" s="109">
        <v>1.6176837798114965</v>
      </c>
      <c r="F194" s="79" t="s">
        <v>2085</v>
      </c>
      <c r="G194" s="79" t="b">
        <v>0</v>
      </c>
      <c r="H194" s="79" t="b">
        <v>0</v>
      </c>
      <c r="I194" s="79" t="b">
        <v>0</v>
      </c>
      <c r="J194" s="79" t="b">
        <v>0</v>
      </c>
      <c r="K194" s="79" t="b">
        <v>0</v>
      </c>
      <c r="L194" s="79" t="b">
        <v>0</v>
      </c>
    </row>
    <row r="195" spans="1:12" ht="15">
      <c r="A195" s="85" t="s">
        <v>1746</v>
      </c>
      <c r="B195" s="84" t="s">
        <v>1733</v>
      </c>
      <c r="C195" s="79">
        <v>4</v>
      </c>
      <c r="D195" s="109">
        <v>0.0021817433514708887</v>
      </c>
      <c r="E195" s="109">
        <v>1.7357830918894912</v>
      </c>
      <c r="F195" s="79" t="s">
        <v>2085</v>
      </c>
      <c r="G195" s="79" t="b">
        <v>0</v>
      </c>
      <c r="H195" s="79" t="b">
        <v>0</v>
      </c>
      <c r="I195" s="79" t="b">
        <v>0</v>
      </c>
      <c r="J195" s="79" t="b">
        <v>0</v>
      </c>
      <c r="K195" s="79" t="b">
        <v>0</v>
      </c>
      <c r="L195" s="79" t="b">
        <v>0</v>
      </c>
    </row>
    <row r="196" spans="1:12" ht="15">
      <c r="A196" s="85" t="s">
        <v>1794</v>
      </c>
      <c r="B196" s="84" t="s">
        <v>1881</v>
      </c>
      <c r="C196" s="79">
        <v>4</v>
      </c>
      <c r="D196" s="109">
        <v>0.0021817433514708887</v>
      </c>
      <c r="E196" s="109">
        <v>2.6066883955100333</v>
      </c>
      <c r="F196" s="79" t="s">
        <v>2085</v>
      </c>
      <c r="G196" s="79" t="b">
        <v>0</v>
      </c>
      <c r="H196" s="79" t="b">
        <v>0</v>
      </c>
      <c r="I196" s="79" t="b">
        <v>0</v>
      </c>
      <c r="J196" s="79" t="b">
        <v>0</v>
      </c>
      <c r="K196" s="79" t="b">
        <v>0</v>
      </c>
      <c r="L196" s="79" t="b">
        <v>0</v>
      </c>
    </row>
    <row r="197" spans="1:12" ht="15">
      <c r="A197" s="85" t="s">
        <v>1881</v>
      </c>
      <c r="B197" s="84" t="s">
        <v>1769</v>
      </c>
      <c r="C197" s="79">
        <v>4</v>
      </c>
      <c r="D197" s="109">
        <v>0.0021817433514708887</v>
      </c>
      <c r="E197" s="109">
        <v>2.5486964485323464</v>
      </c>
      <c r="F197" s="79" t="s">
        <v>2085</v>
      </c>
      <c r="G197" s="79" t="b">
        <v>0</v>
      </c>
      <c r="H197" s="79" t="b">
        <v>0</v>
      </c>
      <c r="I197" s="79" t="b">
        <v>0</v>
      </c>
      <c r="J197" s="79" t="b">
        <v>0</v>
      </c>
      <c r="K197" s="79" t="b">
        <v>0</v>
      </c>
      <c r="L197" s="79" t="b">
        <v>0</v>
      </c>
    </row>
    <row r="198" spans="1:12" ht="15">
      <c r="A198" s="85" t="s">
        <v>1769</v>
      </c>
      <c r="B198" s="84" t="s">
        <v>1730</v>
      </c>
      <c r="C198" s="79">
        <v>4</v>
      </c>
      <c r="D198" s="109">
        <v>0.0021817433514708887</v>
      </c>
      <c r="E198" s="109">
        <v>1.895483934757003</v>
      </c>
      <c r="F198" s="79" t="s">
        <v>2085</v>
      </c>
      <c r="G198" s="79" t="b">
        <v>0</v>
      </c>
      <c r="H198" s="79" t="b">
        <v>0</v>
      </c>
      <c r="I198" s="79" t="b">
        <v>0</v>
      </c>
      <c r="J198" s="79" t="b">
        <v>0</v>
      </c>
      <c r="K198" s="79" t="b">
        <v>0</v>
      </c>
      <c r="L198" s="79" t="b">
        <v>0</v>
      </c>
    </row>
    <row r="199" spans="1:12" ht="15">
      <c r="A199" s="85" t="s">
        <v>1763</v>
      </c>
      <c r="B199" s="84" t="s">
        <v>1882</v>
      </c>
      <c r="C199" s="79">
        <v>4</v>
      </c>
      <c r="D199" s="109">
        <v>0.0021817433514708887</v>
      </c>
      <c r="E199" s="109">
        <v>2.6066883955100333</v>
      </c>
      <c r="F199" s="79" t="s">
        <v>2085</v>
      </c>
      <c r="G199" s="79" t="b">
        <v>0</v>
      </c>
      <c r="H199" s="79" t="b">
        <v>0</v>
      </c>
      <c r="I199" s="79" t="b">
        <v>0</v>
      </c>
      <c r="J199" s="79" t="b">
        <v>0</v>
      </c>
      <c r="K199" s="79" t="b">
        <v>0</v>
      </c>
      <c r="L199" s="79" t="b">
        <v>0</v>
      </c>
    </row>
    <row r="200" spans="1:12" ht="15">
      <c r="A200" s="85" t="s">
        <v>1882</v>
      </c>
      <c r="B200" s="84" t="s">
        <v>1883</v>
      </c>
      <c r="C200" s="79">
        <v>4</v>
      </c>
      <c r="D200" s="109">
        <v>0.0021817433514708887</v>
      </c>
      <c r="E200" s="109">
        <v>2.8497264441963277</v>
      </c>
      <c r="F200" s="79" t="s">
        <v>2085</v>
      </c>
      <c r="G200" s="79" t="b">
        <v>0</v>
      </c>
      <c r="H200" s="79" t="b">
        <v>0</v>
      </c>
      <c r="I200" s="79" t="b">
        <v>0</v>
      </c>
      <c r="J200" s="79" t="b">
        <v>0</v>
      </c>
      <c r="K200" s="79" t="b">
        <v>0</v>
      </c>
      <c r="L200" s="79" t="b">
        <v>0</v>
      </c>
    </row>
    <row r="201" spans="1:12" ht="15">
      <c r="A201" s="85" t="s">
        <v>1883</v>
      </c>
      <c r="B201" s="84" t="s">
        <v>1769</v>
      </c>
      <c r="C201" s="79">
        <v>4</v>
      </c>
      <c r="D201" s="109">
        <v>0.0021817433514708887</v>
      </c>
      <c r="E201" s="109">
        <v>2.5486964485323464</v>
      </c>
      <c r="F201" s="79" t="s">
        <v>2085</v>
      </c>
      <c r="G201" s="79" t="b">
        <v>0</v>
      </c>
      <c r="H201" s="79" t="b">
        <v>0</v>
      </c>
      <c r="I201" s="79" t="b">
        <v>0</v>
      </c>
      <c r="J201" s="79" t="b">
        <v>0</v>
      </c>
      <c r="K201" s="79" t="b">
        <v>0</v>
      </c>
      <c r="L201" s="79" t="b">
        <v>0</v>
      </c>
    </row>
    <row r="202" spans="1:12" ht="15">
      <c r="A202" s="85" t="s">
        <v>1769</v>
      </c>
      <c r="B202" s="84" t="s">
        <v>1703</v>
      </c>
      <c r="C202" s="79">
        <v>4</v>
      </c>
      <c r="D202" s="109">
        <v>0.0021817433514708887</v>
      </c>
      <c r="E202" s="109">
        <v>0.9254471581344462</v>
      </c>
      <c r="F202" s="79" t="s">
        <v>2085</v>
      </c>
      <c r="G202" s="79" t="b">
        <v>0</v>
      </c>
      <c r="H202" s="79" t="b">
        <v>0</v>
      </c>
      <c r="I202" s="79" t="b">
        <v>0</v>
      </c>
      <c r="J202" s="79" t="b">
        <v>0</v>
      </c>
      <c r="K202" s="79" t="b">
        <v>0</v>
      </c>
      <c r="L202" s="79" t="b">
        <v>0</v>
      </c>
    </row>
    <row r="203" spans="1:12" ht="15">
      <c r="A203" s="85" t="s">
        <v>1765</v>
      </c>
      <c r="B203" s="84" t="s">
        <v>1703</v>
      </c>
      <c r="C203" s="79">
        <v>3</v>
      </c>
      <c r="D203" s="109">
        <v>0.0017610798870468748</v>
      </c>
      <c r="E203" s="109">
        <v>1.1015384171901275</v>
      </c>
      <c r="F203" s="79" t="s">
        <v>2085</v>
      </c>
      <c r="G203" s="79" t="b">
        <v>0</v>
      </c>
      <c r="H203" s="79" t="b">
        <v>0</v>
      </c>
      <c r="I203" s="79" t="b">
        <v>0</v>
      </c>
      <c r="J203" s="79" t="b">
        <v>0</v>
      </c>
      <c r="K203" s="79" t="b">
        <v>0</v>
      </c>
      <c r="L203" s="79" t="b">
        <v>0</v>
      </c>
    </row>
    <row r="204" spans="1:12" ht="15">
      <c r="A204" s="85" t="s">
        <v>1889</v>
      </c>
      <c r="B204" s="84" t="s">
        <v>1890</v>
      </c>
      <c r="C204" s="79">
        <v>3</v>
      </c>
      <c r="D204" s="109">
        <v>0.0017610798870468748</v>
      </c>
      <c r="E204" s="109">
        <v>2.974665180804628</v>
      </c>
      <c r="F204" s="79" t="s">
        <v>2085</v>
      </c>
      <c r="G204" s="79" t="b">
        <v>0</v>
      </c>
      <c r="H204" s="79" t="b">
        <v>0</v>
      </c>
      <c r="I204" s="79" t="b">
        <v>0</v>
      </c>
      <c r="J204" s="79" t="b">
        <v>0</v>
      </c>
      <c r="K204" s="79" t="b">
        <v>0</v>
      </c>
      <c r="L204" s="79" t="b">
        <v>0</v>
      </c>
    </row>
    <row r="205" spans="1:12" ht="15">
      <c r="A205" s="85" t="s">
        <v>1890</v>
      </c>
      <c r="B205" s="84" t="s">
        <v>1703</v>
      </c>
      <c r="C205" s="79">
        <v>3</v>
      </c>
      <c r="D205" s="109">
        <v>0.0017610798870468748</v>
      </c>
      <c r="E205" s="109">
        <v>1.2264771537984274</v>
      </c>
      <c r="F205" s="79" t="s">
        <v>2085</v>
      </c>
      <c r="G205" s="79" t="b">
        <v>0</v>
      </c>
      <c r="H205" s="79" t="b">
        <v>0</v>
      </c>
      <c r="I205" s="79" t="b">
        <v>0</v>
      </c>
      <c r="J205" s="79" t="b">
        <v>0</v>
      </c>
      <c r="K205" s="79" t="b">
        <v>0</v>
      </c>
      <c r="L205" s="79" t="b">
        <v>0</v>
      </c>
    </row>
    <row r="206" spans="1:12" ht="15">
      <c r="A206" s="85" t="s">
        <v>1703</v>
      </c>
      <c r="B206" s="84" t="s">
        <v>1891</v>
      </c>
      <c r="C206" s="79">
        <v>3</v>
      </c>
      <c r="D206" s="109">
        <v>0.0017610798870468748</v>
      </c>
      <c r="E206" s="109">
        <v>1.5172879842807225</v>
      </c>
      <c r="F206" s="79" t="s">
        <v>2085</v>
      </c>
      <c r="G206" s="79" t="b">
        <v>0</v>
      </c>
      <c r="H206" s="79" t="b">
        <v>0</v>
      </c>
      <c r="I206" s="79" t="b">
        <v>0</v>
      </c>
      <c r="J206" s="79" t="b">
        <v>0</v>
      </c>
      <c r="K206" s="79" t="b">
        <v>0</v>
      </c>
      <c r="L206" s="79" t="b">
        <v>0</v>
      </c>
    </row>
    <row r="207" spans="1:12" ht="15">
      <c r="A207" s="85" t="s">
        <v>1891</v>
      </c>
      <c r="B207" s="84" t="s">
        <v>1892</v>
      </c>
      <c r="C207" s="79">
        <v>3</v>
      </c>
      <c r="D207" s="109">
        <v>0.0017610798870468748</v>
      </c>
      <c r="E207" s="109">
        <v>2.974665180804628</v>
      </c>
      <c r="F207" s="79" t="s">
        <v>2085</v>
      </c>
      <c r="G207" s="79" t="b">
        <v>0</v>
      </c>
      <c r="H207" s="79" t="b">
        <v>0</v>
      </c>
      <c r="I207" s="79" t="b">
        <v>0</v>
      </c>
      <c r="J207" s="79" t="b">
        <v>0</v>
      </c>
      <c r="K207" s="79" t="b">
        <v>0</v>
      </c>
      <c r="L207" s="79" t="b">
        <v>0</v>
      </c>
    </row>
    <row r="208" spans="1:12" ht="15">
      <c r="A208" s="85" t="s">
        <v>1892</v>
      </c>
      <c r="B208" s="84" t="s">
        <v>1893</v>
      </c>
      <c r="C208" s="79">
        <v>3</v>
      </c>
      <c r="D208" s="109">
        <v>0.0017610798870468748</v>
      </c>
      <c r="E208" s="109">
        <v>2.974665180804628</v>
      </c>
      <c r="F208" s="79" t="s">
        <v>2085</v>
      </c>
      <c r="G208" s="79" t="b">
        <v>0</v>
      </c>
      <c r="H208" s="79" t="b">
        <v>0</v>
      </c>
      <c r="I208" s="79" t="b">
        <v>0</v>
      </c>
      <c r="J208" s="79" t="b">
        <v>0</v>
      </c>
      <c r="K208" s="79" t="b">
        <v>0</v>
      </c>
      <c r="L208" s="79" t="b">
        <v>0</v>
      </c>
    </row>
    <row r="209" spans="1:12" ht="15">
      <c r="A209" s="85" t="s">
        <v>1893</v>
      </c>
      <c r="B209" s="84" t="s">
        <v>1894</v>
      </c>
      <c r="C209" s="79">
        <v>3</v>
      </c>
      <c r="D209" s="109">
        <v>0.0017610798870468748</v>
      </c>
      <c r="E209" s="109">
        <v>2.974665180804628</v>
      </c>
      <c r="F209" s="79" t="s">
        <v>2085</v>
      </c>
      <c r="G209" s="79" t="b">
        <v>0</v>
      </c>
      <c r="H209" s="79" t="b">
        <v>0</v>
      </c>
      <c r="I209" s="79" t="b">
        <v>0</v>
      </c>
      <c r="J209" s="79" t="b">
        <v>0</v>
      </c>
      <c r="K209" s="79" t="b">
        <v>0</v>
      </c>
      <c r="L209" s="79" t="b">
        <v>0</v>
      </c>
    </row>
    <row r="210" spans="1:12" ht="15">
      <c r="A210" s="85" t="s">
        <v>1894</v>
      </c>
      <c r="B210" s="84" t="s">
        <v>1895</v>
      </c>
      <c r="C210" s="79">
        <v>3</v>
      </c>
      <c r="D210" s="109">
        <v>0.0017610798870468748</v>
      </c>
      <c r="E210" s="109">
        <v>2.974665180804628</v>
      </c>
      <c r="F210" s="79" t="s">
        <v>2085</v>
      </c>
      <c r="G210" s="79" t="b">
        <v>0</v>
      </c>
      <c r="H210" s="79" t="b">
        <v>0</v>
      </c>
      <c r="I210" s="79" t="b">
        <v>0</v>
      </c>
      <c r="J210" s="79" t="b">
        <v>0</v>
      </c>
      <c r="K210" s="79" t="b">
        <v>0</v>
      </c>
      <c r="L210" s="79" t="b">
        <v>0</v>
      </c>
    </row>
    <row r="211" spans="1:12" ht="15">
      <c r="A211" s="85" t="s">
        <v>1895</v>
      </c>
      <c r="B211" s="84" t="s">
        <v>1896</v>
      </c>
      <c r="C211" s="79">
        <v>3</v>
      </c>
      <c r="D211" s="109">
        <v>0.0017610798870468748</v>
      </c>
      <c r="E211" s="109">
        <v>2.974665180804628</v>
      </c>
      <c r="F211" s="79" t="s">
        <v>2085</v>
      </c>
      <c r="G211" s="79" t="b">
        <v>0</v>
      </c>
      <c r="H211" s="79" t="b">
        <v>0</v>
      </c>
      <c r="I211" s="79" t="b">
        <v>0</v>
      </c>
      <c r="J211" s="79" t="b">
        <v>0</v>
      </c>
      <c r="K211" s="79" t="b">
        <v>0</v>
      </c>
      <c r="L211" s="79" t="b">
        <v>0</v>
      </c>
    </row>
    <row r="212" spans="1:12" ht="15">
      <c r="A212" s="85" t="s">
        <v>1896</v>
      </c>
      <c r="B212" s="84" t="s">
        <v>1897</v>
      </c>
      <c r="C212" s="79">
        <v>3</v>
      </c>
      <c r="D212" s="109">
        <v>0.0017610798870468748</v>
      </c>
      <c r="E212" s="109">
        <v>2.974665180804628</v>
      </c>
      <c r="F212" s="79" t="s">
        <v>2085</v>
      </c>
      <c r="G212" s="79" t="b">
        <v>0</v>
      </c>
      <c r="H212" s="79" t="b">
        <v>0</v>
      </c>
      <c r="I212" s="79" t="b">
        <v>0</v>
      </c>
      <c r="J212" s="79" t="b">
        <v>0</v>
      </c>
      <c r="K212" s="79" t="b">
        <v>0</v>
      </c>
      <c r="L212" s="79" t="b">
        <v>0</v>
      </c>
    </row>
    <row r="213" spans="1:12" ht="15">
      <c r="A213" s="85" t="s">
        <v>1897</v>
      </c>
      <c r="B213" s="84" t="s">
        <v>1898</v>
      </c>
      <c r="C213" s="79">
        <v>3</v>
      </c>
      <c r="D213" s="109">
        <v>0.0017610798870468748</v>
      </c>
      <c r="E213" s="109">
        <v>2.974665180804628</v>
      </c>
      <c r="F213" s="79" t="s">
        <v>2085</v>
      </c>
      <c r="G213" s="79" t="b">
        <v>0</v>
      </c>
      <c r="H213" s="79" t="b">
        <v>0</v>
      </c>
      <c r="I213" s="79" t="b">
        <v>0</v>
      </c>
      <c r="J213" s="79" t="b">
        <v>0</v>
      </c>
      <c r="K213" s="79" t="b">
        <v>0</v>
      </c>
      <c r="L213" s="79" t="b">
        <v>0</v>
      </c>
    </row>
    <row r="214" spans="1:12" ht="15">
      <c r="A214" s="85" t="s">
        <v>1898</v>
      </c>
      <c r="B214" s="84" t="s">
        <v>1899</v>
      </c>
      <c r="C214" s="79">
        <v>3</v>
      </c>
      <c r="D214" s="109">
        <v>0.0017610798870468748</v>
      </c>
      <c r="E214" s="109">
        <v>2.974665180804628</v>
      </c>
      <c r="F214" s="79" t="s">
        <v>2085</v>
      </c>
      <c r="G214" s="79" t="b">
        <v>0</v>
      </c>
      <c r="H214" s="79" t="b">
        <v>0</v>
      </c>
      <c r="I214" s="79" t="b">
        <v>0</v>
      </c>
      <c r="J214" s="79" t="b">
        <v>0</v>
      </c>
      <c r="K214" s="79" t="b">
        <v>0</v>
      </c>
      <c r="L214" s="79" t="b">
        <v>0</v>
      </c>
    </row>
    <row r="215" spans="1:12" ht="15">
      <c r="A215" s="85" t="s">
        <v>1899</v>
      </c>
      <c r="B215" s="84" t="s">
        <v>1900</v>
      </c>
      <c r="C215" s="79">
        <v>3</v>
      </c>
      <c r="D215" s="109">
        <v>0.0017610798870468748</v>
      </c>
      <c r="E215" s="109">
        <v>2.974665180804628</v>
      </c>
      <c r="F215" s="79" t="s">
        <v>2085</v>
      </c>
      <c r="G215" s="79" t="b">
        <v>0</v>
      </c>
      <c r="H215" s="79" t="b">
        <v>0</v>
      </c>
      <c r="I215" s="79" t="b">
        <v>0</v>
      </c>
      <c r="J215" s="79" t="b">
        <v>0</v>
      </c>
      <c r="K215" s="79" t="b">
        <v>0</v>
      </c>
      <c r="L215" s="79" t="b">
        <v>0</v>
      </c>
    </row>
    <row r="216" spans="1:12" ht="15">
      <c r="A216" s="85" t="s">
        <v>1900</v>
      </c>
      <c r="B216" s="84" t="s">
        <v>1901</v>
      </c>
      <c r="C216" s="79">
        <v>3</v>
      </c>
      <c r="D216" s="109">
        <v>0.0017610798870468748</v>
      </c>
      <c r="E216" s="109">
        <v>2.974665180804628</v>
      </c>
      <c r="F216" s="79" t="s">
        <v>2085</v>
      </c>
      <c r="G216" s="79" t="b">
        <v>0</v>
      </c>
      <c r="H216" s="79" t="b">
        <v>0</v>
      </c>
      <c r="I216" s="79" t="b">
        <v>0</v>
      </c>
      <c r="J216" s="79" t="b">
        <v>0</v>
      </c>
      <c r="K216" s="79" t="b">
        <v>0</v>
      </c>
      <c r="L216" s="79" t="b">
        <v>0</v>
      </c>
    </row>
    <row r="217" spans="1:12" ht="15">
      <c r="A217" s="85" t="s">
        <v>1901</v>
      </c>
      <c r="B217" s="84" t="s">
        <v>1766</v>
      </c>
      <c r="C217" s="79">
        <v>3</v>
      </c>
      <c r="D217" s="109">
        <v>0.0017610798870468748</v>
      </c>
      <c r="E217" s="109">
        <v>2.6066883955100333</v>
      </c>
      <c r="F217" s="79" t="s">
        <v>2085</v>
      </c>
      <c r="G217" s="79" t="b">
        <v>0</v>
      </c>
      <c r="H217" s="79" t="b">
        <v>0</v>
      </c>
      <c r="I217" s="79" t="b">
        <v>0</v>
      </c>
      <c r="J217" s="79" t="b">
        <v>0</v>
      </c>
      <c r="K217" s="79" t="b">
        <v>0</v>
      </c>
      <c r="L217" s="79" t="b">
        <v>0</v>
      </c>
    </row>
    <row r="218" spans="1:12" ht="15">
      <c r="A218" s="85" t="s">
        <v>1724</v>
      </c>
      <c r="B218" s="84" t="s">
        <v>1725</v>
      </c>
      <c r="C218" s="79">
        <v>3</v>
      </c>
      <c r="D218" s="109">
        <v>0.0017610798870468748</v>
      </c>
      <c r="E218" s="109">
        <v>1.022572648438862</v>
      </c>
      <c r="F218" s="79" t="s">
        <v>2085</v>
      </c>
      <c r="G218" s="79" t="b">
        <v>0</v>
      </c>
      <c r="H218" s="79" t="b">
        <v>0</v>
      </c>
      <c r="I218" s="79" t="b">
        <v>0</v>
      </c>
      <c r="J218" s="79" t="b">
        <v>0</v>
      </c>
      <c r="K218" s="79" t="b">
        <v>0</v>
      </c>
      <c r="L218" s="79" t="b">
        <v>0</v>
      </c>
    </row>
    <row r="219" spans="1:12" ht="15">
      <c r="A219" s="85" t="s">
        <v>1725</v>
      </c>
      <c r="B219" s="84" t="s">
        <v>1863</v>
      </c>
      <c r="C219" s="79">
        <v>3</v>
      </c>
      <c r="D219" s="109">
        <v>0.0017610798870468748</v>
      </c>
      <c r="E219" s="109">
        <v>1.9118743509451723</v>
      </c>
      <c r="F219" s="79" t="s">
        <v>2085</v>
      </c>
      <c r="G219" s="79" t="b">
        <v>0</v>
      </c>
      <c r="H219" s="79" t="b">
        <v>0</v>
      </c>
      <c r="I219" s="79" t="b">
        <v>0</v>
      </c>
      <c r="J219" s="79" t="b">
        <v>0</v>
      </c>
      <c r="K219" s="79" t="b">
        <v>0</v>
      </c>
      <c r="L219" s="79" t="b">
        <v>0</v>
      </c>
    </row>
    <row r="220" spans="1:12" ht="15">
      <c r="A220" s="85" t="s">
        <v>1863</v>
      </c>
      <c r="B220" s="84" t="s">
        <v>1705</v>
      </c>
      <c r="C220" s="79">
        <v>3</v>
      </c>
      <c r="D220" s="109">
        <v>0.0017610798870468748</v>
      </c>
      <c r="E220" s="109">
        <v>1.6278776945799713</v>
      </c>
      <c r="F220" s="79" t="s">
        <v>2085</v>
      </c>
      <c r="G220" s="79" t="b">
        <v>0</v>
      </c>
      <c r="H220" s="79" t="b">
        <v>0</v>
      </c>
      <c r="I220" s="79" t="b">
        <v>0</v>
      </c>
      <c r="J220" s="79" t="b">
        <v>0</v>
      </c>
      <c r="K220" s="79" t="b">
        <v>0</v>
      </c>
      <c r="L220" s="79" t="b">
        <v>0</v>
      </c>
    </row>
    <row r="221" spans="1:12" ht="15">
      <c r="A221" s="85" t="s">
        <v>1705</v>
      </c>
      <c r="B221" s="84" t="s">
        <v>1819</v>
      </c>
      <c r="C221" s="79">
        <v>3</v>
      </c>
      <c r="D221" s="109">
        <v>0.0017610798870468748</v>
      </c>
      <c r="E221" s="109">
        <v>1.530967681571915</v>
      </c>
      <c r="F221" s="79" t="s">
        <v>2085</v>
      </c>
      <c r="G221" s="79" t="b">
        <v>0</v>
      </c>
      <c r="H221" s="79" t="b">
        <v>0</v>
      </c>
      <c r="I221" s="79" t="b">
        <v>0</v>
      </c>
      <c r="J221" s="79" t="b">
        <v>0</v>
      </c>
      <c r="K221" s="79" t="b">
        <v>0</v>
      </c>
      <c r="L221" s="79" t="b">
        <v>0</v>
      </c>
    </row>
    <row r="222" spans="1:12" ht="15">
      <c r="A222" s="85" t="s">
        <v>1819</v>
      </c>
      <c r="B222" s="84" t="s">
        <v>1791</v>
      </c>
      <c r="C222" s="79">
        <v>3</v>
      </c>
      <c r="D222" s="109">
        <v>0.0017610798870468748</v>
      </c>
      <c r="E222" s="109">
        <v>2.673635185140647</v>
      </c>
      <c r="F222" s="79" t="s">
        <v>2085</v>
      </c>
      <c r="G222" s="79" t="b">
        <v>0</v>
      </c>
      <c r="H222" s="79" t="b">
        <v>0</v>
      </c>
      <c r="I222" s="79" t="b">
        <v>0</v>
      </c>
      <c r="J222" s="79" t="b">
        <v>0</v>
      </c>
      <c r="K222" s="79" t="b">
        <v>0</v>
      </c>
      <c r="L222" s="79" t="b">
        <v>0</v>
      </c>
    </row>
    <row r="223" spans="1:12" ht="15">
      <c r="A223" s="85" t="s">
        <v>1791</v>
      </c>
      <c r="B223" s="84" t="s">
        <v>1703</v>
      </c>
      <c r="C223" s="79">
        <v>3</v>
      </c>
      <c r="D223" s="109">
        <v>0.0017610798870468748</v>
      </c>
      <c r="E223" s="109">
        <v>0.8585003685038328</v>
      </c>
      <c r="F223" s="79" t="s">
        <v>2085</v>
      </c>
      <c r="G223" s="79" t="b">
        <v>0</v>
      </c>
      <c r="H223" s="79" t="b">
        <v>0</v>
      </c>
      <c r="I223" s="79" t="b">
        <v>0</v>
      </c>
      <c r="J223" s="79" t="b">
        <v>0</v>
      </c>
      <c r="K223" s="79" t="b">
        <v>0</v>
      </c>
      <c r="L223" s="79" t="b">
        <v>0</v>
      </c>
    </row>
    <row r="224" spans="1:12" ht="15">
      <c r="A224" s="85" t="s">
        <v>1703</v>
      </c>
      <c r="B224" s="84" t="s">
        <v>1728</v>
      </c>
      <c r="C224" s="79">
        <v>3</v>
      </c>
      <c r="D224" s="109">
        <v>0.0017610798870468748</v>
      </c>
      <c r="E224" s="109">
        <v>0.7391367338970788</v>
      </c>
      <c r="F224" s="79" t="s">
        <v>2085</v>
      </c>
      <c r="G224" s="79" t="b">
        <v>0</v>
      </c>
      <c r="H224" s="79" t="b">
        <v>0</v>
      </c>
      <c r="I224" s="79" t="b">
        <v>0</v>
      </c>
      <c r="J224" s="79" t="b">
        <v>0</v>
      </c>
      <c r="K224" s="79" t="b">
        <v>0</v>
      </c>
      <c r="L224" s="79" t="b">
        <v>0</v>
      </c>
    </row>
    <row r="225" spans="1:12" ht="15">
      <c r="A225" s="85" t="s">
        <v>1728</v>
      </c>
      <c r="B225" s="84" t="s">
        <v>1902</v>
      </c>
      <c r="C225" s="79">
        <v>3</v>
      </c>
      <c r="D225" s="109">
        <v>0.0017610798870468748</v>
      </c>
      <c r="E225" s="109">
        <v>2.196513930420984</v>
      </c>
      <c r="F225" s="79" t="s">
        <v>2085</v>
      </c>
      <c r="G225" s="79" t="b">
        <v>0</v>
      </c>
      <c r="H225" s="79" t="b">
        <v>0</v>
      </c>
      <c r="I225" s="79" t="b">
        <v>0</v>
      </c>
      <c r="J225" s="79" t="b">
        <v>0</v>
      </c>
      <c r="K225" s="79" t="b">
        <v>0</v>
      </c>
      <c r="L225" s="79" t="b">
        <v>0</v>
      </c>
    </row>
    <row r="226" spans="1:12" ht="15">
      <c r="A226" s="85" t="s">
        <v>1902</v>
      </c>
      <c r="B226" s="84" t="s">
        <v>1864</v>
      </c>
      <c r="C226" s="79">
        <v>3</v>
      </c>
      <c r="D226" s="109">
        <v>0.0017610798870468748</v>
      </c>
      <c r="E226" s="109">
        <v>2.8497264441963277</v>
      </c>
      <c r="F226" s="79" t="s">
        <v>2085</v>
      </c>
      <c r="G226" s="79" t="b">
        <v>0</v>
      </c>
      <c r="H226" s="79" t="b">
        <v>0</v>
      </c>
      <c r="I226" s="79" t="b">
        <v>0</v>
      </c>
      <c r="J226" s="79" t="b">
        <v>0</v>
      </c>
      <c r="K226" s="79" t="b">
        <v>0</v>
      </c>
      <c r="L226" s="79" t="b">
        <v>0</v>
      </c>
    </row>
    <row r="227" spans="1:12" ht="15">
      <c r="A227" s="85" t="s">
        <v>1864</v>
      </c>
      <c r="B227" s="84" t="s">
        <v>368</v>
      </c>
      <c r="C227" s="79">
        <v>3</v>
      </c>
      <c r="D227" s="109">
        <v>0.0017610798870468748</v>
      </c>
      <c r="E227" s="109">
        <v>2.004628404182071</v>
      </c>
      <c r="F227" s="79" t="s">
        <v>2085</v>
      </c>
      <c r="G227" s="79" t="b">
        <v>0</v>
      </c>
      <c r="H227" s="79" t="b">
        <v>0</v>
      </c>
      <c r="I227" s="79" t="b">
        <v>0</v>
      </c>
      <c r="J227" s="79" t="b">
        <v>0</v>
      </c>
      <c r="K227" s="79" t="b">
        <v>0</v>
      </c>
      <c r="L227" s="79" t="b">
        <v>0</v>
      </c>
    </row>
    <row r="228" spans="1:12" ht="15">
      <c r="A228" s="85" t="s">
        <v>1908</v>
      </c>
      <c r="B228" s="84" t="s">
        <v>1909</v>
      </c>
      <c r="C228" s="79">
        <v>3</v>
      </c>
      <c r="D228" s="109">
        <v>0.0017610798870468748</v>
      </c>
      <c r="E228" s="109">
        <v>2.974665180804628</v>
      </c>
      <c r="F228" s="79" t="s">
        <v>2085</v>
      </c>
      <c r="G228" s="79" t="b">
        <v>0</v>
      </c>
      <c r="H228" s="79" t="b">
        <v>0</v>
      </c>
      <c r="I228" s="79" t="b">
        <v>0</v>
      </c>
      <c r="J228" s="79" t="b">
        <v>0</v>
      </c>
      <c r="K228" s="79" t="b">
        <v>0</v>
      </c>
      <c r="L228" s="79" t="b">
        <v>0</v>
      </c>
    </row>
    <row r="229" spans="1:12" ht="15">
      <c r="A229" s="85" t="s">
        <v>1909</v>
      </c>
      <c r="B229" s="84" t="s">
        <v>1910</v>
      </c>
      <c r="C229" s="79">
        <v>3</v>
      </c>
      <c r="D229" s="109">
        <v>0.0017610798870468748</v>
      </c>
      <c r="E229" s="109">
        <v>2.974665180804628</v>
      </c>
      <c r="F229" s="79" t="s">
        <v>2085</v>
      </c>
      <c r="G229" s="79" t="b">
        <v>0</v>
      </c>
      <c r="H229" s="79" t="b">
        <v>0</v>
      </c>
      <c r="I229" s="79" t="b">
        <v>0</v>
      </c>
      <c r="J229" s="79" t="b">
        <v>0</v>
      </c>
      <c r="K229" s="79" t="b">
        <v>0</v>
      </c>
      <c r="L229" s="79" t="b">
        <v>0</v>
      </c>
    </row>
    <row r="230" spans="1:12" ht="15">
      <c r="A230" s="85" t="s">
        <v>1910</v>
      </c>
      <c r="B230" s="84" t="s">
        <v>1817</v>
      </c>
      <c r="C230" s="79">
        <v>3</v>
      </c>
      <c r="D230" s="109">
        <v>0.0017610798870468748</v>
      </c>
      <c r="E230" s="109">
        <v>2.673635185140647</v>
      </c>
      <c r="F230" s="79" t="s">
        <v>2085</v>
      </c>
      <c r="G230" s="79" t="b">
        <v>0</v>
      </c>
      <c r="H230" s="79" t="b">
        <v>0</v>
      </c>
      <c r="I230" s="79" t="b">
        <v>0</v>
      </c>
      <c r="J230" s="79" t="b">
        <v>0</v>
      </c>
      <c r="K230" s="79" t="b">
        <v>0</v>
      </c>
      <c r="L230" s="79" t="b">
        <v>0</v>
      </c>
    </row>
    <row r="231" spans="1:12" ht="15">
      <c r="A231" s="85" t="s">
        <v>1817</v>
      </c>
      <c r="B231" s="84" t="s">
        <v>1730</v>
      </c>
      <c r="C231" s="79">
        <v>3</v>
      </c>
      <c r="D231" s="109">
        <v>0.0017610798870468748</v>
      </c>
      <c r="E231" s="109">
        <v>1.895483934757003</v>
      </c>
      <c r="F231" s="79" t="s">
        <v>2085</v>
      </c>
      <c r="G231" s="79" t="b">
        <v>0</v>
      </c>
      <c r="H231" s="79" t="b">
        <v>0</v>
      </c>
      <c r="I231" s="79" t="b">
        <v>0</v>
      </c>
      <c r="J231" s="79" t="b">
        <v>0</v>
      </c>
      <c r="K231" s="79" t="b">
        <v>0</v>
      </c>
      <c r="L231" s="79" t="b">
        <v>0</v>
      </c>
    </row>
    <row r="232" spans="1:12" ht="15">
      <c r="A232" s="85" t="s">
        <v>1763</v>
      </c>
      <c r="B232" s="84" t="s">
        <v>1911</v>
      </c>
      <c r="C232" s="79">
        <v>3</v>
      </c>
      <c r="D232" s="109">
        <v>0.0017610798870468748</v>
      </c>
      <c r="E232" s="109">
        <v>2.6066883955100333</v>
      </c>
      <c r="F232" s="79" t="s">
        <v>2085</v>
      </c>
      <c r="G232" s="79" t="b">
        <v>0</v>
      </c>
      <c r="H232" s="79" t="b">
        <v>0</v>
      </c>
      <c r="I232" s="79" t="b">
        <v>0</v>
      </c>
      <c r="J232" s="79" t="b">
        <v>0</v>
      </c>
      <c r="K232" s="79" t="b">
        <v>0</v>
      </c>
      <c r="L232" s="79" t="b">
        <v>0</v>
      </c>
    </row>
    <row r="233" spans="1:12" ht="15">
      <c r="A233" s="85" t="s">
        <v>1911</v>
      </c>
      <c r="B233" s="84" t="s">
        <v>1703</v>
      </c>
      <c r="C233" s="79">
        <v>3</v>
      </c>
      <c r="D233" s="109">
        <v>0.0017610798870468748</v>
      </c>
      <c r="E233" s="109">
        <v>1.2264771537984274</v>
      </c>
      <c r="F233" s="79" t="s">
        <v>2085</v>
      </c>
      <c r="G233" s="79" t="b">
        <v>0</v>
      </c>
      <c r="H233" s="79" t="b">
        <v>0</v>
      </c>
      <c r="I233" s="79" t="b">
        <v>0</v>
      </c>
      <c r="J233" s="79" t="b">
        <v>0</v>
      </c>
      <c r="K233" s="79" t="b">
        <v>0</v>
      </c>
      <c r="L233" s="79" t="b">
        <v>0</v>
      </c>
    </row>
    <row r="234" spans="1:12" ht="15">
      <c r="A234" s="85" t="s">
        <v>1703</v>
      </c>
      <c r="B234" s="84" t="s">
        <v>1794</v>
      </c>
      <c r="C234" s="79">
        <v>3</v>
      </c>
      <c r="D234" s="109">
        <v>0.0017610798870468748</v>
      </c>
      <c r="E234" s="109">
        <v>1.5172879842807225</v>
      </c>
      <c r="F234" s="79" t="s">
        <v>2085</v>
      </c>
      <c r="G234" s="79" t="b">
        <v>0</v>
      </c>
      <c r="H234" s="79" t="b">
        <v>0</v>
      </c>
      <c r="I234" s="79" t="b">
        <v>0</v>
      </c>
      <c r="J234" s="79" t="b">
        <v>0</v>
      </c>
      <c r="K234" s="79" t="b">
        <v>0</v>
      </c>
      <c r="L234" s="79" t="b">
        <v>0</v>
      </c>
    </row>
    <row r="235" spans="1:12" ht="15">
      <c r="A235" s="85" t="s">
        <v>1794</v>
      </c>
      <c r="B235" s="84" t="s">
        <v>1912</v>
      </c>
      <c r="C235" s="79">
        <v>3</v>
      </c>
      <c r="D235" s="109">
        <v>0.0017610798870468748</v>
      </c>
      <c r="E235" s="109">
        <v>2.6066883955100333</v>
      </c>
      <c r="F235" s="79" t="s">
        <v>2085</v>
      </c>
      <c r="G235" s="79" t="b">
        <v>0</v>
      </c>
      <c r="H235" s="79" t="b">
        <v>0</v>
      </c>
      <c r="I235" s="79" t="b">
        <v>0</v>
      </c>
      <c r="J235" s="79" t="b">
        <v>0</v>
      </c>
      <c r="K235" s="79" t="b">
        <v>0</v>
      </c>
      <c r="L235" s="79" t="b">
        <v>0</v>
      </c>
    </row>
    <row r="236" spans="1:12" ht="15">
      <c r="A236" s="85" t="s">
        <v>1729</v>
      </c>
      <c r="B236" s="84" t="s">
        <v>1914</v>
      </c>
      <c r="C236" s="79">
        <v>3</v>
      </c>
      <c r="D236" s="109">
        <v>0.0017610798870468748</v>
      </c>
      <c r="E236" s="109">
        <v>2.196513930420984</v>
      </c>
      <c r="F236" s="79" t="s">
        <v>2085</v>
      </c>
      <c r="G236" s="79" t="b">
        <v>0</v>
      </c>
      <c r="H236" s="79" t="b">
        <v>0</v>
      </c>
      <c r="I236" s="79" t="b">
        <v>0</v>
      </c>
      <c r="J236" s="79" t="b">
        <v>0</v>
      </c>
      <c r="K236" s="79" t="b">
        <v>0</v>
      </c>
      <c r="L236" s="79" t="b">
        <v>0</v>
      </c>
    </row>
    <row r="237" spans="1:12" ht="15">
      <c r="A237" s="85" t="s">
        <v>1914</v>
      </c>
      <c r="B237" s="84" t="s">
        <v>1840</v>
      </c>
      <c r="C237" s="79">
        <v>3</v>
      </c>
      <c r="D237" s="109">
        <v>0.0017610798870468748</v>
      </c>
      <c r="E237" s="109">
        <v>2.7528164311882715</v>
      </c>
      <c r="F237" s="79" t="s">
        <v>2085</v>
      </c>
      <c r="G237" s="79" t="b">
        <v>0</v>
      </c>
      <c r="H237" s="79" t="b">
        <v>0</v>
      </c>
      <c r="I237" s="79" t="b">
        <v>0</v>
      </c>
      <c r="J237" s="79" t="b">
        <v>0</v>
      </c>
      <c r="K237" s="79" t="b">
        <v>0</v>
      </c>
      <c r="L237" s="79" t="b">
        <v>0</v>
      </c>
    </row>
    <row r="238" spans="1:12" ht="15">
      <c r="A238" s="85" t="s">
        <v>1840</v>
      </c>
      <c r="B238" s="84" t="s">
        <v>1915</v>
      </c>
      <c r="C238" s="79">
        <v>3</v>
      </c>
      <c r="D238" s="109">
        <v>0.0017610798870468748</v>
      </c>
      <c r="E238" s="109">
        <v>2.7528164311882715</v>
      </c>
      <c r="F238" s="79" t="s">
        <v>2085</v>
      </c>
      <c r="G238" s="79" t="b">
        <v>0</v>
      </c>
      <c r="H238" s="79" t="b">
        <v>0</v>
      </c>
      <c r="I238" s="79" t="b">
        <v>0</v>
      </c>
      <c r="J238" s="79" t="b">
        <v>0</v>
      </c>
      <c r="K238" s="79" t="b">
        <v>0</v>
      </c>
      <c r="L238" s="79" t="b">
        <v>0</v>
      </c>
    </row>
    <row r="239" spans="1:12" ht="15">
      <c r="A239" s="85" t="s">
        <v>1915</v>
      </c>
      <c r="B239" s="84" t="s">
        <v>1916</v>
      </c>
      <c r="C239" s="79">
        <v>3</v>
      </c>
      <c r="D239" s="109">
        <v>0.0017610798870468748</v>
      </c>
      <c r="E239" s="109">
        <v>2.974665180804628</v>
      </c>
      <c r="F239" s="79" t="s">
        <v>2085</v>
      </c>
      <c r="G239" s="79" t="b">
        <v>0</v>
      </c>
      <c r="H239" s="79" t="b">
        <v>0</v>
      </c>
      <c r="I239" s="79" t="b">
        <v>0</v>
      </c>
      <c r="J239" s="79" t="b">
        <v>0</v>
      </c>
      <c r="K239" s="79" t="b">
        <v>0</v>
      </c>
      <c r="L239" s="79" t="b">
        <v>0</v>
      </c>
    </row>
    <row r="240" spans="1:12" ht="15">
      <c r="A240" s="85" t="s">
        <v>1916</v>
      </c>
      <c r="B240" s="84" t="s">
        <v>1917</v>
      </c>
      <c r="C240" s="79">
        <v>3</v>
      </c>
      <c r="D240" s="109">
        <v>0.0017610798870468748</v>
      </c>
      <c r="E240" s="109">
        <v>2.974665180804628</v>
      </c>
      <c r="F240" s="79" t="s">
        <v>2085</v>
      </c>
      <c r="G240" s="79" t="b">
        <v>0</v>
      </c>
      <c r="H240" s="79" t="b">
        <v>0</v>
      </c>
      <c r="I240" s="79" t="b">
        <v>0</v>
      </c>
      <c r="J240" s="79" t="b">
        <v>0</v>
      </c>
      <c r="K240" s="79" t="b">
        <v>0</v>
      </c>
      <c r="L240" s="79" t="b">
        <v>0</v>
      </c>
    </row>
    <row r="241" spans="1:12" ht="15">
      <c r="A241" s="85" t="s">
        <v>1917</v>
      </c>
      <c r="B241" s="84" t="s">
        <v>1918</v>
      </c>
      <c r="C241" s="79">
        <v>3</v>
      </c>
      <c r="D241" s="109">
        <v>0.0017610798870468748</v>
      </c>
      <c r="E241" s="109">
        <v>2.974665180804628</v>
      </c>
      <c r="F241" s="79" t="s">
        <v>2085</v>
      </c>
      <c r="G241" s="79" t="b">
        <v>0</v>
      </c>
      <c r="H241" s="79" t="b">
        <v>0</v>
      </c>
      <c r="I241" s="79" t="b">
        <v>0</v>
      </c>
      <c r="J241" s="79" t="b">
        <v>0</v>
      </c>
      <c r="K241" s="79" t="b">
        <v>0</v>
      </c>
      <c r="L241" s="79" t="b">
        <v>0</v>
      </c>
    </row>
    <row r="242" spans="1:12" ht="15">
      <c r="A242" s="85" t="s">
        <v>1918</v>
      </c>
      <c r="B242" s="84" t="s">
        <v>1919</v>
      </c>
      <c r="C242" s="79">
        <v>3</v>
      </c>
      <c r="D242" s="109">
        <v>0.0017610798870468748</v>
      </c>
      <c r="E242" s="109">
        <v>2.974665180804628</v>
      </c>
      <c r="F242" s="79" t="s">
        <v>2085</v>
      </c>
      <c r="G242" s="79" t="b">
        <v>0</v>
      </c>
      <c r="H242" s="79" t="b">
        <v>0</v>
      </c>
      <c r="I242" s="79" t="b">
        <v>0</v>
      </c>
      <c r="J242" s="79" t="b">
        <v>0</v>
      </c>
      <c r="K242" s="79" t="b">
        <v>0</v>
      </c>
      <c r="L242" s="79" t="b">
        <v>0</v>
      </c>
    </row>
    <row r="243" spans="1:12" ht="15">
      <c r="A243" s="85" t="s">
        <v>1919</v>
      </c>
      <c r="B243" s="84" t="s">
        <v>1920</v>
      </c>
      <c r="C243" s="79">
        <v>3</v>
      </c>
      <c r="D243" s="109">
        <v>0.0017610798870468748</v>
      </c>
      <c r="E243" s="109">
        <v>2.974665180804628</v>
      </c>
      <c r="F243" s="79" t="s">
        <v>2085</v>
      </c>
      <c r="G243" s="79" t="b">
        <v>0</v>
      </c>
      <c r="H243" s="79" t="b">
        <v>0</v>
      </c>
      <c r="I243" s="79" t="b">
        <v>0</v>
      </c>
      <c r="J243" s="79" t="b">
        <v>0</v>
      </c>
      <c r="K243" s="79" t="b">
        <v>0</v>
      </c>
      <c r="L243" s="79" t="b">
        <v>0</v>
      </c>
    </row>
    <row r="244" spans="1:12" ht="15">
      <c r="A244" s="85" t="s">
        <v>1920</v>
      </c>
      <c r="B244" s="84" t="s">
        <v>1792</v>
      </c>
      <c r="C244" s="79">
        <v>3</v>
      </c>
      <c r="D244" s="109">
        <v>0.0017610798870468748</v>
      </c>
      <c r="E244" s="109">
        <v>2.6066883955100333</v>
      </c>
      <c r="F244" s="79" t="s">
        <v>2085</v>
      </c>
      <c r="G244" s="79" t="b">
        <v>0</v>
      </c>
      <c r="H244" s="79" t="b">
        <v>0</v>
      </c>
      <c r="I244" s="79" t="b">
        <v>0</v>
      </c>
      <c r="J244" s="79" t="b">
        <v>0</v>
      </c>
      <c r="K244" s="79" t="b">
        <v>0</v>
      </c>
      <c r="L244" s="79" t="b">
        <v>0</v>
      </c>
    </row>
    <row r="245" spans="1:12" ht="15">
      <c r="A245" s="85" t="s">
        <v>1792</v>
      </c>
      <c r="B245" s="84" t="s">
        <v>1793</v>
      </c>
      <c r="C245" s="79">
        <v>3</v>
      </c>
      <c r="D245" s="109">
        <v>0.0017610798870468748</v>
      </c>
      <c r="E245" s="109">
        <v>2.238711610215439</v>
      </c>
      <c r="F245" s="79" t="s">
        <v>2085</v>
      </c>
      <c r="G245" s="79" t="b">
        <v>0</v>
      </c>
      <c r="H245" s="79" t="b">
        <v>0</v>
      </c>
      <c r="I245" s="79" t="b">
        <v>0</v>
      </c>
      <c r="J245" s="79" t="b">
        <v>0</v>
      </c>
      <c r="K245" s="79" t="b">
        <v>0</v>
      </c>
      <c r="L245" s="79" t="b">
        <v>0</v>
      </c>
    </row>
    <row r="246" spans="1:12" ht="15">
      <c r="A246" s="85" t="s">
        <v>1793</v>
      </c>
      <c r="B246" s="84" t="s">
        <v>1921</v>
      </c>
      <c r="C246" s="79">
        <v>3</v>
      </c>
      <c r="D246" s="109">
        <v>0.0017610798870468748</v>
      </c>
      <c r="E246" s="109">
        <v>2.6066883955100333</v>
      </c>
      <c r="F246" s="79" t="s">
        <v>2085</v>
      </c>
      <c r="G246" s="79" t="b">
        <v>0</v>
      </c>
      <c r="H246" s="79" t="b">
        <v>0</v>
      </c>
      <c r="I246" s="79" t="b">
        <v>0</v>
      </c>
      <c r="J246" s="79" t="b">
        <v>0</v>
      </c>
      <c r="K246" s="79" t="b">
        <v>0</v>
      </c>
      <c r="L246" s="79" t="b">
        <v>0</v>
      </c>
    </row>
    <row r="247" spans="1:12" ht="15">
      <c r="A247" s="85" t="s">
        <v>1921</v>
      </c>
      <c r="B247" s="84" t="s">
        <v>1922</v>
      </c>
      <c r="C247" s="79">
        <v>3</v>
      </c>
      <c r="D247" s="109">
        <v>0.0017610798870468748</v>
      </c>
      <c r="E247" s="109">
        <v>2.974665180804628</v>
      </c>
      <c r="F247" s="79" t="s">
        <v>2085</v>
      </c>
      <c r="G247" s="79" t="b">
        <v>0</v>
      </c>
      <c r="H247" s="79" t="b">
        <v>0</v>
      </c>
      <c r="I247" s="79" t="b">
        <v>0</v>
      </c>
      <c r="J247" s="79" t="b">
        <v>0</v>
      </c>
      <c r="K247" s="79" t="b">
        <v>0</v>
      </c>
      <c r="L247" s="79" t="b">
        <v>0</v>
      </c>
    </row>
    <row r="248" spans="1:12" ht="15">
      <c r="A248" s="85" t="s">
        <v>1922</v>
      </c>
      <c r="B248" s="84" t="s">
        <v>1923</v>
      </c>
      <c r="C248" s="79">
        <v>3</v>
      </c>
      <c r="D248" s="109">
        <v>0.0017610798870468748</v>
      </c>
      <c r="E248" s="109">
        <v>2.974665180804628</v>
      </c>
      <c r="F248" s="79" t="s">
        <v>2085</v>
      </c>
      <c r="G248" s="79" t="b">
        <v>0</v>
      </c>
      <c r="H248" s="79" t="b">
        <v>0</v>
      </c>
      <c r="I248" s="79" t="b">
        <v>0</v>
      </c>
      <c r="J248" s="79" t="b">
        <v>0</v>
      </c>
      <c r="K248" s="79" t="b">
        <v>0</v>
      </c>
      <c r="L248" s="79" t="b">
        <v>0</v>
      </c>
    </row>
    <row r="249" spans="1:12" ht="15">
      <c r="A249" s="85" t="s">
        <v>1923</v>
      </c>
      <c r="B249" s="84" t="s">
        <v>1924</v>
      </c>
      <c r="C249" s="79">
        <v>3</v>
      </c>
      <c r="D249" s="109">
        <v>0.0017610798870468748</v>
      </c>
      <c r="E249" s="109">
        <v>2.974665180804628</v>
      </c>
      <c r="F249" s="79" t="s">
        <v>2085</v>
      </c>
      <c r="G249" s="79" t="b">
        <v>0</v>
      </c>
      <c r="H249" s="79" t="b">
        <v>0</v>
      </c>
      <c r="I249" s="79" t="b">
        <v>0</v>
      </c>
      <c r="J249" s="79" t="b">
        <v>0</v>
      </c>
      <c r="K249" s="79" t="b">
        <v>0</v>
      </c>
      <c r="L249" s="79" t="b">
        <v>0</v>
      </c>
    </row>
    <row r="250" spans="1:12" ht="15">
      <c r="A250" s="85" t="s">
        <v>1924</v>
      </c>
      <c r="B250" s="84" t="s">
        <v>1925</v>
      </c>
      <c r="C250" s="79">
        <v>3</v>
      </c>
      <c r="D250" s="109">
        <v>0.0017610798870468748</v>
      </c>
      <c r="E250" s="109">
        <v>2.974665180804628</v>
      </c>
      <c r="F250" s="79" t="s">
        <v>2085</v>
      </c>
      <c r="G250" s="79" t="b">
        <v>0</v>
      </c>
      <c r="H250" s="79" t="b">
        <v>0</v>
      </c>
      <c r="I250" s="79" t="b">
        <v>0</v>
      </c>
      <c r="J250" s="79" t="b">
        <v>0</v>
      </c>
      <c r="K250" s="79" t="b">
        <v>0</v>
      </c>
      <c r="L250" s="79" t="b">
        <v>0</v>
      </c>
    </row>
    <row r="251" spans="1:12" ht="15">
      <c r="A251" s="85" t="s">
        <v>1925</v>
      </c>
      <c r="B251" s="84" t="s">
        <v>1746</v>
      </c>
      <c r="C251" s="79">
        <v>3</v>
      </c>
      <c r="D251" s="109">
        <v>0.0017610798870468748</v>
      </c>
      <c r="E251" s="109">
        <v>2.3378430832174537</v>
      </c>
      <c r="F251" s="79" t="s">
        <v>2085</v>
      </c>
      <c r="G251" s="79" t="b">
        <v>0</v>
      </c>
      <c r="H251" s="79" t="b">
        <v>0</v>
      </c>
      <c r="I251" s="79" t="b">
        <v>0</v>
      </c>
      <c r="J251" s="79" t="b">
        <v>0</v>
      </c>
      <c r="K251" s="79" t="b">
        <v>0</v>
      </c>
      <c r="L251" s="79" t="b">
        <v>0</v>
      </c>
    </row>
    <row r="252" spans="1:12" ht="15">
      <c r="A252" s="85" t="s">
        <v>1746</v>
      </c>
      <c r="B252" s="84" t="s">
        <v>1926</v>
      </c>
      <c r="C252" s="79">
        <v>3</v>
      </c>
      <c r="D252" s="109">
        <v>0.0017610798870468748</v>
      </c>
      <c r="E252" s="109">
        <v>2.3378430832174537</v>
      </c>
      <c r="F252" s="79" t="s">
        <v>2085</v>
      </c>
      <c r="G252" s="79" t="b">
        <v>0</v>
      </c>
      <c r="H252" s="79" t="b">
        <v>0</v>
      </c>
      <c r="I252" s="79" t="b">
        <v>0</v>
      </c>
      <c r="J252" s="79" t="b">
        <v>0</v>
      </c>
      <c r="K252" s="79" t="b">
        <v>0</v>
      </c>
      <c r="L252" s="79" t="b">
        <v>0</v>
      </c>
    </row>
    <row r="253" spans="1:12" ht="15">
      <c r="A253" s="85" t="s">
        <v>1926</v>
      </c>
      <c r="B253" s="84" t="s">
        <v>1927</v>
      </c>
      <c r="C253" s="79">
        <v>3</v>
      </c>
      <c r="D253" s="109">
        <v>0.0017610798870468748</v>
      </c>
      <c r="E253" s="109">
        <v>2.974665180804628</v>
      </c>
      <c r="F253" s="79" t="s">
        <v>2085</v>
      </c>
      <c r="G253" s="79" t="b">
        <v>0</v>
      </c>
      <c r="H253" s="79" t="b">
        <v>0</v>
      </c>
      <c r="I253" s="79" t="b">
        <v>0</v>
      </c>
      <c r="J253" s="79" t="b">
        <v>0</v>
      </c>
      <c r="K253" s="79" t="b">
        <v>0</v>
      </c>
      <c r="L253" s="79" t="b">
        <v>0</v>
      </c>
    </row>
    <row r="254" spans="1:12" ht="15">
      <c r="A254" s="85" t="s">
        <v>1927</v>
      </c>
      <c r="B254" s="84" t="s">
        <v>1928</v>
      </c>
      <c r="C254" s="79">
        <v>3</v>
      </c>
      <c r="D254" s="109">
        <v>0.0017610798870468748</v>
      </c>
      <c r="E254" s="109">
        <v>2.974665180804628</v>
      </c>
      <c r="F254" s="79" t="s">
        <v>2085</v>
      </c>
      <c r="G254" s="79" t="b">
        <v>0</v>
      </c>
      <c r="H254" s="79" t="b">
        <v>0</v>
      </c>
      <c r="I254" s="79" t="b">
        <v>0</v>
      </c>
      <c r="J254" s="79" t="b">
        <v>0</v>
      </c>
      <c r="K254" s="79" t="b">
        <v>0</v>
      </c>
      <c r="L254" s="79" t="b">
        <v>0</v>
      </c>
    </row>
    <row r="255" spans="1:12" ht="15">
      <c r="A255" s="85" t="s">
        <v>1928</v>
      </c>
      <c r="B255" s="84" t="s">
        <v>1768</v>
      </c>
      <c r="C255" s="79">
        <v>3</v>
      </c>
      <c r="D255" s="109">
        <v>0.0017610798870468748</v>
      </c>
      <c r="E255" s="109">
        <v>2.974665180804628</v>
      </c>
      <c r="F255" s="79" t="s">
        <v>2085</v>
      </c>
      <c r="G255" s="79" t="b">
        <v>0</v>
      </c>
      <c r="H255" s="79" t="b">
        <v>0</v>
      </c>
      <c r="I255" s="79" t="b">
        <v>0</v>
      </c>
      <c r="J255" s="79" t="b">
        <v>0</v>
      </c>
      <c r="K255" s="79" t="b">
        <v>0</v>
      </c>
      <c r="L255" s="79" t="b">
        <v>0</v>
      </c>
    </row>
    <row r="256" spans="1:12" ht="15">
      <c r="A256" s="85" t="s">
        <v>1768</v>
      </c>
      <c r="B256" s="84" t="s">
        <v>1703</v>
      </c>
      <c r="C256" s="79">
        <v>3</v>
      </c>
      <c r="D256" s="109">
        <v>0.0017610798870468748</v>
      </c>
      <c r="E256" s="109">
        <v>0.8005084215261462</v>
      </c>
      <c r="F256" s="79" t="s">
        <v>2085</v>
      </c>
      <c r="G256" s="79" t="b">
        <v>0</v>
      </c>
      <c r="H256" s="79" t="b">
        <v>0</v>
      </c>
      <c r="I256" s="79" t="b">
        <v>0</v>
      </c>
      <c r="J256" s="79" t="b">
        <v>0</v>
      </c>
      <c r="K256" s="79" t="b">
        <v>0</v>
      </c>
      <c r="L256" s="79" t="b">
        <v>0</v>
      </c>
    </row>
    <row r="257" spans="1:12" ht="15">
      <c r="A257" s="85" t="s">
        <v>1878</v>
      </c>
      <c r="B257" s="84" t="s">
        <v>1929</v>
      </c>
      <c r="C257" s="79">
        <v>3</v>
      </c>
      <c r="D257" s="109">
        <v>0.0017610798870468748</v>
      </c>
      <c r="E257" s="109">
        <v>2.8497264441963277</v>
      </c>
      <c r="F257" s="79" t="s">
        <v>2085</v>
      </c>
      <c r="G257" s="79" t="b">
        <v>0</v>
      </c>
      <c r="H257" s="79" t="b">
        <v>0</v>
      </c>
      <c r="I257" s="79" t="b">
        <v>0</v>
      </c>
      <c r="J257" s="79" t="b">
        <v>0</v>
      </c>
      <c r="K257" s="79" t="b">
        <v>0</v>
      </c>
      <c r="L257" s="79" t="b">
        <v>0</v>
      </c>
    </row>
    <row r="258" spans="1:12" ht="15">
      <c r="A258" s="85" t="s">
        <v>1929</v>
      </c>
      <c r="B258" s="84" t="s">
        <v>1930</v>
      </c>
      <c r="C258" s="79">
        <v>3</v>
      </c>
      <c r="D258" s="109">
        <v>0.0017610798870468748</v>
      </c>
      <c r="E258" s="109">
        <v>2.974665180804628</v>
      </c>
      <c r="F258" s="79" t="s">
        <v>2085</v>
      </c>
      <c r="G258" s="79" t="b">
        <v>0</v>
      </c>
      <c r="H258" s="79" t="b">
        <v>0</v>
      </c>
      <c r="I258" s="79" t="b">
        <v>0</v>
      </c>
      <c r="J258" s="79" t="b">
        <v>0</v>
      </c>
      <c r="K258" s="79" t="b">
        <v>0</v>
      </c>
      <c r="L258" s="79" t="b">
        <v>0</v>
      </c>
    </row>
    <row r="259" spans="1:12" ht="15">
      <c r="A259" s="85" t="s">
        <v>1930</v>
      </c>
      <c r="B259" s="84" t="s">
        <v>1931</v>
      </c>
      <c r="C259" s="79">
        <v>3</v>
      </c>
      <c r="D259" s="109">
        <v>0.0017610798870468748</v>
      </c>
      <c r="E259" s="109">
        <v>2.974665180804628</v>
      </c>
      <c r="F259" s="79" t="s">
        <v>2085</v>
      </c>
      <c r="G259" s="79" t="b">
        <v>0</v>
      </c>
      <c r="H259" s="79" t="b">
        <v>0</v>
      </c>
      <c r="I259" s="79" t="b">
        <v>0</v>
      </c>
      <c r="J259" s="79" t="b">
        <v>0</v>
      </c>
      <c r="K259" s="79" t="b">
        <v>0</v>
      </c>
      <c r="L259" s="79" t="b">
        <v>0</v>
      </c>
    </row>
    <row r="260" spans="1:12" ht="15">
      <c r="A260" s="85" t="s">
        <v>1931</v>
      </c>
      <c r="B260" s="84" t="s">
        <v>1879</v>
      </c>
      <c r="C260" s="79">
        <v>3</v>
      </c>
      <c r="D260" s="109">
        <v>0.0017610798870468748</v>
      </c>
      <c r="E260" s="109">
        <v>2.8497264441963277</v>
      </c>
      <c r="F260" s="79" t="s">
        <v>2085</v>
      </c>
      <c r="G260" s="79" t="b">
        <v>0</v>
      </c>
      <c r="H260" s="79" t="b">
        <v>0</v>
      </c>
      <c r="I260" s="79" t="b">
        <v>0</v>
      </c>
      <c r="J260" s="79" t="b">
        <v>0</v>
      </c>
      <c r="K260" s="79" t="b">
        <v>0</v>
      </c>
      <c r="L260" s="79" t="b">
        <v>0</v>
      </c>
    </row>
    <row r="261" spans="1:12" ht="15">
      <c r="A261" s="85" t="s">
        <v>1879</v>
      </c>
      <c r="B261" s="84" t="s">
        <v>1932</v>
      </c>
      <c r="C261" s="79">
        <v>3</v>
      </c>
      <c r="D261" s="109">
        <v>0.0017610798870468748</v>
      </c>
      <c r="E261" s="109">
        <v>2.8497264441963277</v>
      </c>
      <c r="F261" s="79" t="s">
        <v>2085</v>
      </c>
      <c r="G261" s="79" t="b">
        <v>0</v>
      </c>
      <c r="H261" s="79" t="b">
        <v>0</v>
      </c>
      <c r="I261" s="79" t="b">
        <v>0</v>
      </c>
      <c r="J261" s="79" t="b">
        <v>0</v>
      </c>
      <c r="K261" s="79" t="b">
        <v>0</v>
      </c>
      <c r="L261" s="79" t="b">
        <v>0</v>
      </c>
    </row>
    <row r="262" spans="1:12" ht="15">
      <c r="A262" s="85" t="s">
        <v>1932</v>
      </c>
      <c r="B262" s="84" t="s">
        <v>1933</v>
      </c>
      <c r="C262" s="79">
        <v>3</v>
      </c>
      <c r="D262" s="109">
        <v>0.0017610798870468748</v>
      </c>
      <c r="E262" s="109">
        <v>2.974665180804628</v>
      </c>
      <c r="F262" s="79" t="s">
        <v>2085</v>
      </c>
      <c r="G262" s="79" t="b">
        <v>0</v>
      </c>
      <c r="H262" s="79" t="b">
        <v>0</v>
      </c>
      <c r="I262" s="79" t="b">
        <v>0</v>
      </c>
      <c r="J262" s="79" t="b">
        <v>0</v>
      </c>
      <c r="K262" s="79" t="b">
        <v>0</v>
      </c>
      <c r="L262" s="79" t="b">
        <v>0</v>
      </c>
    </row>
    <row r="263" spans="1:12" ht="15">
      <c r="A263" s="85" t="s">
        <v>1933</v>
      </c>
      <c r="B263" s="84" t="s">
        <v>1703</v>
      </c>
      <c r="C263" s="79">
        <v>3</v>
      </c>
      <c r="D263" s="109">
        <v>0.0017610798870468748</v>
      </c>
      <c r="E263" s="109">
        <v>1.2264771537984274</v>
      </c>
      <c r="F263" s="79" t="s">
        <v>2085</v>
      </c>
      <c r="G263" s="79" t="b">
        <v>0</v>
      </c>
      <c r="H263" s="79" t="b">
        <v>0</v>
      </c>
      <c r="I263" s="79" t="b">
        <v>0</v>
      </c>
      <c r="J263" s="79" t="b">
        <v>0</v>
      </c>
      <c r="K263" s="79" t="b">
        <v>0</v>
      </c>
      <c r="L263" s="79" t="b">
        <v>0</v>
      </c>
    </row>
    <row r="264" spans="1:12" ht="15">
      <c r="A264" s="85" t="s">
        <v>1703</v>
      </c>
      <c r="B264" s="84" t="s">
        <v>1934</v>
      </c>
      <c r="C264" s="79">
        <v>3</v>
      </c>
      <c r="D264" s="109">
        <v>0.0017610798870468748</v>
      </c>
      <c r="E264" s="109">
        <v>1.5172879842807225</v>
      </c>
      <c r="F264" s="79" t="s">
        <v>2085</v>
      </c>
      <c r="G264" s="79" t="b">
        <v>0</v>
      </c>
      <c r="H264" s="79" t="b">
        <v>0</v>
      </c>
      <c r="I264" s="79" t="b">
        <v>0</v>
      </c>
      <c r="J264" s="79" t="b">
        <v>0</v>
      </c>
      <c r="K264" s="79" t="b">
        <v>0</v>
      </c>
      <c r="L264" s="79" t="b">
        <v>0</v>
      </c>
    </row>
    <row r="265" spans="1:12" ht="15">
      <c r="A265" s="85" t="s">
        <v>1935</v>
      </c>
      <c r="B265" s="84" t="s">
        <v>1936</v>
      </c>
      <c r="C265" s="79">
        <v>3</v>
      </c>
      <c r="D265" s="109">
        <v>0.0017610798870468748</v>
      </c>
      <c r="E265" s="109">
        <v>2.974665180804628</v>
      </c>
      <c r="F265" s="79" t="s">
        <v>2085</v>
      </c>
      <c r="G265" s="79" t="b">
        <v>0</v>
      </c>
      <c r="H265" s="79" t="b">
        <v>0</v>
      </c>
      <c r="I265" s="79" t="b">
        <v>0</v>
      </c>
      <c r="J265" s="79" t="b">
        <v>0</v>
      </c>
      <c r="K265" s="79" t="b">
        <v>0</v>
      </c>
      <c r="L265" s="79" t="b">
        <v>0</v>
      </c>
    </row>
    <row r="266" spans="1:12" ht="15">
      <c r="A266" s="85" t="s">
        <v>1936</v>
      </c>
      <c r="B266" s="84" t="s">
        <v>1731</v>
      </c>
      <c r="C266" s="79">
        <v>3</v>
      </c>
      <c r="D266" s="109">
        <v>0.0017610798870468748</v>
      </c>
      <c r="E266" s="109">
        <v>2.221337514146016</v>
      </c>
      <c r="F266" s="79" t="s">
        <v>2085</v>
      </c>
      <c r="G266" s="79" t="b">
        <v>0</v>
      </c>
      <c r="H266" s="79" t="b">
        <v>0</v>
      </c>
      <c r="I266" s="79" t="b">
        <v>0</v>
      </c>
      <c r="J266" s="79" t="b">
        <v>0</v>
      </c>
      <c r="K266" s="79" t="b">
        <v>0</v>
      </c>
      <c r="L266" s="79" t="b">
        <v>0</v>
      </c>
    </row>
    <row r="267" spans="1:12" ht="15">
      <c r="A267" s="85" t="s">
        <v>1731</v>
      </c>
      <c r="B267" s="84" t="s">
        <v>1937</v>
      </c>
      <c r="C267" s="79">
        <v>3</v>
      </c>
      <c r="D267" s="109">
        <v>0.0017610798870468748</v>
      </c>
      <c r="E267" s="109">
        <v>2.221337514146016</v>
      </c>
      <c r="F267" s="79" t="s">
        <v>2085</v>
      </c>
      <c r="G267" s="79" t="b">
        <v>0</v>
      </c>
      <c r="H267" s="79" t="b">
        <v>0</v>
      </c>
      <c r="I267" s="79" t="b">
        <v>0</v>
      </c>
      <c r="J267" s="79" t="b">
        <v>0</v>
      </c>
      <c r="K267" s="79" t="b">
        <v>0</v>
      </c>
      <c r="L267" s="79" t="b">
        <v>0</v>
      </c>
    </row>
    <row r="268" spans="1:12" ht="15">
      <c r="A268" s="85" t="s">
        <v>1937</v>
      </c>
      <c r="B268" s="84" t="s">
        <v>1938</v>
      </c>
      <c r="C268" s="79">
        <v>3</v>
      </c>
      <c r="D268" s="109">
        <v>0.0017610798870468748</v>
      </c>
      <c r="E268" s="109">
        <v>2.974665180804628</v>
      </c>
      <c r="F268" s="79" t="s">
        <v>2085</v>
      </c>
      <c r="G268" s="79" t="b">
        <v>0</v>
      </c>
      <c r="H268" s="79" t="b">
        <v>0</v>
      </c>
      <c r="I268" s="79" t="b">
        <v>0</v>
      </c>
      <c r="J268" s="79" t="b">
        <v>0</v>
      </c>
      <c r="K268" s="79" t="b">
        <v>0</v>
      </c>
      <c r="L268" s="79" t="b">
        <v>0</v>
      </c>
    </row>
    <row r="269" spans="1:12" ht="15">
      <c r="A269" s="85" t="s">
        <v>1938</v>
      </c>
      <c r="B269" s="84" t="s">
        <v>1724</v>
      </c>
      <c r="C269" s="79">
        <v>3</v>
      </c>
      <c r="D269" s="109">
        <v>0.0017610798870468748</v>
      </c>
      <c r="E269" s="109">
        <v>1.9893884376253341</v>
      </c>
      <c r="F269" s="79" t="s">
        <v>2085</v>
      </c>
      <c r="G269" s="79" t="b">
        <v>0</v>
      </c>
      <c r="H269" s="79" t="b">
        <v>0</v>
      </c>
      <c r="I269" s="79" t="b">
        <v>0</v>
      </c>
      <c r="J269" s="79" t="b">
        <v>0</v>
      </c>
      <c r="K269" s="79" t="b">
        <v>0</v>
      </c>
      <c r="L269" s="79" t="b">
        <v>0</v>
      </c>
    </row>
    <row r="270" spans="1:12" ht="15">
      <c r="A270" s="85" t="s">
        <v>1724</v>
      </c>
      <c r="B270" s="84" t="s">
        <v>1939</v>
      </c>
      <c r="C270" s="79">
        <v>3</v>
      </c>
      <c r="D270" s="109">
        <v>0.0017610798870468748</v>
      </c>
      <c r="E270" s="109">
        <v>1.9604247416900176</v>
      </c>
      <c r="F270" s="79" t="s">
        <v>2085</v>
      </c>
      <c r="G270" s="79" t="b">
        <v>0</v>
      </c>
      <c r="H270" s="79" t="b">
        <v>0</v>
      </c>
      <c r="I270" s="79" t="b">
        <v>0</v>
      </c>
      <c r="J270" s="79" t="b">
        <v>0</v>
      </c>
      <c r="K270" s="79" t="b">
        <v>0</v>
      </c>
      <c r="L270" s="79" t="b">
        <v>0</v>
      </c>
    </row>
    <row r="271" spans="1:12" ht="15">
      <c r="A271" s="85" t="s">
        <v>1939</v>
      </c>
      <c r="B271" s="84" t="s">
        <v>1885</v>
      </c>
      <c r="C271" s="79">
        <v>3</v>
      </c>
      <c r="D271" s="109">
        <v>0.0017610798870468748</v>
      </c>
      <c r="E271" s="109">
        <v>2.8497264441963277</v>
      </c>
      <c r="F271" s="79" t="s">
        <v>2085</v>
      </c>
      <c r="G271" s="79" t="b">
        <v>0</v>
      </c>
      <c r="H271" s="79" t="b">
        <v>0</v>
      </c>
      <c r="I271" s="79" t="b">
        <v>0</v>
      </c>
      <c r="J271" s="79" t="b">
        <v>0</v>
      </c>
      <c r="K271" s="79" t="b">
        <v>0</v>
      </c>
      <c r="L271" s="79" t="b">
        <v>0</v>
      </c>
    </row>
    <row r="272" spans="1:12" ht="15">
      <c r="A272" s="85" t="s">
        <v>1885</v>
      </c>
      <c r="B272" s="84" t="s">
        <v>1791</v>
      </c>
      <c r="C272" s="79">
        <v>3</v>
      </c>
      <c r="D272" s="109">
        <v>0.0017610798870468748</v>
      </c>
      <c r="E272" s="109">
        <v>2.5486964485323464</v>
      </c>
      <c r="F272" s="79" t="s">
        <v>2085</v>
      </c>
      <c r="G272" s="79" t="b">
        <v>0</v>
      </c>
      <c r="H272" s="79" t="b">
        <v>0</v>
      </c>
      <c r="I272" s="79" t="b">
        <v>0</v>
      </c>
      <c r="J272" s="79" t="b">
        <v>0</v>
      </c>
      <c r="K272" s="79" t="b">
        <v>0</v>
      </c>
      <c r="L272" s="79" t="b">
        <v>0</v>
      </c>
    </row>
    <row r="273" spans="1:12" ht="15">
      <c r="A273" s="85" t="s">
        <v>1791</v>
      </c>
      <c r="B273" s="84" t="s">
        <v>1841</v>
      </c>
      <c r="C273" s="79">
        <v>3</v>
      </c>
      <c r="D273" s="109">
        <v>0.0017610798870468748</v>
      </c>
      <c r="E273" s="109">
        <v>2.384839645893677</v>
      </c>
      <c r="F273" s="79" t="s">
        <v>2085</v>
      </c>
      <c r="G273" s="79" t="b">
        <v>0</v>
      </c>
      <c r="H273" s="79" t="b">
        <v>0</v>
      </c>
      <c r="I273" s="79" t="b">
        <v>0</v>
      </c>
      <c r="J273" s="79" t="b">
        <v>0</v>
      </c>
      <c r="K273" s="79" t="b">
        <v>0</v>
      </c>
      <c r="L273" s="79" t="b">
        <v>0</v>
      </c>
    </row>
    <row r="274" spans="1:12" ht="15">
      <c r="A274" s="85" t="s">
        <v>1841</v>
      </c>
      <c r="B274" s="84" t="s">
        <v>1703</v>
      </c>
      <c r="C274" s="79">
        <v>3</v>
      </c>
      <c r="D274" s="109">
        <v>0.0017610798870468748</v>
      </c>
      <c r="E274" s="109">
        <v>1.004628404182071</v>
      </c>
      <c r="F274" s="79" t="s">
        <v>2085</v>
      </c>
      <c r="G274" s="79" t="b">
        <v>0</v>
      </c>
      <c r="H274" s="79" t="b">
        <v>0</v>
      </c>
      <c r="I274" s="79" t="b">
        <v>0</v>
      </c>
      <c r="J274" s="79" t="b">
        <v>0</v>
      </c>
      <c r="K274" s="79" t="b">
        <v>0</v>
      </c>
      <c r="L274" s="79" t="b">
        <v>0</v>
      </c>
    </row>
    <row r="275" spans="1:12" ht="15">
      <c r="A275" s="85" t="s">
        <v>1703</v>
      </c>
      <c r="B275" s="84" t="s">
        <v>1940</v>
      </c>
      <c r="C275" s="79">
        <v>3</v>
      </c>
      <c r="D275" s="109">
        <v>0.0017610798870468748</v>
      </c>
      <c r="E275" s="109">
        <v>1.5172879842807225</v>
      </c>
      <c r="F275" s="79" t="s">
        <v>2085</v>
      </c>
      <c r="G275" s="79" t="b">
        <v>0</v>
      </c>
      <c r="H275" s="79" t="b">
        <v>0</v>
      </c>
      <c r="I275" s="79" t="b">
        <v>0</v>
      </c>
      <c r="J275" s="79" t="b">
        <v>0</v>
      </c>
      <c r="K275" s="79" t="b">
        <v>0</v>
      </c>
      <c r="L275" s="79" t="b">
        <v>0</v>
      </c>
    </row>
    <row r="276" spans="1:12" ht="15">
      <c r="A276" s="85" t="s">
        <v>1941</v>
      </c>
      <c r="B276" s="84" t="s">
        <v>1704</v>
      </c>
      <c r="C276" s="79">
        <v>2</v>
      </c>
      <c r="D276" s="109">
        <v>0.0012912911135942867</v>
      </c>
      <c r="E276" s="109">
        <v>1.5541593442338488</v>
      </c>
      <c r="F276" s="79" t="s">
        <v>2085</v>
      </c>
      <c r="G276" s="79" t="b">
        <v>0</v>
      </c>
      <c r="H276" s="79" t="b">
        <v>0</v>
      </c>
      <c r="I276" s="79" t="b">
        <v>0</v>
      </c>
      <c r="J276" s="79" t="b">
        <v>0</v>
      </c>
      <c r="K276" s="79" t="b">
        <v>0</v>
      </c>
      <c r="L276" s="79" t="b">
        <v>0</v>
      </c>
    </row>
    <row r="277" spans="1:12" ht="15">
      <c r="A277" s="85" t="s">
        <v>1704</v>
      </c>
      <c r="B277" s="84" t="s">
        <v>1942</v>
      </c>
      <c r="C277" s="79">
        <v>2</v>
      </c>
      <c r="D277" s="109">
        <v>0.0012912911135942867</v>
      </c>
      <c r="E277" s="109">
        <v>1.5541593442338488</v>
      </c>
      <c r="F277" s="79" t="s">
        <v>2085</v>
      </c>
      <c r="G277" s="79" t="b">
        <v>0</v>
      </c>
      <c r="H277" s="79" t="b">
        <v>0</v>
      </c>
      <c r="I277" s="79" t="b">
        <v>0</v>
      </c>
      <c r="J277" s="79" t="b">
        <v>0</v>
      </c>
      <c r="K277" s="79" t="b">
        <v>0</v>
      </c>
      <c r="L277" s="79" t="b">
        <v>0</v>
      </c>
    </row>
    <row r="278" spans="1:12" ht="15">
      <c r="A278" s="85" t="s">
        <v>1942</v>
      </c>
      <c r="B278" s="84" t="s">
        <v>1943</v>
      </c>
      <c r="C278" s="79">
        <v>2</v>
      </c>
      <c r="D278" s="109">
        <v>0.0012912911135942867</v>
      </c>
      <c r="E278" s="109">
        <v>3.150756439860309</v>
      </c>
      <c r="F278" s="79" t="s">
        <v>2085</v>
      </c>
      <c r="G278" s="79" t="b">
        <v>0</v>
      </c>
      <c r="H278" s="79" t="b">
        <v>0</v>
      </c>
      <c r="I278" s="79" t="b">
        <v>0</v>
      </c>
      <c r="J278" s="79" t="b">
        <v>0</v>
      </c>
      <c r="K278" s="79" t="b">
        <v>0</v>
      </c>
      <c r="L278" s="79" t="b">
        <v>0</v>
      </c>
    </row>
    <row r="279" spans="1:12" ht="15">
      <c r="A279" s="85" t="s">
        <v>1943</v>
      </c>
      <c r="B279" s="84" t="s">
        <v>1944</v>
      </c>
      <c r="C279" s="79">
        <v>2</v>
      </c>
      <c r="D279" s="109">
        <v>0.0012912911135942867</v>
      </c>
      <c r="E279" s="109">
        <v>3.150756439860309</v>
      </c>
      <c r="F279" s="79" t="s">
        <v>2085</v>
      </c>
      <c r="G279" s="79" t="b">
        <v>0</v>
      </c>
      <c r="H279" s="79" t="b">
        <v>0</v>
      </c>
      <c r="I279" s="79" t="b">
        <v>0</v>
      </c>
      <c r="J279" s="79" t="b">
        <v>0</v>
      </c>
      <c r="K279" s="79" t="b">
        <v>0</v>
      </c>
      <c r="L279" s="79" t="b">
        <v>0</v>
      </c>
    </row>
    <row r="280" spans="1:12" ht="15">
      <c r="A280" s="85" t="s">
        <v>1944</v>
      </c>
      <c r="B280" s="84" t="s">
        <v>1945</v>
      </c>
      <c r="C280" s="79">
        <v>2</v>
      </c>
      <c r="D280" s="109">
        <v>0.0012912911135942867</v>
      </c>
      <c r="E280" s="109">
        <v>3.150756439860309</v>
      </c>
      <c r="F280" s="79" t="s">
        <v>2085</v>
      </c>
      <c r="G280" s="79" t="b">
        <v>0</v>
      </c>
      <c r="H280" s="79" t="b">
        <v>0</v>
      </c>
      <c r="I280" s="79" t="b">
        <v>0</v>
      </c>
      <c r="J280" s="79" t="b">
        <v>0</v>
      </c>
      <c r="K280" s="79" t="b">
        <v>0</v>
      </c>
      <c r="L280" s="79" t="b">
        <v>0</v>
      </c>
    </row>
    <row r="281" spans="1:12" ht="15">
      <c r="A281" s="85" t="s">
        <v>1945</v>
      </c>
      <c r="B281" s="84" t="s">
        <v>1946</v>
      </c>
      <c r="C281" s="79">
        <v>2</v>
      </c>
      <c r="D281" s="109">
        <v>0.0012912911135942867</v>
      </c>
      <c r="E281" s="109">
        <v>3.150756439860309</v>
      </c>
      <c r="F281" s="79" t="s">
        <v>2085</v>
      </c>
      <c r="G281" s="79" t="b">
        <v>0</v>
      </c>
      <c r="H281" s="79" t="b">
        <v>0</v>
      </c>
      <c r="I281" s="79" t="b">
        <v>0</v>
      </c>
      <c r="J281" s="79" t="b">
        <v>0</v>
      </c>
      <c r="K281" s="79" t="b">
        <v>0</v>
      </c>
      <c r="L281" s="79" t="b">
        <v>0</v>
      </c>
    </row>
    <row r="282" spans="1:12" ht="15">
      <c r="A282" s="85" t="s">
        <v>1946</v>
      </c>
      <c r="B282" s="84" t="s">
        <v>1947</v>
      </c>
      <c r="C282" s="79">
        <v>2</v>
      </c>
      <c r="D282" s="109">
        <v>0.0012912911135942867</v>
      </c>
      <c r="E282" s="109">
        <v>3.150756439860309</v>
      </c>
      <c r="F282" s="79" t="s">
        <v>2085</v>
      </c>
      <c r="G282" s="79" t="b">
        <v>0</v>
      </c>
      <c r="H282" s="79" t="b">
        <v>0</v>
      </c>
      <c r="I282" s="79" t="b">
        <v>0</v>
      </c>
      <c r="J282" s="79" t="b">
        <v>0</v>
      </c>
      <c r="K282" s="79" t="b">
        <v>0</v>
      </c>
      <c r="L282" s="79" t="b">
        <v>0</v>
      </c>
    </row>
    <row r="283" spans="1:12" ht="15">
      <c r="A283" s="85" t="s">
        <v>1947</v>
      </c>
      <c r="B283" s="84" t="s">
        <v>1948</v>
      </c>
      <c r="C283" s="79">
        <v>2</v>
      </c>
      <c r="D283" s="109">
        <v>0.0012912911135942867</v>
      </c>
      <c r="E283" s="109">
        <v>3.150756439860309</v>
      </c>
      <c r="F283" s="79" t="s">
        <v>2085</v>
      </c>
      <c r="G283" s="79" t="b">
        <v>0</v>
      </c>
      <c r="H283" s="79" t="b">
        <v>0</v>
      </c>
      <c r="I283" s="79" t="b">
        <v>0</v>
      </c>
      <c r="J283" s="79" t="b">
        <v>0</v>
      </c>
      <c r="K283" s="79" t="b">
        <v>0</v>
      </c>
      <c r="L283" s="79" t="b">
        <v>0</v>
      </c>
    </row>
    <row r="284" spans="1:12" ht="15">
      <c r="A284" s="85" t="s">
        <v>1948</v>
      </c>
      <c r="B284" s="84" t="s">
        <v>1949</v>
      </c>
      <c r="C284" s="79">
        <v>2</v>
      </c>
      <c r="D284" s="109">
        <v>0.0012912911135942867</v>
      </c>
      <c r="E284" s="109">
        <v>3.150756439860309</v>
      </c>
      <c r="F284" s="79" t="s">
        <v>2085</v>
      </c>
      <c r="G284" s="79" t="b">
        <v>0</v>
      </c>
      <c r="H284" s="79" t="b">
        <v>0</v>
      </c>
      <c r="I284" s="79" t="b">
        <v>0</v>
      </c>
      <c r="J284" s="79" t="b">
        <v>0</v>
      </c>
      <c r="K284" s="79" t="b">
        <v>0</v>
      </c>
      <c r="L284" s="79" t="b">
        <v>0</v>
      </c>
    </row>
    <row r="285" spans="1:12" ht="15">
      <c r="A285" s="85" t="s">
        <v>1949</v>
      </c>
      <c r="B285" s="84" t="s">
        <v>1950</v>
      </c>
      <c r="C285" s="79">
        <v>2</v>
      </c>
      <c r="D285" s="109">
        <v>0.0012912911135942867</v>
      </c>
      <c r="E285" s="109">
        <v>3.150756439860309</v>
      </c>
      <c r="F285" s="79" t="s">
        <v>2085</v>
      </c>
      <c r="G285" s="79" t="b">
        <v>0</v>
      </c>
      <c r="H285" s="79" t="b">
        <v>0</v>
      </c>
      <c r="I285" s="79" t="b">
        <v>0</v>
      </c>
      <c r="J285" s="79" t="b">
        <v>0</v>
      </c>
      <c r="K285" s="79" t="b">
        <v>0</v>
      </c>
      <c r="L285" s="79" t="b">
        <v>0</v>
      </c>
    </row>
    <row r="286" spans="1:12" ht="15">
      <c r="A286" s="85" t="s">
        <v>1950</v>
      </c>
      <c r="B286" s="84" t="s">
        <v>1951</v>
      </c>
      <c r="C286" s="79">
        <v>2</v>
      </c>
      <c r="D286" s="109">
        <v>0.0012912911135942867</v>
      </c>
      <c r="E286" s="109">
        <v>3.150756439860309</v>
      </c>
      <c r="F286" s="79" t="s">
        <v>2085</v>
      </c>
      <c r="G286" s="79" t="b">
        <v>0</v>
      </c>
      <c r="H286" s="79" t="b">
        <v>0</v>
      </c>
      <c r="I286" s="79" t="b">
        <v>0</v>
      </c>
      <c r="J286" s="79" t="b">
        <v>0</v>
      </c>
      <c r="K286" s="79" t="b">
        <v>0</v>
      </c>
      <c r="L286" s="79" t="b">
        <v>0</v>
      </c>
    </row>
    <row r="287" spans="1:12" ht="15">
      <c r="A287" s="85" t="s">
        <v>1951</v>
      </c>
      <c r="B287" s="84" t="s">
        <v>1952</v>
      </c>
      <c r="C287" s="79">
        <v>2</v>
      </c>
      <c r="D287" s="109">
        <v>0.0012912911135942867</v>
      </c>
      <c r="E287" s="109">
        <v>3.150756439860309</v>
      </c>
      <c r="F287" s="79" t="s">
        <v>2085</v>
      </c>
      <c r="G287" s="79" t="b">
        <v>0</v>
      </c>
      <c r="H287" s="79" t="b">
        <v>0</v>
      </c>
      <c r="I287" s="79" t="b">
        <v>0</v>
      </c>
      <c r="J287" s="79" t="b">
        <v>0</v>
      </c>
      <c r="K287" s="79" t="b">
        <v>0</v>
      </c>
      <c r="L287" s="79" t="b">
        <v>0</v>
      </c>
    </row>
    <row r="288" spans="1:12" ht="15">
      <c r="A288" s="85" t="s">
        <v>1952</v>
      </c>
      <c r="B288" s="84" t="s">
        <v>1758</v>
      </c>
      <c r="C288" s="79">
        <v>2</v>
      </c>
      <c r="D288" s="109">
        <v>0.0012912911135942867</v>
      </c>
      <c r="E288" s="109">
        <v>2.4975439260849654</v>
      </c>
      <c r="F288" s="79" t="s">
        <v>2085</v>
      </c>
      <c r="G288" s="79" t="b">
        <v>0</v>
      </c>
      <c r="H288" s="79" t="b">
        <v>0</v>
      </c>
      <c r="I288" s="79" t="b">
        <v>0</v>
      </c>
      <c r="J288" s="79" t="b">
        <v>0</v>
      </c>
      <c r="K288" s="79" t="b">
        <v>0</v>
      </c>
      <c r="L288" s="79" t="b">
        <v>0</v>
      </c>
    </row>
    <row r="289" spans="1:12" ht="15">
      <c r="A289" s="85" t="s">
        <v>1758</v>
      </c>
      <c r="B289" s="84" t="s">
        <v>1953</v>
      </c>
      <c r="C289" s="79">
        <v>2</v>
      </c>
      <c r="D289" s="109">
        <v>0.0012912911135942867</v>
      </c>
      <c r="E289" s="109">
        <v>3.150756439860309</v>
      </c>
      <c r="F289" s="79" t="s">
        <v>2085</v>
      </c>
      <c r="G289" s="79" t="b">
        <v>0</v>
      </c>
      <c r="H289" s="79" t="b">
        <v>0</v>
      </c>
      <c r="I289" s="79" t="b">
        <v>0</v>
      </c>
      <c r="J289" s="79" t="b">
        <v>0</v>
      </c>
      <c r="K289" s="79" t="b">
        <v>0</v>
      </c>
      <c r="L289" s="79" t="b">
        <v>0</v>
      </c>
    </row>
    <row r="290" spans="1:12" ht="15">
      <c r="A290" s="85" t="s">
        <v>1953</v>
      </c>
      <c r="B290" s="84" t="s">
        <v>1724</v>
      </c>
      <c r="C290" s="79">
        <v>2</v>
      </c>
      <c r="D290" s="109">
        <v>0.0012912911135942867</v>
      </c>
      <c r="E290" s="109">
        <v>1.9893884376253341</v>
      </c>
      <c r="F290" s="79" t="s">
        <v>2085</v>
      </c>
      <c r="G290" s="79" t="b">
        <v>0</v>
      </c>
      <c r="H290" s="79" t="b">
        <v>0</v>
      </c>
      <c r="I290" s="79" t="b">
        <v>0</v>
      </c>
      <c r="J290" s="79" t="b">
        <v>0</v>
      </c>
      <c r="K290" s="79" t="b">
        <v>0</v>
      </c>
      <c r="L290" s="79" t="b">
        <v>0</v>
      </c>
    </row>
    <row r="291" spans="1:12" ht="15">
      <c r="A291" s="85" t="s">
        <v>1724</v>
      </c>
      <c r="B291" s="84" t="s">
        <v>1954</v>
      </c>
      <c r="C291" s="79">
        <v>2</v>
      </c>
      <c r="D291" s="109">
        <v>0.0012912911135942867</v>
      </c>
      <c r="E291" s="109">
        <v>1.9604247416900176</v>
      </c>
      <c r="F291" s="79" t="s">
        <v>2085</v>
      </c>
      <c r="G291" s="79" t="b">
        <v>0</v>
      </c>
      <c r="H291" s="79" t="b">
        <v>0</v>
      </c>
      <c r="I291" s="79" t="b">
        <v>0</v>
      </c>
      <c r="J291" s="79" t="b">
        <v>0</v>
      </c>
      <c r="K291" s="79" t="b">
        <v>0</v>
      </c>
      <c r="L291" s="79" t="b">
        <v>0</v>
      </c>
    </row>
    <row r="292" spans="1:12" ht="15">
      <c r="A292" s="85" t="s">
        <v>1954</v>
      </c>
      <c r="B292" s="84" t="s">
        <v>1703</v>
      </c>
      <c r="C292" s="79">
        <v>2</v>
      </c>
      <c r="D292" s="109">
        <v>0.0012912911135942867</v>
      </c>
      <c r="E292" s="109">
        <v>1.2264771537984274</v>
      </c>
      <c r="F292" s="79" t="s">
        <v>2085</v>
      </c>
      <c r="G292" s="79" t="b">
        <v>0</v>
      </c>
      <c r="H292" s="79" t="b">
        <v>0</v>
      </c>
      <c r="I292" s="79" t="b">
        <v>0</v>
      </c>
      <c r="J292" s="79" t="b">
        <v>0</v>
      </c>
      <c r="K292" s="79" t="b">
        <v>0</v>
      </c>
      <c r="L292" s="79" t="b">
        <v>0</v>
      </c>
    </row>
    <row r="293" spans="1:12" ht="15">
      <c r="A293" s="85" t="s">
        <v>1752</v>
      </c>
      <c r="B293" s="84" t="s">
        <v>1782</v>
      </c>
      <c r="C293" s="79">
        <v>2</v>
      </c>
      <c r="D293" s="109">
        <v>0.0012912911135942867</v>
      </c>
      <c r="E293" s="109">
        <v>1.9077183911740145</v>
      </c>
      <c r="F293" s="79" t="s">
        <v>2085</v>
      </c>
      <c r="G293" s="79" t="b">
        <v>0</v>
      </c>
      <c r="H293" s="79" t="b">
        <v>0</v>
      </c>
      <c r="I293" s="79" t="b">
        <v>0</v>
      </c>
      <c r="J293" s="79" t="b">
        <v>0</v>
      </c>
      <c r="K293" s="79" t="b">
        <v>0</v>
      </c>
      <c r="L293" s="79" t="b">
        <v>0</v>
      </c>
    </row>
    <row r="294" spans="1:12" ht="15">
      <c r="A294" s="85" t="s">
        <v>1782</v>
      </c>
      <c r="B294" s="84" t="s">
        <v>1955</v>
      </c>
      <c r="C294" s="79">
        <v>2</v>
      </c>
      <c r="D294" s="109">
        <v>0.0012912911135942867</v>
      </c>
      <c r="E294" s="109">
        <v>2.6066883955100333</v>
      </c>
      <c r="F294" s="79" t="s">
        <v>2085</v>
      </c>
      <c r="G294" s="79" t="b">
        <v>0</v>
      </c>
      <c r="H294" s="79" t="b">
        <v>0</v>
      </c>
      <c r="I294" s="79" t="b">
        <v>0</v>
      </c>
      <c r="J294" s="79" t="b">
        <v>0</v>
      </c>
      <c r="K294" s="79" t="b">
        <v>0</v>
      </c>
      <c r="L294" s="79" t="b">
        <v>0</v>
      </c>
    </row>
    <row r="295" spans="1:12" ht="15">
      <c r="A295" s="85" t="s">
        <v>1955</v>
      </c>
      <c r="B295" s="84" t="s">
        <v>1956</v>
      </c>
      <c r="C295" s="79">
        <v>2</v>
      </c>
      <c r="D295" s="109">
        <v>0.0012912911135942867</v>
      </c>
      <c r="E295" s="109">
        <v>3.150756439860309</v>
      </c>
      <c r="F295" s="79" t="s">
        <v>2085</v>
      </c>
      <c r="G295" s="79" t="b">
        <v>0</v>
      </c>
      <c r="H295" s="79" t="b">
        <v>0</v>
      </c>
      <c r="I295" s="79" t="b">
        <v>0</v>
      </c>
      <c r="J295" s="79" t="b">
        <v>0</v>
      </c>
      <c r="K295" s="79" t="b">
        <v>0</v>
      </c>
      <c r="L295" s="79" t="b">
        <v>0</v>
      </c>
    </row>
    <row r="296" spans="1:12" ht="15">
      <c r="A296" s="85" t="s">
        <v>1956</v>
      </c>
      <c r="B296" s="84" t="s">
        <v>1764</v>
      </c>
      <c r="C296" s="79">
        <v>2</v>
      </c>
      <c r="D296" s="109">
        <v>0.0012912911135942867</v>
      </c>
      <c r="E296" s="109">
        <v>2.5486964485323464</v>
      </c>
      <c r="F296" s="79" t="s">
        <v>2085</v>
      </c>
      <c r="G296" s="79" t="b">
        <v>0</v>
      </c>
      <c r="H296" s="79" t="b">
        <v>0</v>
      </c>
      <c r="I296" s="79" t="b">
        <v>0</v>
      </c>
      <c r="J296" s="79" t="b">
        <v>0</v>
      </c>
      <c r="K296" s="79" t="b">
        <v>0</v>
      </c>
      <c r="L296" s="79" t="b">
        <v>0</v>
      </c>
    </row>
    <row r="297" spans="1:12" ht="15">
      <c r="A297" s="85" t="s">
        <v>1749</v>
      </c>
      <c r="B297" s="84" t="s">
        <v>1959</v>
      </c>
      <c r="C297" s="79">
        <v>2</v>
      </c>
      <c r="D297" s="109">
        <v>0.0012912911135942867</v>
      </c>
      <c r="E297" s="109">
        <v>2.4103937503660653</v>
      </c>
      <c r="F297" s="79" t="s">
        <v>2085</v>
      </c>
      <c r="G297" s="79" t="b">
        <v>0</v>
      </c>
      <c r="H297" s="79" t="b">
        <v>0</v>
      </c>
      <c r="I297" s="79" t="b">
        <v>0</v>
      </c>
      <c r="J297" s="79" t="b">
        <v>0</v>
      </c>
      <c r="K297" s="79" t="b">
        <v>0</v>
      </c>
      <c r="L297" s="79" t="b">
        <v>0</v>
      </c>
    </row>
    <row r="298" spans="1:12" ht="15">
      <c r="A298" s="85" t="s">
        <v>1959</v>
      </c>
      <c r="B298" s="84" t="s">
        <v>1887</v>
      </c>
      <c r="C298" s="79">
        <v>2</v>
      </c>
      <c r="D298" s="109">
        <v>0.0012912911135942867</v>
      </c>
      <c r="E298" s="109">
        <v>2.9746651808046276</v>
      </c>
      <c r="F298" s="79" t="s">
        <v>2085</v>
      </c>
      <c r="G298" s="79" t="b">
        <v>0</v>
      </c>
      <c r="H298" s="79" t="b">
        <v>0</v>
      </c>
      <c r="I298" s="79" t="b">
        <v>0</v>
      </c>
      <c r="J298" s="79" t="b">
        <v>0</v>
      </c>
      <c r="K298" s="79" t="b">
        <v>0</v>
      </c>
      <c r="L298" s="79" t="b">
        <v>0</v>
      </c>
    </row>
    <row r="299" spans="1:12" ht="15">
      <c r="A299" s="85" t="s">
        <v>1887</v>
      </c>
      <c r="B299" s="84" t="s">
        <v>1960</v>
      </c>
      <c r="C299" s="79">
        <v>2</v>
      </c>
      <c r="D299" s="109">
        <v>0.0012912911135942867</v>
      </c>
      <c r="E299" s="109">
        <v>2.9746651808046276</v>
      </c>
      <c r="F299" s="79" t="s">
        <v>2085</v>
      </c>
      <c r="G299" s="79" t="b">
        <v>0</v>
      </c>
      <c r="H299" s="79" t="b">
        <v>0</v>
      </c>
      <c r="I299" s="79" t="b">
        <v>0</v>
      </c>
      <c r="J299" s="79" t="b">
        <v>0</v>
      </c>
      <c r="K299" s="79" t="b">
        <v>0</v>
      </c>
      <c r="L299" s="79" t="b">
        <v>0</v>
      </c>
    </row>
    <row r="300" spans="1:12" ht="15">
      <c r="A300" s="85" t="s">
        <v>1960</v>
      </c>
      <c r="B300" s="84" t="s">
        <v>1961</v>
      </c>
      <c r="C300" s="79">
        <v>2</v>
      </c>
      <c r="D300" s="109">
        <v>0.0012912911135942867</v>
      </c>
      <c r="E300" s="109">
        <v>3.150756439860309</v>
      </c>
      <c r="F300" s="79" t="s">
        <v>2085</v>
      </c>
      <c r="G300" s="79" t="b">
        <v>0</v>
      </c>
      <c r="H300" s="79" t="b">
        <v>0</v>
      </c>
      <c r="I300" s="79" t="b">
        <v>0</v>
      </c>
      <c r="J300" s="79" t="b">
        <v>0</v>
      </c>
      <c r="K300" s="79" t="b">
        <v>0</v>
      </c>
      <c r="L300" s="79" t="b">
        <v>0</v>
      </c>
    </row>
    <row r="301" spans="1:12" ht="15">
      <c r="A301" s="85" t="s">
        <v>1961</v>
      </c>
      <c r="B301" s="84" t="s">
        <v>1962</v>
      </c>
      <c r="C301" s="79">
        <v>2</v>
      </c>
      <c r="D301" s="109">
        <v>0.0012912911135942867</v>
      </c>
      <c r="E301" s="109">
        <v>3.150756439860309</v>
      </c>
      <c r="F301" s="79" t="s">
        <v>2085</v>
      </c>
      <c r="G301" s="79" t="b">
        <v>0</v>
      </c>
      <c r="H301" s="79" t="b">
        <v>0</v>
      </c>
      <c r="I301" s="79" t="b">
        <v>0</v>
      </c>
      <c r="J301" s="79" t="b">
        <v>0</v>
      </c>
      <c r="K301" s="79" t="b">
        <v>0</v>
      </c>
      <c r="L301" s="79" t="b">
        <v>0</v>
      </c>
    </row>
    <row r="302" spans="1:12" ht="15">
      <c r="A302" s="85" t="s">
        <v>1962</v>
      </c>
      <c r="B302" s="84" t="s">
        <v>1703</v>
      </c>
      <c r="C302" s="79">
        <v>2</v>
      </c>
      <c r="D302" s="109">
        <v>0.0012912911135942867</v>
      </c>
      <c r="E302" s="109">
        <v>1.2264771537984274</v>
      </c>
      <c r="F302" s="79" t="s">
        <v>2085</v>
      </c>
      <c r="G302" s="79" t="b">
        <v>0</v>
      </c>
      <c r="H302" s="79" t="b">
        <v>0</v>
      </c>
      <c r="I302" s="79" t="b">
        <v>0</v>
      </c>
      <c r="J302" s="79" t="b">
        <v>0</v>
      </c>
      <c r="K302" s="79" t="b">
        <v>0</v>
      </c>
      <c r="L302" s="79" t="b">
        <v>0</v>
      </c>
    </row>
    <row r="303" spans="1:12" ht="15">
      <c r="A303" s="85" t="s">
        <v>1965</v>
      </c>
      <c r="B303" s="84" t="s">
        <v>1888</v>
      </c>
      <c r="C303" s="79">
        <v>2</v>
      </c>
      <c r="D303" s="109">
        <v>0.0012912911135942867</v>
      </c>
      <c r="E303" s="109">
        <v>2.9746651808046276</v>
      </c>
      <c r="F303" s="79" t="s">
        <v>2085</v>
      </c>
      <c r="G303" s="79" t="b">
        <v>0</v>
      </c>
      <c r="H303" s="79" t="b">
        <v>0</v>
      </c>
      <c r="I303" s="79" t="b">
        <v>0</v>
      </c>
      <c r="J303" s="79" t="b">
        <v>0</v>
      </c>
      <c r="K303" s="79" t="b">
        <v>0</v>
      </c>
      <c r="L303" s="79" t="b">
        <v>0</v>
      </c>
    </row>
    <row r="304" spans="1:12" ht="15">
      <c r="A304" s="85" t="s">
        <v>1966</v>
      </c>
      <c r="B304" s="84" t="s">
        <v>1967</v>
      </c>
      <c r="C304" s="79">
        <v>2</v>
      </c>
      <c r="D304" s="109">
        <v>0.0012912911135942867</v>
      </c>
      <c r="E304" s="109">
        <v>3.150756439860309</v>
      </c>
      <c r="F304" s="79" t="s">
        <v>2085</v>
      </c>
      <c r="G304" s="79" t="b">
        <v>0</v>
      </c>
      <c r="H304" s="79" t="b">
        <v>1</v>
      </c>
      <c r="I304" s="79" t="b">
        <v>0</v>
      </c>
      <c r="J304" s="79" t="b">
        <v>0</v>
      </c>
      <c r="K304" s="79" t="b">
        <v>0</v>
      </c>
      <c r="L304" s="79" t="b">
        <v>0</v>
      </c>
    </row>
    <row r="305" spans="1:12" ht="15">
      <c r="A305" s="85" t="s">
        <v>1967</v>
      </c>
      <c r="B305" s="84" t="s">
        <v>368</v>
      </c>
      <c r="C305" s="79">
        <v>2</v>
      </c>
      <c r="D305" s="109">
        <v>0.0012912911135942867</v>
      </c>
      <c r="E305" s="109">
        <v>2.129567140790371</v>
      </c>
      <c r="F305" s="79" t="s">
        <v>2085</v>
      </c>
      <c r="G305" s="79" t="b">
        <v>0</v>
      </c>
      <c r="H305" s="79" t="b">
        <v>0</v>
      </c>
      <c r="I305" s="79" t="b">
        <v>0</v>
      </c>
      <c r="J305" s="79" t="b">
        <v>0</v>
      </c>
      <c r="K305" s="79" t="b">
        <v>0</v>
      </c>
      <c r="L305" s="79" t="b">
        <v>0</v>
      </c>
    </row>
    <row r="306" spans="1:12" ht="15">
      <c r="A306" s="85" t="s">
        <v>368</v>
      </c>
      <c r="B306" s="84" t="s">
        <v>363</v>
      </c>
      <c r="C306" s="79">
        <v>2</v>
      </c>
      <c r="D306" s="109">
        <v>0.0012912911135942867</v>
      </c>
      <c r="E306" s="109">
        <v>1.7528164311882715</v>
      </c>
      <c r="F306" s="79" t="s">
        <v>2085</v>
      </c>
      <c r="G306" s="79" t="b">
        <v>0</v>
      </c>
      <c r="H306" s="79" t="b">
        <v>0</v>
      </c>
      <c r="I306" s="79" t="b">
        <v>0</v>
      </c>
      <c r="J306" s="79" t="b">
        <v>0</v>
      </c>
      <c r="K306" s="79" t="b">
        <v>0</v>
      </c>
      <c r="L306" s="79" t="b">
        <v>0</v>
      </c>
    </row>
    <row r="307" spans="1:12" ht="15">
      <c r="A307" s="85" t="s">
        <v>363</v>
      </c>
      <c r="B307" s="84" t="s">
        <v>1707</v>
      </c>
      <c r="C307" s="79">
        <v>2</v>
      </c>
      <c r="D307" s="109">
        <v>0.0012912911135942867</v>
      </c>
      <c r="E307" s="109">
        <v>1.5486964485323467</v>
      </c>
      <c r="F307" s="79" t="s">
        <v>2085</v>
      </c>
      <c r="G307" s="79" t="b">
        <v>0</v>
      </c>
      <c r="H307" s="79" t="b">
        <v>0</v>
      </c>
      <c r="I307" s="79" t="b">
        <v>0</v>
      </c>
      <c r="J307" s="79" t="b">
        <v>0</v>
      </c>
      <c r="K307" s="79" t="b">
        <v>0</v>
      </c>
      <c r="L307" s="79" t="b">
        <v>0</v>
      </c>
    </row>
    <row r="308" spans="1:12" ht="15">
      <c r="A308" s="85" t="s">
        <v>1707</v>
      </c>
      <c r="B308" s="84" t="s">
        <v>1730</v>
      </c>
      <c r="C308" s="79">
        <v>2</v>
      </c>
      <c r="D308" s="109">
        <v>0.0012912911135942867</v>
      </c>
      <c r="E308" s="109">
        <v>0.8954839347570029</v>
      </c>
      <c r="F308" s="79" t="s">
        <v>2085</v>
      </c>
      <c r="G308" s="79" t="b">
        <v>0</v>
      </c>
      <c r="H308" s="79" t="b">
        <v>0</v>
      </c>
      <c r="I308" s="79" t="b">
        <v>0</v>
      </c>
      <c r="J308" s="79" t="b">
        <v>0</v>
      </c>
      <c r="K308" s="79" t="b">
        <v>0</v>
      </c>
      <c r="L308" s="79" t="b">
        <v>0</v>
      </c>
    </row>
    <row r="309" spans="1:12" ht="15">
      <c r="A309" s="85" t="s">
        <v>1730</v>
      </c>
      <c r="B309" s="84" t="s">
        <v>1968</v>
      </c>
      <c r="C309" s="79">
        <v>2</v>
      </c>
      <c r="D309" s="109">
        <v>0.0012912911135942867</v>
      </c>
      <c r="E309" s="109">
        <v>2.221337514146016</v>
      </c>
      <c r="F309" s="79" t="s">
        <v>2085</v>
      </c>
      <c r="G309" s="79" t="b">
        <v>0</v>
      </c>
      <c r="H309" s="79" t="b">
        <v>0</v>
      </c>
      <c r="I309" s="79" t="b">
        <v>0</v>
      </c>
      <c r="J309" s="79" t="b">
        <v>0</v>
      </c>
      <c r="K309" s="79" t="b">
        <v>0</v>
      </c>
      <c r="L309" s="79" t="b">
        <v>0</v>
      </c>
    </row>
    <row r="310" spans="1:12" ht="15">
      <c r="A310" s="85" t="s">
        <v>1968</v>
      </c>
      <c r="B310" s="84" t="s">
        <v>1747</v>
      </c>
      <c r="C310" s="79">
        <v>2</v>
      </c>
      <c r="D310" s="109">
        <v>0.0012912911135942867</v>
      </c>
      <c r="E310" s="109">
        <v>2.45178643552429</v>
      </c>
      <c r="F310" s="79" t="s">
        <v>2085</v>
      </c>
      <c r="G310" s="79" t="b">
        <v>0</v>
      </c>
      <c r="H310" s="79" t="b">
        <v>0</v>
      </c>
      <c r="I310" s="79" t="b">
        <v>0</v>
      </c>
      <c r="J310" s="79" t="b">
        <v>0</v>
      </c>
      <c r="K310" s="79" t="b">
        <v>0</v>
      </c>
      <c r="L310" s="79" t="b">
        <v>0</v>
      </c>
    </row>
    <row r="311" spans="1:12" ht="15">
      <c r="A311" s="85" t="s">
        <v>1733</v>
      </c>
      <c r="B311" s="84" t="s">
        <v>1969</v>
      </c>
      <c r="C311" s="79">
        <v>2</v>
      </c>
      <c r="D311" s="109">
        <v>0.0012912911135942867</v>
      </c>
      <c r="E311" s="109">
        <v>2.3726051894766655</v>
      </c>
      <c r="F311" s="79" t="s">
        <v>2085</v>
      </c>
      <c r="G311" s="79" t="b">
        <v>0</v>
      </c>
      <c r="H311" s="79" t="b">
        <v>0</v>
      </c>
      <c r="I311" s="79" t="b">
        <v>0</v>
      </c>
      <c r="J311" s="79" t="b">
        <v>0</v>
      </c>
      <c r="K311" s="79" t="b">
        <v>0</v>
      </c>
      <c r="L311" s="79" t="b">
        <v>0</v>
      </c>
    </row>
    <row r="312" spans="1:12" ht="15">
      <c r="A312" s="85" t="s">
        <v>1969</v>
      </c>
      <c r="B312" s="84" t="s">
        <v>1970</v>
      </c>
      <c r="C312" s="79">
        <v>2</v>
      </c>
      <c r="D312" s="109">
        <v>0.0012912911135942867</v>
      </c>
      <c r="E312" s="109">
        <v>3.150756439860309</v>
      </c>
      <c r="F312" s="79" t="s">
        <v>2085</v>
      </c>
      <c r="G312" s="79" t="b">
        <v>0</v>
      </c>
      <c r="H312" s="79" t="b">
        <v>0</v>
      </c>
      <c r="I312" s="79" t="b">
        <v>0</v>
      </c>
      <c r="J312" s="79" t="b">
        <v>0</v>
      </c>
      <c r="K312" s="79" t="b">
        <v>0</v>
      </c>
      <c r="L312" s="79" t="b">
        <v>0</v>
      </c>
    </row>
    <row r="313" spans="1:12" ht="15">
      <c r="A313" s="85" t="s">
        <v>1970</v>
      </c>
      <c r="B313" s="84" t="s">
        <v>1971</v>
      </c>
      <c r="C313" s="79">
        <v>2</v>
      </c>
      <c r="D313" s="109">
        <v>0.0012912911135942867</v>
      </c>
      <c r="E313" s="109">
        <v>3.150756439860309</v>
      </c>
      <c r="F313" s="79" t="s">
        <v>2085</v>
      </c>
      <c r="G313" s="79" t="b">
        <v>0</v>
      </c>
      <c r="H313" s="79" t="b">
        <v>0</v>
      </c>
      <c r="I313" s="79" t="b">
        <v>0</v>
      </c>
      <c r="J313" s="79" t="b">
        <v>0</v>
      </c>
      <c r="K313" s="79" t="b">
        <v>0</v>
      </c>
      <c r="L313" s="79" t="b">
        <v>0</v>
      </c>
    </row>
    <row r="314" spans="1:12" ht="15">
      <c r="A314" s="85" t="s">
        <v>1971</v>
      </c>
      <c r="B314" s="84" t="s">
        <v>1972</v>
      </c>
      <c r="C314" s="79">
        <v>2</v>
      </c>
      <c r="D314" s="109">
        <v>0.0012912911135942867</v>
      </c>
      <c r="E314" s="109">
        <v>3.150756439860309</v>
      </c>
      <c r="F314" s="79" t="s">
        <v>2085</v>
      </c>
      <c r="G314" s="79" t="b">
        <v>0</v>
      </c>
      <c r="H314" s="79" t="b">
        <v>0</v>
      </c>
      <c r="I314" s="79" t="b">
        <v>0</v>
      </c>
      <c r="J314" s="79" t="b">
        <v>0</v>
      </c>
      <c r="K314" s="79" t="b">
        <v>0</v>
      </c>
      <c r="L314" s="79" t="b">
        <v>0</v>
      </c>
    </row>
    <row r="315" spans="1:12" ht="15">
      <c r="A315" s="85" t="s">
        <v>1972</v>
      </c>
      <c r="B315" s="84" t="s">
        <v>1703</v>
      </c>
      <c r="C315" s="79">
        <v>2</v>
      </c>
      <c r="D315" s="109">
        <v>0.0012912911135942867</v>
      </c>
      <c r="E315" s="109">
        <v>1.2264771537984274</v>
      </c>
      <c r="F315" s="79" t="s">
        <v>2085</v>
      </c>
      <c r="G315" s="79" t="b">
        <v>0</v>
      </c>
      <c r="H315" s="79" t="b">
        <v>0</v>
      </c>
      <c r="I315" s="79" t="b">
        <v>0</v>
      </c>
      <c r="J315" s="79" t="b">
        <v>0</v>
      </c>
      <c r="K315" s="79" t="b">
        <v>0</v>
      </c>
      <c r="L315" s="79" t="b">
        <v>0</v>
      </c>
    </row>
    <row r="316" spans="1:12" ht="15">
      <c r="A316" s="85" t="s">
        <v>1703</v>
      </c>
      <c r="B316" s="84" t="s">
        <v>1973</v>
      </c>
      <c r="C316" s="79">
        <v>2</v>
      </c>
      <c r="D316" s="109">
        <v>0.0012912911135942867</v>
      </c>
      <c r="E316" s="109">
        <v>1.5172879842807225</v>
      </c>
      <c r="F316" s="79" t="s">
        <v>2085</v>
      </c>
      <c r="G316" s="79" t="b">
        <v>0</v>
      </c>
      <c r="H316" s="79" t="b">
        <v>0</v>
      </c>
      <c r="I316" s="79" t="b">
        <v>0</v>
      </c>
      <c r="J316" s="79" t="b">
        <v>0</v>
      </c>
      <c r="K316" s="79" t="b">
        <v>0</v>
      </c>
      <c r="L316" s="79" t="b">
        <v>0</v>
      </c>
    </row>
    <row r="317" spans="1:12" ht="15">
      <c r="A317" s="85" t="s">
        <v>1973</v>
      </c>
      <c r="B317" s="84" t="s">
        <v>1974</v>
      </c>
      <c r="C317" s="79">
        <v>2</v>
      </c>
      <c r="D317" s="109">
        <v>0.0012912911135942867</v>
      </c>
      <c r="E317" s="109">
        <v>3.150756439860309</v>
      </c>
      <c r="F317" s="79" t="s">
        <v>2085</v>
      </c>
      <c r="G317" s="79" t="b">
        <v>0</v>
      </c>
      <c r="H317" s="79" t="b">
        <v>0</v>
      </c>
      <c r="I317" s="79" t="b">
        <v>0</v>
      </c>
      <c r="J317" s="79" t="b">
        <v>0</v>
      </c>
      <c r="K317" s="79" t="b">
        <v>0</v>
      </c>
      <c r="L317" s="79" t="b">
        <v>0</v>
      </c>
    </row>
    <row r="318" spans="1:12" ht="15">
      <c r="A318" s="85" t="s">
        <v>1974</v>
      </c>
      <c r="B318" s="84" t="s">
        <v>1759</v>
      </c>
      <c r="C318" s="79">
        <v>2</v>
      </c>
      <c r="D318" s="109">
        <v>0.0012912911135942867</v>
      </c>
      <c r="E318" s="109">
        <v>2.4975439260849654</v>
      </c>
      <c r="F318" s="79" t="s">
        <v>2085</v>
      </c>
      <c r="G318" s="79" t="b">
        <v>0</v>
      </c>
      <c r="H318" s="79" t="b">
        <v>0</v>
      </c>
      <c r="I318" s="79" t="b">
        <v>0</v>
      </c>
      <c r="J318" s="79" t="b">
        <v>0</v>
      </c>
      <c r="K318" s="79" t="b">
        <v>0</v>
      </c>
      <c r="L318" s="79" t="b">
        <v>0</v>
      </c>
    </row>
    <row r="319" spans="1:12" ht="15">
      <c r="A319" s="85" t="s">
        <v>1759</v>
      </c>
      <c r="B319" s="84" t="s">
        <v>1819</v>
      </c>
      <c r="C319" s="79">
        <v>2</v>
      </c>
      <c r="D319" s="109">
        <v>0.0012912911135942867</v>
      </c>
      <c r="E319" s="109">
        <v>2.0996039174129275</v>
      </c>
      <c r="F319" s="79" t="s">
        <v>2085</v>
      </c>
      <c r="G319" s="79" t="b">
        <v>0</v>
      </c>
      <c r="H319" s="79" t="b">
        <v>0</v>
      </c>
      <c r="I319" s="79" t="b">
        <v>0</v>
      </c>
      <c r="J319" s="79" t="b">
        <v>0</v>
      </c>
      <c r="K319" s="79" t="b">
        <v>0</v>
      </c>
      <c r="L319" s="79" t="b">
        <v>0</v>
      </c>
    </row>
    <row r="320" spans="1:12" ht="15">
      <c r="A320" s="85" t="s">
        <v>1703</v>
      </c>
      <c r="B320" s="84" t="s">
        <v>1764</v>
      </c>
      <c r="C320" s="79">
        <v>2</v>
      </c>
      <c r="D320" s="109">
        <v>0.0012912911135942867</v>
      </c>
      <c r="E320" s="109">
        <v>0.9152279929527601</v>
      </c>
      <c r="F320" s="79" t="s">
        <v>2085</v>
      </c>
      <c r="G320" s="79" t="b">
        <v>0</v>
      </c>
      <c r="H320" s="79" t="b">
        <v>0</v>
      </c>
      <c r="I320" s="79" t="b">
        <v>0</v>
      </c>
      <c r="J320" s="79" t="b">
        <v>0</v>
      </c>
      <c r="K320" s="79" t="b">
        <v>0</v>
      </c>
      <c r="L320" s="79" t="b">
        <v>0</v>
      </c>
    </row>
    <row r="321" spans="1:12" ht="15">
      <c r="A321" s="85" t="s">
        <v>1703</v>
      </c>
      <c r="B321" s="84" t="s">
        <v>1977</v>
      </c>
      <c r="C321" s="79">
        <v>2</v>
      </c>
      <c r="D321" s="109">
        <v>0.0012912911135942867</v>
      </c>
      <c r="E321" s="109">
        <v>1.5172879842807225</v>
      </c>
      <c r="F321" s="79" t="s">
        <v>2085</v>
      </c>
      <c r="G321" s="79" t="b">
        <v>0</v>
      </c>
      <c r="H321" s="79" t="b">
        <v>0</v>
      </c>
      <c r="I321" s="79" t="b">
        <v>0</v>
      </c>
      <c r="J321" s="79" t="b">
        <v>0</v>
      </c>
      <c r="K321" s="79" t="b">
        <v>0</v>
      </c>
      <c r="L321" s="79" t="b">
        <v>0</v>
      </c>
    </row>
    <row r="322" spans="1:12" ht="15">
      <c r="A322" s="85" t="s">
        <v>1977</v>
      </c>
      <c r="B322" s="84" t="s">
        <v>1978</v>
      </c>
      <c r="C322" s="79">
        <v>2</v>
      </c>
      <c r="D322" s="109">
        <v>0.0012912911135942867</v>
      </c>
      <c r="E322" s="109">
        <v>3.150756439860309</v>
      </c>
      <c r="F322" s="79" t="s">
        <v>2085</v>
      </c>
      <c r="G322" s="79" t="b">
        <v>0</v>
      </c>
      <c r="H322" s="79" t="b">
        <v>0</v>
      </c>
      <c r="I322" s="79" t="b">
        <v>0</v>
      </c>
      <c r="J322" s="79" t="b">
        <v>0</v>
      </c>
      <c r="K322" s="79" t="b">
        <v>0</v>
      </c>
      <c r="L322" s="79" t="b">
        <v>0</v>
      </c>
    </row>
    <row r="323" spans="1:12" ht="15">
      <c r="A323" s="85" t="s">
        <v>1979</v>
      </c>
      <c r="B323" s="84" t="s">
        <v>369</v>
      </c>
      <c r="C323" s="79">
        <v>2</v>
      </c>
      <c r="D323" s="109">
        <v>0.0012912911135942867</v>
      </c>
      <c r="E323" s="109">
        <v>3.150756439860309</v>
      </c>
      <c r="F323" s="79" t="s">
        <v>2085</v>
      </c>
      <c r="G323" s="79" t="b">
        <v>0</v>
      </c>
      <c r="H323" s="79" t="b">
        <v>0</v>
      </c>
      <c r="I323" s="79" t="b">
        <v>0</v>
      </c>
      <c r="J323" s="79" t="b">
        <v>0</v>
      </c>
      <c r="K323" s="79" t="b">
        <v>0</v>
      </c>
      <c r="L323" s="79" t="b">
        <v>0</v>
      </c>
    </row>
    <row r="324" spans="1:12" ht="15">
      <c r="A324" s="85" t="s">
        <v>369</v>
      </c>
      <c r="B324" s="84" t="s">
        <v>1980</v>
      </c>
      <c r="C324" s="79">
        <v>2</v>
      </c>
      <c r="D324" s="109">
        <v>0.0012912911135942867</v>
      </c>
      <c r="E324" s="109">
        <v>3.150756439860309</v>
      </c>
      <c r="F324" s="79" t="s">
        <v>2085</v>
      </c>
      <c r="G324" s="79" t="b">
        <v>0</v>
      </c>
      <c r="H324" s="79" t="b">
        <v>0</v>
      </c>
      <c r="I324" s="79" t="b">
        <v>0</v>
      </c>
      <c r="J324" s="79" t="b">
        <v>0</v>
      </c>
      <c r="K324" s="79" t="b">
        <v>0</v>
      </c>
      <c r="L324" s="79" t="b">
        <v>0</v>
      </c>
    </row>
    <row r="325" spans="1:12" ht="15">
      <c r="A325" s="85" t="s">
        <v>1980</v>
      </c>
      <c r="B325" s="84" t="s">
        <v>1817</v>
      </c>
      <c r="C325" s="79">
        <v>2</v>
      </c>
      <c r="D325" s="109">
        <v>0.0012912911135942867</v>
      </c>
      <c r="E325" s="109">
        <v>2.673635185140647</v>
      </c>
      <c r="F325" s="79" t="s">
        <v>2085</v>
      </c>
      <c r="G325" s="79" t="b">
        <v>0</v>
      </c>
      <c r="H325" s="79" t="b">
        <v>0</v>
      </c>
      <c r="I325" s="79" t="b">
        <v>0</v>
      </c>
      <c r="J325" s="79" t="b">
        <v>0</v>
      </c>
      <c r="K325" s="79" t="b">
        <v>0</v>
      </c>
      <c r="L325" s="79" t="b">
        <v>0</v>
      </c>
    </row>
    <row r="326" spans="1:12" ht="15">
      <c r="A326" s="85" t="s">
        <v>1817</v>
      </c>
      <c r="B326" s="84" t="s">
        <v>1703</v>
      </c>
      <c r="C326" s="79">
        <v>2</v>
      </c>
      <c r="D326" s="109">
        <v>0.0012912911135942867</v>
      </c>
      <c r="E326" s="109">
        <v>0.749355899078765</v>
      </c>
      <c r="F326" s="79" t="s">
        <v>2085</v>
      </c>
      <c r="G326" s="79" t="b">
        <v>0</v>
      </c>
      <c r="H326" s="79" t="b">
        <v>0</v>
      </c>
      <c r="I326" s="79" t="b">
        <v>0</v>
      </c>
      <c r="J326" s="79" t="b">
        <v>0</v>
      </c>
      <c r="K326" s="79" t="b">
        <v>0</v>
      </c>
      <c r="L326" s="79" t="b">
        <v>0</v>
      </c>
    </row>
    <row r="327" spans="1:12" ht="15">
      <c r="A327" s="85" t="s">
        <v>1703</v>
      </c>
      <c r="B327" s="84" t="s">
        <v>1839</v>
      </c>
      <c r="C327" s="79">
        <v>2</v>
      </c>
      <c r="D327" s="109">
        <v>0.0012912911135942867</v>
      </c>
      <c r="E327" s="109">
        <v>1.1193479756086848</v>
      </c>
      <c r="F327" s="79" t="s">
        <v>2085</v>
      </c>
      <c r="G327" s="79" t="b">
        <v>0</v>
      </c>
      <c r="H327" s="79" t="b">
        <v>0</v>
      </c>
      <c r="I327" s="79" t="b">
        <v>0</v>
      </c>
      <c r="J327" s="79" t="b">
        <v>0</v>
      </c>
      <c r="K327" s="79" t="b">
        <v>0</v>
      </c>
      <c r="L327" s="79" t="b">
        <v>0</v>
      </c>
    </row>
    <row r="328" spans="1:12" ht="15">
      <c r="A328" s="85" t="s">
        <v>1839</v>
      </c>
      <c r="B328" s="84" t="s">
        <v>1730</v>
      </c>
      <c r="C328" s="79">
        <v>2</v>
      </c>
      <c r="D328" s="109">
        <v>0.0012912911135942867</v>
      </c>
      <c r="E328" s="109">
        <v>2.020422671365303</v>
      </c>
      <c r="F328" s="79" t="s">
        <v>2085</v>
      </c>
      <c r="G328" s="79" t="b">
        <v>0</v>
      </c>
      <c r="H328" s="79" t="b">
        <v>0</v>
      </c>
      <c r="I328" s="79" t="b">
        <v>0</v>
      </c>
      <c r="J328" s="79" t="b">
        <v>0</v>
      </c>
      <c r="K328" s="79" t="b">
        <v>0</v>
      </c>
      <c r="L328" s="79" t="b">
        <v>0</v>
      </c>
    </row>
    <row r="329" spans="1:12" ht="15">
      <c r="A329" s="85" t="s">
        <v>1730</v>
      </c>
      <c r="B329" s="84" t="s">
        <v>1728</v>
      </c>
      <c r="C329" s="79">
        <v>2</v>
      </c>
      <c r="D329" s="109">
        <v>0.0012912911135942867</v>
      </c>
      <c r="E329" s="109">
        <v>1.2670950047066913</v>
      </c>
      <c r="F329" s="79" t="s">
        <v>2085</v>
      </c>
      <c r="G329" s="79" t="b">
        <v>0</v>
      </c>
      <c r="H329" s="79" t="b">
        <v>0</v>
      </c>
      <c r="I329" s="79" t="b">
        <v>0</v>
      </c>
      <c r="J329" s="79" t="b">
        <v>0</v>
      </c>
      <c r="K329" s="79" t="b">
        <v>0</v>
      </c>
      <c r="L329" s="79" t="b">
        <v>0</v>
      </c>
    </row>
    <row r="330" spans="1:12" ht="15">
      <c r="A330" s="85" t="s">
        <v>1728</v>
      </c>
      <c r="B330" s="84" t="s">
        <v>1981</v>
      </c>
      <c r="C330" s="79">
        <v>2</v>
      </c>
      <c r="D330" s="109">
        <v>0.0012912911135942867</v>
      </c>
      <c r="E330" s="109">
        <v>2.196513930420984</v>
      </c>
      <c r="F330" s="79" t="s">
        <v>2085</v>
      </c>
      <c r="G330" s="79" t="b">
        <v>0</v>
      </c>
      <c r="H330" s="79" t="b">
        <v>0</v>
      </c>
      <c r="I330" s="79" t="b">
        <v>0</v>
      </c>
      <c r="J330" s="79" t="b">
        <v>0</v>
      </c>
      <c r="K330" s="79" t="b">
        <v>0</v>
      </c>
      <c r="L330" s="79" t="b">
        <v>0</v>
      </c>
    </row>
    <row r="331" spans="1:12" ht="15">
      <c r="A331" s="85" t="s">
        <v>1981</v>
      </c>
      <c r="B331" s="84" t="s">
        <v>1982</v>
      </c>
      <c r="C331" s="79">
        <v>2</v>
      </c>
      <c r="D331" s="109">
        <v>0.0012912911135942867</v>
      </c>
      <c r="E331" s="109">
        <v>3.150756439860309</v>
      </c>
      <c r="F331" s="79" t="s">
        <v>2085</v>
      </c>
      <c r="G331" s="79" t="b">
        <v>0</v>
      </c>
      <c r="H331" s="79" t="b">
        <v>0</v>
      </c>
      <c r="I331" s="79" t="b">
        <v>0</v>
      </c>
      <c r="J331" s="79" t="b">
        <v>0</v>
      </c>
      <c r="K331" s="79" t="b">
        <v>0</v>
      </c>
      <c r="L331" s="79" t="b">
        <v>0</v>
      </c>
    </row>
    <row r="332" spans="1:12" ht="15">
      <c r="A332" s="85" t="s">
        <v>1982</v>
      </c>
      <c r="B332" s="84" t="s">
        <v>1983</v>
      </c>
      <c r="C332" s="79">
        <v>2</v>
      </c>
      <c r="D332" s="109">
        <v>0.0012912911135942867</v>
      </c>
      <c r="E332" s="109">
        <v>3.150756439860309</v>
      </c>
      <c r="F332" s="79" t="s">
        <v>2085</v>
      </c>
      <c r="G332" s="79" t="b">
        <v>0</v>
      </c>
      <c r="H332" s="79" t="b">
        <v>0</v>
      </c>
      <c r="I332" s="79" t="b">
        <v>0</v>
      </c>
      <c r="J332" s="79" t="b">
        <v>0</v>
      </c>
      <c r="K332" s="79" t="b">
        <v>0</v>
      </c>
      <c r="L332" s="79" t="b">
        <v>0</v>
      </c>
    </row>
    <row r="333" spans="1:12" ht="15">
      <c r="A333" s="85" t="s">
        <v>1983</v>
      </c>
      <c r="B333" s="84" t="s">
        <v>1728</v>
      </c>
      <c r="C333" s="79">
        <v>2</v>
      </c>
      <c r="D333" s="109">
        <v>0.0012912911135942867</v>
      </c>
      <c r="E333" s="109">
        <v>2.196513930420984</v>
      </c>
      <c r="F333" s="79" t="s">
        <v>2085</v>
      </c>
      <c r="G333" s="79" t="b">
        <v>0</v>
      </c>
      <c r="H333" s="79" t="b">
        <v>0</v>
      </c>
      <c r="I333" s="79" t="b">
        <v>0</v>
      </c>
      <c r="J333" s="79" t="b">
        <v>0</v>
      </c>
      <c r="K333" s="79" t="b">
        <v>0</v>
      </c>
      <c r="L333" s="79" t="b">
        <v>0</v>
      </c>
    </row>
    <row r="334" spans="1:12" ht="15">
      <c r="A334" s="85" t="s">
        <v>1728</v>
      </c>
      <c r="B334" s="84" t="s">
        <v>1984</v>
      </c>
      <c r="C334" s="79">
        <v>2</v>
      </c>
      <c r="D334" s="109">
        <v>0.0012912911135942867</v>
      </c>
      <c r="E334" s="109">
        <v>2.196513930420984</v>
      </c>
      <c r="F334" s="79" t="s">
        <v>2085</v>
      </c>
      <c r="G334" s="79" t="b">
        <v>0</v>
      </c>
      <c r="H334" s="79" t="b">
        <v>0</v>
      </c>
      <c r="I334" s="79" t="b">
        <v>0</v>
      </c>
      <c r="J334" s="79" t="b">
        <v>0</v>
      </c>
      <c r="K334" s="79" t="b">
        <v>0</v>
      </c>
      <c r="L334" s="79" t="b">
        <v>0</v>
      </c>
    </row>
    <row r="335" spans="1:12" ht="15">
      <c r="A335" s="85" t="s">
        <v>1984</v>
      </c>
      <c r="B335" s="84" t="s">
        <v>1985</v>
      </c>
      <c r="C335" s="79">
        <v>2</v>
      </c>
      <c r="D335" s="109">
        <v>0.0012912911135942867</v>
      </c>
      <c r="E335" s="109">
        <v>3.150756439860309</v>
      </c>
      <c r="F335" s="79" t="s">
        <v>2085</v>
      </c>
      <c r="G335" s="79" t="b">
        <v>0</v>
      </c>
      <c r="H335" s="79" t="b">
        <v>0</v>
      </c>
      <c r="I335" s="79" t="b">
        <v>0</v>
      </c>
      <c r="J335" s="79" t="b">
        <v>0</v>
      </c>
      <c r="K335" s="79" t="b">
        <v>0</v>
      </c>
      <c r="L335" s="79" t="b">
        <v>0</v>
      </c>
    </row>
    <row r="336" spans="1:12" ht="15">
      <c r="A336" s="85" t="s">
        <v>1985</v>
      </c>
      <c r="B336" s="84" t="s">
        <v>1986</v>
      </c>
      <c r="C336" s="79">
        <v>2</v>
      </c>
      <c r="D336" s="109">
        <v>0.0012912911135942867</v>
      </c>
      <c r="E336" s="109">
        <v>3.150756439860309</v>
      </c>
      <c r="F336" s="79" t="s">
        <v>2085</v>
      </c>
      <c r="G336" s="79" t="b">
        <v>0</v>
      </c>
      <c r="H336" s="79" t="b">
        <v>0</v>
      </c>
      <c r="I336" s="79" t="b">
        <v>0</v>
      </c>
      <c r="J336" s="79" t="b">
        <v>0</v>
      </c>
      <c r="K336" s="79" t="b">
        <v>0</v>
      </c>
      <c r="L336" s="79" t="b">
        <v>0</v>
      </c>
    </row>
    <row r="337" spans="1:12" ht="15">
      <c r="A337" s="85" t="s">
        <v>1986</v>
      </c>
      <c r="B337" s="84" t="s">
        <v>1038</v>
      </c>
      <c r="C337" s="79">
        <v>2</v>
      </c>
      <c r="D337" s="109">
        <v>0.0012912911135942867</v>
      </c>
      <c r="E337" s="109">
        <v>3.150756439860309</v>
      </c>
      <c r="F337" s="79" t="s">
        <v>2085</v>
      </c>
      <c r="G337" s="79" t="b">
        <v>0</v>
      </c>
      <c r="H337" s="79" t="b">
        <v>0</v>
      </c>
      <c r="I337" s="79" t="b">
        <v>0</v>
      </c>
      <c r="J337" s="79" t="b">
        <v>0</v>
      </c>
      <c r="K337" s="79" t="b">
        <v>0</v>
      </c>
      <c r="L337" s="79" t="b">
        <v>0</v>
      </c>
    </row>
    <row r="338" spans="1:12" ht="15">
      <c r="A338" s="85" t="s">
        <v>1038</v>
      </c>
      <c r="B338" s="84" t="s">
        <v>1839</v>
      </c>
      <c r="C338" s="79">
        <v>2</v>
      </c>
      <c r="D338" s="109">
        <v>0.0012912911135942867</v>
      </c>
      <c r="E338" s="109">
        <v>2.7528164311882715</v>
      </c>
      <c r="F338" s="79" t="s">
        <v>2085</v>
      </c>
      <c r="G338" s="79" t="b">
        <v>0</v>
      </c>
      <c r="H338" s="79" t="b">
        <v>0</v>
      </c>
      <c r="I338" s="79" t="b">
        <v>0</v>
      </c>
      <c r="J338" s="79" t="b">
        <v>0</v>
      </c>
      <c r="K338" s="79" t="b">
        <v>0</v>
      </c>
      <c r="L338" s="79" t="b">
        <v>0</v>
      </c>
    </row>
    <row r="339" spans="1:12" ht="15">
      <c r="A339" s="85" t="s">
        <v>1730</v>
      </c>
      <c r="B339" s="84" t="s">
        <v>1704</v>
      </c>
      <c r="C339" s="79">
        <v>2</v>
      </c>
      <c r="D339" s="109">
        <v>0.0012912911135942867</v>
      </c>
      <c r="E339" s="109">
        <v>0.6247404185195561</v>
      </c>
      <c r="F339" s="79" t="s">
        <v>2085</v>
      </c>
      <c r="G339" s="79" t="b">
        <v>0</v>
      </c>
      <c r="H339" s="79" t="b">
        <v>0</v>
      </c>
      <c r="I339" s="79" t="b">
        <v>0</v>
      </c>
      <c r="J339" s="79" t="b">
        <v>0</v>
      </c>
      <c r="K339" s="79" t="b">
        <v>0</v>
      </c>
      <c r="L339" s="79" t="b">
        <v>0</v>
      </c>
    </row>
    <row r="340" spans="1:12" ht="15">
      <c r="A340" s="85" t="s">
        <v>1987</v>
      </c>
      <c r="B340" s="84" t="s">
        <v>1988</v>
      </c>
      <c r="C340" s="79">
        <v>2</v>
      </c>
      <c r="D340" s="109">
        <v>0.0012912911135942867</v>
      </c>
      <c r="E340" s="109">
        <v>3.150756439860309</v>
      </c>
      <c r="F340" s="79" t="s">
        <v>2085</v>
      </c>
      <c r="G340" s="79" t="b">
        <v>0</v>
      </c>
      <c r="H340" s="79" t="b">
        <v>0</v>
      </c>
      <c r="I340" s="79" t="b">
        <v>0</v>
      </c>
      <c r="J340" s="79" t="b">
        <v>0</v>
      </c>
      <c r="K340" s="79" t="b">
        <v>0</v>
      </c>
      <c r="L340" s="79" t="b">
        <v>0</v>
      </c>
    </row>
    <row r="341" spans="1:12" ht="15">
      <c r="A341" s="85" t="s">
        <v>1988</v>
      </c>
      <c r="B341" s="84" t="s">
        <v>1703</v>
      </c>
      <c r="C341" s="79">
        <v>2</v>
      </c>
      <c r="D341" s="109">
        <v>0.0012912911135942867</v>
      </c>
      <c r="E341" s="109">
        <v>1.2264771537984274</v>
      </c>
      <c r="F341" s="79" t="s">
        <v>2085</v>
      </c>
      <c r="G341" s="79" t="b">
        <v>0</v>
      </c>
      <c r="H341" s="79" t="b">
        <v>0</v>
      </c>
      <c r="I341" s="79" t="b">
        <v>0</v>
      </c>
      <c r="J341" s="79" t="b">
        <v>0</v>
      </c>
      <c r="K341" s="79" t="b">
        <v>0</v>
      </c>
      <c r="L341" s="79" t="b">
        <v>0</v>
      </c>
    </row>
    <row r="342" spans="1:12" ht="15">
      <c r="A342" s="85" t="s">
        <v>1703</v>
      </c>
      <c r="B342" s="84" t="s">
        <v>1705</v>
      </c>
      <c r="C342" s="79">
        <v>2</v>
      </c>
      <c r="D342" s="109">
        <v>0.0012912911135942867</v>
      </c>
      <c r="E342" s="109">
        <v>0.11934797560868489</v>
      </c>
      <c r="F342" s="79" t="s">
        <v>2085</v>
      </c>
      <c r="G342" s="79" t="b">
        <v>0</v>
      </c>
      <c r="H342" s="79" t="b">
        <v>0</v>
      </c>
      <c r="I342" s="79" t="b">
        <v>0</v>
      </c>
      <c r="J342" s="79" t="b">
        <v>0</v>
      </c>
      <c r="K342" s="79" t="b">
        <v>0</v>
      </c>
      <c r="L342" s="79" t="b">
        <v>0</v>
      </c>
    </row>
    <row r="343" spans="1:12" ht="15">
      <c r="A343" s="85" t="s">
        <v>1705</v>
      </c>
      <c r="B343" s="84" t="s">
        <v>1989</v>
      </c>
      <c r="C343" s="79">
        <v>2</v>
      </c>
      <c r="D343" s="109">
        <v>0.0012912911135942867</v>
      </c>
      <c r="E343" s="109">
        <v>1.7528164311882715</v>
      </c>
      <c r="F343" s="79" t="s">
        <v>2085</v>
      </c>
      <c r="G343" s="79" t="b">
        <v>0</v>
      </c>
      <c r="H343" s="79" t="b">
        <v>0</v>
      </c>
      <c r="I343" s="79" t="b">
        <v>0</v>
      </c>
      <c r="J343" s="79" t="b">
        <v>0</v>
      </c>
      <c r="K343" s="79" t="b">
        <v>0</v>
      </c>
      <c r="L343" s="79" t="b">
        <v>0</v>
      </c>
    </row>
    <row r="344" spans="1:12" ht="15">
      <c r="A344" s="85" t="s">
        <v>1989</v>
      </c>
      <c r="B344" s="84" t="s">
        <v>1990</v>
      </c>
      <c r="C344" s="79">
        <v>2</v>
      </c>
      <c r="D344" s="109">
        <v>0.0012912911135942867</v>
      </c>
      <c r="E344" s="109">
        <v>3.150756439860309</v>
      </c>
      <c r="F344" s="79" t="s">
        <v>2085</v>
      </c>
      <c r="G344" s="79" t="b">
        <v>0</v>
      </c>
      <c r="H344" s="79" t="b">
        <v>0</v>
      </c>
      <c r="I344" s="79" t="b">
        <v>0</v>
      </c>
      <c r="J344" s="79" t="b">
        <v>0</v>
      </c>
      <c r="K344" s="79" t="b">
        <v>0</v>
      </c>
      <c r="L344" s="79" t="b">
        <v>0</v>
      </c>
    </row>
    <row r="345" spans="1:12" ht="15">
      <c r="A345" s="85" t="s">
        <v>1990</v>
      </c>
      <c r="B345" s="84" t="s">
        <v>1991</v>
      </c>
      <c r="C345" s="79">
        <v>2</v>
      </c>
      <c r="D345" s="109">
        <v>0.0012912911135942867</v>
      </c>
      <c r="E345" s="109">
        <v>3.150756439860309</v>
      </c>
      <c r="F345" s="79" t="s">
        <v>2085</v>
      </c>
      <c r="G345" s="79" t="b">
        <v>0</v>
      </c>
      <c r="H345" s="79" t="b">
        <v>0</v>
      </c>
      <c r="I345" s="79" t="b">
        <v>0</v>
      </c>
      <c r="J345" s="79" t="b">
        <v>0</v>
      </c>
      <c r="K345" s="79" t="b">
        <v>0</v>
      </c>
      <c r="L345" s="79" t="b">
        <v>0</v>
      </c>
    </row>
    <row r="346" spans="1:12" ht="15">
      <c r="A346" s="85" t="s">
        <v>1991</v>
      </c>
      <c r="B346" s="84" t="s">
        <v>1992</v>
      </c>
      <c r="C346" s="79">
        <v>2</v>
      </c>
      <c r="D346" s="109">
        <v>0.0012912911135942867</v>
      </c>
      <c r="E346" s="109">
        <v>3.150756439860309</v>
      </c>
      <c r="F346" s="79" t="s">
        <v>2085</v>
      </c>
      <c r="G346" s="79" t="b">
        <v>0</v>
      </c>
      <c r="H346" s="79" t="b">
        <v>0</v>
      </c>
      <c r="I346" s="79" t="b">
        <v>0</v>
      </c>
      <c r="J346" s="79" t="b">
        <v>0</v>
      </c>
      <c r="K346" s="79" t="b">
        <v>0</v>
      </c>
      <c r="L346" s="79" t="b">
        <v>0</v>
      </c>
    </row>
    <row r="347" spans="1:12" ht="15">
      <c r="A347" s="85" t="s">
        <v>1993</v>
      </c>
      <c r="B347" s="84" t="s">
        <v>1994</v>
      </c>
      <c r="C347" s="79">
        <v>2</v>
      </c>
      <c r="D347" s="109">
        <v>0.0012912911135942867</v>
      </c>
      <c r="E347" s="109">
        <v>3.150756439860309</v>
      </c>
      <c r="F347" s="79" t="s">
        <v>2085</v>
      </c>
      <c r="G347" s="79" t="b">
        <v>0</v>
      </c>
      <c r="H347" s="79" t="b">
        <v>0</v>
      </c>
      <c r="I347" s="79" t="b">
        <v>0</v>
      </c>
      <c r="J347" s="79" t="b">
        <v>0</v>
      </c>
      <c r="K347" s="79" t="b">
        <v>0</v>
      </c>
      <c r="L347" s="79" t="b">
        <v>0</v>
      </c>
    </row>
    <row r="348" spans="1:12" ht="15">
      <c r="A348" s="85" t="s">
        <v>1994</v>
      </c>
      <c r="B348" s="84" t="s">
        <v>1913</v>
      </c>
      <c r="C348" s="79">
        <v>2</v>
      </c>
      <c r="D348" s="109">
        <v>0.0012912911135942867</v>
      </c>
      <c r="E348" s="109">
        <v>2.9746651808046276</v>
      </c>
      <c r="F348" s="79" t="s">
        <v>2085</v>
      </c>
      <c r="G348" s="79" t="b">
        <v>0</v>
      </c>
      <c r="H348" s="79" t="b">
        <v>0</v>
      </c>
      <c r="I348" s="79" t="b">
        <v>0</v>
      </c>
      <c r="J348" s="79" t="b">
        <v>0</v>
      </c>
      <c r="K348" s="79" t="b">
        <v>0</v>
      </c>
      <c r="L348" s="79" t="b">
        <v>0</v>
      </c>
    </row>
    <row r="349" spans="1:12" ht="15">
      <c r="A349" s="85" t="s">
        <v>1913</v>
      </c>
      <c r="B349" s="84" t="s">
        <v>1995</v>
      </c>
      <c r="C349" s="79">
        <v>2</v>
      </c>
      <c r="D349" s="109">
        <v>0.0012912911135942867</v>
      </c>
      <c r="E349" s="109">
        <v>2.9746651808046276</v>
      </c>
      <c r="F349" s="79" t="s">
        <v>2085</v>
      </c>
      <c r="G349" s="79" t="b">
        <v>0</v>
      </c>
      <c r="H349" s="79" t="b">
        <v>0</v>
      </c>
      <c r="I349" s="79" t="b">
        <v>0</v>
      </c>
      <c r="J349" s="79" t="b">
        <v>0</v>
      </c>
      <c r="K349" s="79" t="b">
        <v>0</v>
      </c>
      <c r="L349" s="79" t="b">
        <v>0</v>
      </c>
    </row>
    <row r="350" spans="1:12" ht="15">
      <c r="A350" s="85" t="s">
        <v>1995</v>
      </c>
      <c r="B350" s="84" t="s">
        <v>1996</v>
      </c>
      <c r="C350" s="79">
        <v>2</v>
      </c>
      <c r="D350" s="109">
        <v>0.0012912911135942867</v>
      </c>
      <c r="E350" s="109">
        <v>3.150756439860309</v>
      </c>
      <c r="F350" s="79" t="s">
        <v>2085</v>
      </c>
      <c r="G350" s="79" t="b">
        <v>0</v>
      </c>
      <c r="H350" s="79" t="b">
        <v>0</v>
      </c>
      <c r="I350" s="79" t="b">
        <v>0</v>
      </c>
      <c r="J350" s="79" t="b">
        <v>0</v>
      </c>
      <c r="K350" s="79" t="b">
        <v>0</v>
      </c>
      <c r="L350" s="79" t="b">
        <v>0</v>
      </c>
    </row>
    <row r="351" spans="1:12" ht="15">
      <c r="A351" s="85" t="s">
        <v>1996</v>
      </c>
      <c r="B351" s="84" t="s">
        <v>1997</v>
      </c>
      <c r="C351" s="79">
        <v>2</v>
      </c>
      <c r="D351" s="109">
        <v>0.0012912911135942867</v>
      </c>
      <c r="E351" s="109">
        <v>3.150756439860309</v>
      </c>
      <c r="F351" s="79" t="s">
        <v>2085</v>
      </c>
      <c r="G351" s="79" t="b">
        <v>0</v>
      </c>
      <c r="H351" s="79" t="b">
        <v>0</v>
      </c>
      <c r="I351" s="79" t="b">
        <v>0</v>
      </c>
      <c r="J351" s="79" t="b">
        <v>0</v>
      </c>
      <c r="K351" s="79" t="b">
        <v>0</v>
      </c>
      <c r="L351" s="79" t="b">
        <v>0</v>
      </c>
    </row>
    <row r="352" spans="1:12" ht="15">
      <c r="A352" s="85" t="s">
        <v>1997</v>
      </c>
      <c r="B352" s="84" t="s">
        <v>1884</v>
      </c>
      <c r="C352" s="79">
        <v>2</v>
      </c>
      <c r="D352" s="109">
        <v>0.0012912911135942867</v>
      </c>
      <c r="E352" s="109">
        <v>2.8497264441963277</v>
      </c>
      <c r="F352" s="79" t="s">
        <v>2085</v>
      </c>
      <c r="G352" s="79" t="b">
        <v>0</v>
      </c>
      <c r="H352" s="79" t="b">
        <v>0</v>
      </c>
      <c r="I352" s="79" t="b">
        <v>0</v>
      </c>
      <c r="J352" s="79" t="b">
        <v>0</v>
      </c>
      <c r="K352" s="79" t="b">
        <v>0</v>
      </c>
      <c r="L352" s="79" t="b">
        <v>0</v>
      </c>
    </row>
    <row r="353" spans="1:12" ht="15">
      <c r="A353" s="85" t="s">
        <v>1884</v>
      </c>
      <c r="B353" s="84" t="s">
        <v>1998</v>
      </c>
      <c r="C353" s="79">
        <v>2</v>
      </c>
      <c r="D353" s="109">
        <v>0.0012912911135942867</v>
      </c>
      <c r="E353" s="109">
        <v>2.8497264441963277</v>
      </c>
      <c r="F353" s="79" t="s">
        <v>2085</v>
      </c>
      <c r="G353" s="79" t="b">
        <v>0</v>
      </c>
      <c r="H353" s="79" t="b">
        <v>0</v>
      </c>
      <c r="I353" s="79" t="b">
        <v>0</v>
      </c>
      <c r="J353" s="79" t="b">
        <v>0</v>
      </c>
      <c r="K353" s="79" t="b">
        <v>0</v>
      </c>
      <c r="L353" s="79" t="b">
        <v>0</v>
      </c>
    </row>
    <row r="354" spans="1:12" ht="15">
      <c r="A354" s="85" t="s">
        <v>1998</v>
      </c>
      <c r="B354" s="84" t="s">
        <v>1703</v>
      </c>
      <c r="C354" s="79">
        <v>2</v>
      </c>
      <c r="D354" s="109">
        <v>0.0012912911135942867</v>
      </c>
      <c r="E354" s="109">
        <v>1.2264771537984274</v>
      </c>
      <c r="F354" s="79" t="s">
        <v>2085</v>
      </c>
      <c r="G354" s="79" t="b">
        <v>0</v>
      </c>
      <c r="H354" s="79" t="b">
        <v>0</v>
      </c>
      <c r="I354" s="79" t="b">
        <v>0</v>
      </c>
      <c r="J354" s="79" t="b">
        <v>0</v>
      </c>
      <c r="K354" s="79" t="b">
        <v>0</v>
      </c>
      <c r="L354" s="79" t="b">
        <v>0</v>
      </c>
    </row>
    <row r="355" spans="1:12" ht="15">
      <c r="A355" s="85" t="s">
        <v>1703</v>
      </c>
      <c r="B355" s="84" t="s">
        <v>1730</v>
      </c>
      <c r="C355" s="79">
        <v>2</v>
      </c>
      <c r="D355" s="109">
        <v>0.0012912911135942867</v>
      </c>
      <c r="E355" s="109">
        <v>0.5630454748413977</v>
      </c>
      <c r="F355" s="79" t="s">
        <v>2085</v>
      </c>
      <c r="G355" s="79" t="b">
        <v>0</v>
      </c>
      <c r="H355" s="79" t="b">
        <v>0</v>
      </c>
      <c r="I355" s="79" t="b">
        <v>0</v>
      </c>
      <c r="J355" s="79" t="b">
        <v>0</v>
      </c>
      <c r="K355" s="79" t="b">
        <v>0</v>
      </c>
      <c r="L355" s="79" t="b">
        <v>0</v>
      </c>
    </row>
    <row r="356" spans="1:12" ht="15">
      <c r="A356" s="85" t="s">
        <v>1703</v>
      </c>
      <c r="B356" s="84" t="s">
        <v>1999</v>
      </c>
      <c r="C356" s="79">
        <v>2</v>
      </c>
      <c r="D356" s="109">
        <v>0.0012912911135942867</v>
      </c>
      <c r="E356" s="109">
        <v>1.5172879842807225</v>
      </c>
      <c r="F356" s="79" t="s">
        <v>2085</v>
      </c>
      <c r="G356" s="79" t="b">
        <v>0</v>
      </c>
      <c r="H356" s="79" t="b">
        <v>0</v>
      </c>
      <c r="I356" s="79" t="b">
        <v>0</v>
      </c>
      <c r="J356" s="79" t="b">
        <v>0</v>
      </c>
      <c r="K356" s="79" t="b">
        <v>0</v>
      </c>
      <c r="L356" s="79" t="b">
        <v>0</v>
      </c>
    </row>
    <row r="357" spans="1:12" ht="15">
      <c r="A357" s="85" t="s">
        <v>1999</v>
      </c>
      <c r="B357" s="84" t="s">
        <v>1770</v>
      </c>
      <c r="C357" s="79">
        <v>2</v>
      </c>
      <c r="D357" s="109">
        <v>0.0012912911135942867</v>
      </c>
      <c r="E357" s="109">
        <v>2.673635185140647</v>
      </c>
      <c r="F357" s="79" t="s">
        <v>2085</v>
      </c>
      <c r="G357" s="79" t="b">
        <v>0</v>
      </c>
      <c r="H357" s="79" t="b">
        <v>0</v>
      </c>
      <c r="I357" s="79" t="b">
        <v>0</v>
      </c>
      <c r="J357" s="79" t="b">
        <v>0</v>
      </c>
      <c r="K357" s="79" t="b">
        <v>0</v>
      </c>
      <c r="L357" s="79" t="b">
        <v>0</v>
      </c>
    </row>
    <row r="358" spans="1:12" ht="15">
      <c r="A358" s="85" t="s">
        <v>1770</v>
      </c>
      <c r="B358" s="84" t="s">
        <v>2000</v>
      </c>
      <c r="C358" s="79">
        <v>2</v>
      </c>
      <c r="D358" s="109">
        <v>0.0012912911135942867</v>
      </c>
      <c r="E358" s="109">
        <v>2.5486964485323464</v>
      </c>
      <c r="F358" s="79" t="s">
        <v>2085</v>
      </c>
      <c r="G358" s="79" t="b">
        <v>0</v>
      </c>
      <c r="H358" s="79" t="b">
        <v>0</v>
      </c>
      <c r="I358" s="79" t="b">
        <v>0</v>
      </c>
      <c r="J358" s="79" t="b">
        <v>0</v>
      </c>
      <c r="K358" s="79" t="b">
        <v>0</v>
      </c>
      <c r="L358" s="79" t="b">
        <v>0</v>
      </c>
    </row>
    <row r="359" spans="1:12" ht="15">
      <c r="A359" s="85" t="s">
        <v>2000</v>
      </c>
      <c r="B359" s="84" t="s">
        <v>2001</v>
      </c>
      <c r="C359" s="79">
        <v>2</v>
      </c>
      <c r="D359" s="109">
        <v>0.0012912911135942867</v>
      </c>
      <c r="E359" s="109">
        <v>3.150756439860309</v>
      </c>
      <c r="F359" s="79" t="s">
        <v>2085</v>
      </c>
      <c r="G359" s="79" t="b">
        <v>0</v>
      </c>
      <c r="H359" s="79" t="b">
        <v>0</v>
      </c>
      <c r="I359" s="79" t="b">
        <v>0</v>
      </c>
      <c r="J359" s="79" t="b">
        <v>0</v>
      </c>
      <c r="K359" s="79" t="b">
        <v>0</v>
      </c>
      <c r="L359" s="79" t="b">
        <v>0</v>
      </c>
    </row>
    <row r="360" spans="1:12" ht="15">
      <c r="A360" s="85" t="s">
        <v>2001</v>
      </c>
      <c r="B360" s="84" t="s">
        <v>2002</v>
      </c>
      <c r="C360" s="79">
        <v>2</v>
      </c>
      <c r="D360" s="109">
        <v>0.0012912911135942867</v>
      </c>
      <c r="E360" s="109">
        <v>3.150756439860309</v>
      </c>
      <c r="F360" s="79" t="s">
        <v>2085</v>
      </c>
      <c r="G360" s="79" t="b">
        <v>0</v>
      </c>
      <c r="H360" s="79" t="b">
        <v>0</v>
      </c>
      <c r="I360" s="79" t="b">
        <v>0</v>
      </c>
      <c r="J360" s="79" t="b">
        <v>0</v>
      </c>
      <c r="K360" s="79" t="b">
        <v>0</v>
      </c>
      <c r="L360" s="79" t="b">
        <v>0</v>
      </c>
    </row>
    <row r="361" spans="1:12" ht="15">
      <c r="A361" s="85" t="s">
        <v>2002</v>
      </c>
      <c r="B361" s="84" t="s">
        <v>2003</v>
      </c>
      <c r="C361" s="79">
        <v>2</v>
      </c>
      <c r="D361" s="109">
        <v>0.0012912911135942867</v>
      </c>
      <c r="E361" s="109">
        <v>3.150756439860309</v>
      </c>
      <c r="F361" s="79" t="s">
        <v>2085</v>
      </c>
      <c r="G361" s="79" t="b">
        <v>0</v>
      </c>
      <c r="H361" s="79" t="b">
        <v>0</v>
      </c>
      <c r="I361" s="79" t="b">
        <v>0</v>
      </c>
      <c r="J361" s="79" t="b">
        <v>0</v>
      </c>
      <c r="K361" s="79" t="b">
        <v>0</v>
      </c>
      <c r="L361" s="79" t="b">
        <v>0</v>
      </c>
    </row>
    <row r="362" spans="1:12" ht="15">
      <c r="A362" s="85" t="s">
        <v>2003</v>
      </c>
      <c r="B362" s="84" t="s">
        <v>2004</v>
      </c>
      <c r="C362" s="79">
        <v>2</v>
      </c>
      <c r="D362" s="109">
        <v>0.0012912911135942867</v>
      </c>
      <c r="E362" s="109">
        <v>3.150756439860309</v>
      </c>
      <c r="F362" s="79" t="s">
        <v>2085</v>
      </c>
      <c r="G362" s="79" t="b">
        <v>0</v>
      </c>
      <c r="H362" s="79" t="b">
        <v>0</v>
      </c>
      <c r="I362" s="79" t="b">
        <v>0</v>
      </c>
      <c r="J362" s="79" t="b">
        <v>0</v>
      </c>
      <c r="K362" s="79" t="b">
        <v>0</v>
      </c>
      <c r="L362" s="79" t="b">
        <v>0</v>
      </c>
    </row>
    <row r="363" spans="1:12" ht="15">
      <c r="A363" s="85" t="s">
        <v>2004</v>
      </c>
      <c r="B363" s="84" t="s">
        <v>2005</v>
      </c>
      <c r="C363" s="79">
        <v>2</v>
      </c>
      <c r="D363" s="109">
        <v>0.0012912911135942867</v>
      </c>
      <c r="E363" s="109">
        <v>3.150756439860309</v>
      </c>
      <c r="F363" s="79" t="s">
        <v>2085</v>
      </c>
      <c r="G363" s="79" t="b">
        <v>0</v>
      </c>
      <c r="H363" s="79" t="b">
        <v>0</v>
      </c>
      <c r="I363" s="79" t="b">
        <v>0</v>
      </c>
      <c r="J363" s="79" t="b">
        <v>0</v>
      </c>
      <c r="K363" s="79" t="b">
        <v>0</v>
      </c>
      <c r="L363" s="79" t="b">
        <v>0</v>
      </c>
    </row>
    <row r="364" spans="1:12" ht="15">
      <c r="A364" s="85" t="s">
        <v>2005</v>
      </c>
      <c r="B364" s="84" t="s">
        <v>2006</v>
      </c>
      <c r="C364" s="79">
        <v>2</v>
      </c>
      <c r="D364" s="109">
        <v>0.0012912911135942867</v>
      </c>
      <c r="E364" s="109">
        <v>3.150756439860309</v>
      </c>
      <c r="F364" s="79" t="s">
        <v>2085</v>
      </c>
      <c r="G364" s="79" t="b">
        <v>0</v>
      </c>
      <c r="H364" s="79" t="b">
        <v>0</v>
      </c>
      <c r="I364" s="79" t="b">
        <v>0</v>
      </c>
      <c r="J364" s="79" t="b">
        <v>0</v>
      </c>
      <c r="K364" s="79" t="b">
        <v>0</v>
      </c>
      <c r="L364" s="79" t="b">
        <v>0</v>
      </c>
    </row>
    <row r="365" spans="1:12" ht="15">
      <c r="A365" s="85" t="s">
        <v>2006</v>
      </c>
      <c r="B365" s="84" t="s">
        <v>1760</v>
      </c>
      <c r="C365" s="79">
        <v>2</v>
      </c>
      <c r="D365" s="109">
        <v>0.0012912911135942867</v>
      </c>
      <c r="E365" s="109">
        <v>2.4975439260849654</v>
      </c>
      <c r="F365" s="79" t="s">
        <v>2085</v>
      </c>
      <c r="G365" s="79" t="b">
        <v>0</v>
      </c>
      <c r="H365" s="79" t="b">
        <v>0</v>
      </c>
      <c r="I365" s="79" t="b">
        <v>0</v>
      </c>
      <c r="J365" s="79" t="b">
        <v>0</v>
      </c>
      <c r="K365" s="79" t="b">
        <v>0</v>
      </c>
      <c r="L365" s="79" t="b">
        <v>0</v>
      </c>
    </row>
    <row r="366" spans="1:12" ht="15">
      <c r="A366" s="85" t="s">
        <v>2007</v>
      </c>
      <c r="B366" s="84" t="s">
        <v>2008</v>
      </c>
      <c r="C366" s="79">
        <v>2</v>
      </c>
      <c r="D366" s="109">
        <v>0.0012912911135942867</v>
      </c>
      <c r="E366" s="109">
        <v>3.150756439860309</v>
      </c>
      <c r="F366" s="79" t="s">
        <v>2085</v>
      </c>
      <c r="G366" s="79" t="b">
        <v>0</v>
      </c>
      <c r="H366" s="79" t="b">
        <v>0</v>
      </c>
      <c r="I366" s="79" t="b">
        <v>0</v>
      </c>
      <c r="J366" s="79" t="b">
        <v>0</v>
      </c>
      <c r="K366" s="79" t="b">
        <v>0</v>
      </c>
      <c r="L366" s="79" t="b">
        <v>0</v>
      </c>
    </row>
    <row r="367" spans="1:12" ht="15">
      <c r="A367" s="85" t="s">
        <v>2008</v>
      </c>
      <c r="B367" s="84" t="s">
        <v>367</v>
      </c>
      <c r="C367" s="79">
        <v>2</v>
      </c>
      <c r="D367" s="109">
        <v>0.0012912911135942867</v>
      </c>
      <c r="E367" s="109">
        <v>3.150756439860309</v>
      </c>
      <c r="F367" s="79" t="s">
        <v>2085</v>
      </c>
      <c r="G367" s="79" t="b">
        <v>0</v>
      </c>
      <c r="H367" s="79" t="b">
        <v>0</v>
      </c>
      <c r="I367" s="79" t="b">
        <v>0</v>
      </c>
      <c r="J367" s="79" t="b">
        <v>0</v>
      </c>
      <c r="K367" s="79" t="b">
        <v>0</v>
      </c>
      <c r="L367" s="79" t="b">
        <v>0</v>
      </c>
    </row>
    <row r="368" spans="1:12" ht="15">
      <c r="A368" s="85" t="s">
        <v>367</v>
      </c>
      <c r="B368" s="84" t="s">
        <v>2009</v>
      </c>
      <c r="C368" s="79">
        <v>2</v>
      </c>
      <c r="D368" s="109">
        <v>0.0012912911135942867</v>
      </c>
      <c r="E368" s="109">
        <v>3.150756439860309</v>
      </c>
      <c r="F368" s="79" t="s">
        <v>2085</v>
      </c>
      <c r="G368" s="79" t="b">
        <v>0</v>
      </c>
      <c r="H368" s="79" t="b">
        <v>0</v>
      </c>
      <c r="I368" s="79" t="b">
        <v>0</v>
      </c>
      <c r="J368" s="79" t="b">
        <v>0</v>
      </c>
      <c r="K368" s="79" t="b">
        <v>0</v>
      </c>
      <c r="L368" s="79" t="b">
        <v>0</v>
      </c>
    </row>
    <row r="369" spans="1:12" ht="15">
      <c r="A369" s="85" t="s">
        <v>2009</v>
      </c>
      <c r="B369" s="84" t="s">
        <v>2010</v>
      </c>
      <c r="C369" s="79">
        <v>2</v>
      </c>
      <c r="D369" s="109">
        <v>0.0012912911135942867</v>
      </c>
      <c r="E369" s="109">
        <v>3.150756439860309</v>
      </c>
      <c r="F369" s="79" t="s">
        <v>2085</v>
      </c>
      <c r="G369" s="79" t="b">
        <v>0</v>
      </c>
      <c r="H369" s="79" t="b">
        <v>0</v>
      </c>
      <c r="I369" s="79" t="b">
        <v>0</v>
      </c>
      <c r="J369" s="79" t="b">
        <v>0</v>
      </c>
      <c r="K369" s="79" t="b">
        <v>0</v>
      </c>
      <c r="L369" s="79" t="b">
        <v>0</v>
      </c>
    </row>
    <row r="370" spans="1:12" ht="15">
      <c r="A370" s="85" t="s">
        <v>2010</v>
      </c>
      <c r="B370" s="84" t="s">
        <v>368</v>
      </c>
      <c r="C370" s="79">
        <v>2</v>
      </c>
      <c r="D370" s="109">
        <v>0.0012912911135942867</v>
      </c>
      <c r="E370" s="109">
        <v>2.129567140790371</v>
      </c>
      <c r="F370" s="79" t="s">
        <v>2085</v>
      </c>
      <c r="G370" s="79" t="b">
        <v>0</v>
      </c>
      <c r="H370" s="79" t="b">
        <v>0</v>
      </c>
      <c r="I370" s="79" t="b">
        <v>0</v>
      </c>
      <c r="J370" s="79" t="b">
        <v>0</v>
      </c>
      <c r="K370" s="79" t="b">
        <v>0</v>
      </c>
      <c r="L370" s="79" t="b">
        <v>0</v>
      </c>
    </row>
    <row r="371" spans="1:12" ht="15">
      <c r="A371" s="85" t="s">
        <v>368</v>
      </c>
      <c r="B371" s="84" t="s">
        <v>2011</v>
      </c>
      <c r="C371" s="79">
        <v>2</v>
      </c>
      <c r="D371" s="109">
        <v>0.0012912911135942867</v>
      </c>
      <c r="E371" s="109">
        <v>2.0538464268522527</v>
      </c>
      <c r="F371" s="79" t="s">
        <v>2085</v>
      </c>
      <c r="G371" s="79" t="b">
        <v>0</v>
      </c>
      <c r="H371" s="79" t="b">
        <v>0</v>
      </c>
      <c r="I371" s="79" t="b">
        <v>0</v>
      </c>
      <c r="J371" s="79" t="b">
        <v>0</v>
      </c>
      <c r="K371" s="79" t="b">
        <v>0</v>
      </c>
      <c r="L371" s="79" t="b">
        <v>0</v>
      </c>
    </row>
    <row r="372" spans="1:12" ht="15">
      <c r="A372" s="85" t="s">
        <v>2011</v>
      </c>
      <c r="B372" s="84" t="s">
        <v>2012</v>
      </c>
      <c r="C372" s="79">
        <v>2</v>
      </c>
      <c r="D372" s="109">
        <v>0.0012912911135942867</v>
      </c>
      <c r="E372" s="109">
        <v>3.150756439860309</v>
      </c>
      <c r="F372" s="79" t="s">
        <v>2085</v>
      </c>
      <c r="G372" s="79" t="b">
        <v>0</v>
      </c>
      <c r="H372" s="79" t="b">
        <v>0</v>
      </c>
      <c r="I372" s="79" t="b">
        <v>0</v>
      </c>
      <c r="J372" s="79" t="b">
        <v>0</v>
      </c>
      <c r="K372" s="79" t="b">
        <v>0</v>
      </c>
      <c r="L372" s="79" t="b">
        <v>0</v>
      </c>
    </row>
    <row r="373" spans="1:12" ht="15">
      <c r="A373" s="85" t="s">
        <v>2012</v>
      </c>
      <c r="B373" s="84" t="s">
        <v>2013</v>
      </c>
      <c r="C373" s="79">
        <v>2</v>
      </c>
      <c r="D373" s="109">
        <v>0.0012912911135942867</v>
      </c>
      <c r="E373" s="109">
        <v>3.150756439860309</v>
      </c>
      <c r="F373" s="79" t="s">
        <v>2085</v>
      </c>
      <c r="G373" s="79" t="b">
        <v>0</v>
      </c>
      <c r="H373" s="79" t="b">
        <v>0</v>
      </c>
      <c r="I373" s="79" t="b">
        <v>0</v>
      </c>
      <c r="J373" s="79" t="b">
        <v>0</v>
      </c>
      <c r="K373" s="79" t="b">
        <v>0</v>
      </c>
      <c r="L373" s="79" t="b">
        <v>0</v>
      </c>
    </row>
    <row r="374" spans="1:12" ht="15">
      <c r="A374" s="85" t="s">
        <v>2013</v>
      </c>
      <c r="B374" s="84" t="s">
        <v>2014</v>
      </c>
      <c r="C374" s="79">
        <v>2</v>
      </c>
      <c r="D374" s="109">
        <v>0.0012912911135942867</v>
      </c>
      <c r="E374" s="109">
        <v>3.150756439860309</v>
      </c>
      <c r="F374" s="79" t="s">
        <v>2085</v>
      </c>
      <c r="G374" s="79" t="b">
        <v>0</v>
      </c>
      <c r="H374" s="79" t="b">
        <v>0</v>
      </c>
      <c r="I374" s="79" t="b">
        <v>0</v>
      </c>
      <c r="J374" s="79" t="b">
        <v>0</v>
      </c>
      <c r="K374" s="79" t="b">
        <v>0</v>
      </c>
      <c r="L374" s="79" t="b">
        <v>0</v>
      </c>
    </row>
    <row r="375" spans="1:12" ht="15">
      <c r="A375" s="85" t="s">
        <v>2014</v>
      </c>
      <c r="B375" s="84" t="s">
        <v>2015</v>
      </c>
      <c r="C375" s="79">
        <v>2</v>
      </c>
      <c r="D375" s="109">
        <v>0.0012912911135942867</v>
      </c>
      <c r="E375" s="109">
        <v>3.150756439860309</v>
      </c>
      <c r="F375" s="79" t="s">
        <v>2085</v>
      </c>
      <c r="G375" s="79" t="b">
        <v>0</v>
      </c>
      <c r="H375" s="79" t="b">
        <v>0</v>
      </c>
      <c r="I375" s="79" t="b">
        <v>0</v>
      </c>
      <c r="J375" s="79" t="b">
        <v>0</v>
      </c>
      <c r="K375" s="79" t="b">
        <v>0</v>
      </c>
      <c r="L375" s="79" t="b">
        <v>0</v>
      </c>
    </row>
    <row r="376" spans="1:12" ht="15">
      <c r="A376" s="85" t="s">
        <v>2015</v>
      </c>
      <c r="B376" s="84" t="s">
        <v>2016</v>
      </c>
      <c r="C376" s="79">
        <v>2</v>
      </c>
      <c r="D376" s="109">
        <v>0.0012912911135942867</v>
      </c>
      <c r="E376" s="109">
        <v>3.150756439860309</v>
      </c>
      <c r="F376" s="79" t="s">
        <v>2085</v>
      </c>
      <c r="G376" s="79" t="b">
        <v>0</v>
      </c>
      <c r="H376" s="79" t="b">
        <v>0</v>
      </c>
      <c r="I376" s="79" t="b">
        <v>0</v>
      </c>
      <c r="J376" s="79" t="b">
        <v>0</v>
      </c>
      <c r="K376" s="79" t="b">
        <v>0</v>
      </c>
      <c r="L376" s="79" t="b">
        <v>0</v>
      </c>
    </row>
    <row r="377" spans="1:12" ht="15">
      <c r="A377" s="85" t="s">
        <v>2016</v>
      </c>
      <c r="B377" s="84" t="s">
        <v>2017</v>
      </c>
      <c r="C377" s="79">
        <v>2</v>
      </c>
      <c r="D377" s="109">
        <v>0.0012912911135942867</v>
      </c>
      <c r="E377" s="109">
        <v>3.150756439860309</v>
      </c>
      <c r="F377" s="79" t="s">
        <v>2085</v>
      </c>
      <c r="G377" s="79" t="b">
        <v>0</v>
      </c>
      <c r="H377" s="79" t="b">
        <v>0</v>
      </c>
      <c r="I377" s="79" t="b">
        <v>0</v>
      </c>
      <c r="J377" s="79" t="b">
        <v>0</v>
      </c>
      <c r="K377" s="79" t="b">
        <v>0</v>
      </c>
      <c r="L377" s="79" t="b">
        <v>0</v>
      </c>
    </row>
    <row r="378" spans="1:12" ht="15">
      <c r="A378" s="85" t="s">
        <v>2017</v>
      </c>
      <c r="B378" s="84" t="s">
        <v>2018</v>
      </c>
      <c r="C378" s="79">
        <v>2</v>
      </c>
      <c r="D378" s="109">
        <v>0.0012912911135942867</v>
      </c>
      <c r="E378" s="109">
        <v>3.150756439860309</v>
      </c>
      <c r="F378" s="79" t="s">
        <v>2085</v>
      </c>
      <c r="G378" s="79" t="b">
        <v>0</v>
      </c>
      <c r="H378" s="79" t="b">
        <v>0</v>
      </c>
      <c r="I378" s="79" t="b">
        <v>0</v>
      </c>
      <c r="J378" s="79" t="b">
        <v>0</v>
      </c>
      <c r="K378" s="79" t="b">
        <v>0</v>
      </c>
      <c r="L378" s="79" t="b">
        <v>0</v>
      </c>
    </row>
    <row r="379" spans="1:12" ht="15">
      <c r="A379" s="85" t="s">
        <v>2018</v>
      </c>
      <c r="B379" s="84" t="s">
        <v>2019</v>
      </c>
      <c r="C379" s="79">
        <v>2</v>
      </c>
      <c r="D379" s="109">
        <v>0.0012912911135942867</v>
      </c>
      <c r="E379" s="109">
        <v>3.150756439860309</v>
      </c>
      <c r="F379" s="79" t="s">
        <v>2085</v>
      </c>
      <c r="G379" s="79" t="b">
        <v>0</v>
      </c>
      <c r="H379" s="79" t="b">
        <v>0</v>
      </c>
      <c r="I379" s="79" t="b">
        <v>0</v>
      </c>
      <c r="J379" s="79" t="b">
        <v>0</v>
      </c>
      <c r="K379" s="79" t="b">
        <v>0</v>
      </c>
      <c r="L379" s="79" t="b">
        <v>0</v>
      </c>
    </row>
    <row r="380" spans="1:12" ht="15">
      <c r="A380" s="85" t="s">
        <v>2019</v>
      </c>
      <c r="B380" s="84" t="s">
        <v>2020</v>
      </c>
      <c r="C380" s="79">
        <v>2</v>
      </c>
      <c r="D380" s="109">
        <v>0.0012912911135942867</v>
      </c>
      <c r="E380" s="109">
        <v>3.150756439860309</v>
      </c>
      <c r="F380" s="79" t="s">
        <v>2085</v>
      </c>
      <c r="G380" s="79" t="b">
        <v>0</v>
      </c>
      <c r="H380" s="79" t="b">
        <v>0</v>
      </c>
      <c r="I380" s="79" t="b">
        <v>0</v>
      </c>
      <c r="J380" s="79" t="b">
        <v>0</v>
      </c>
      <c r="K380" s="79" t="b">
        <v>0</v>
      </c>
      <c r="L380" s="79" t="b">
        <v>0</v>
      </c>
    </row>
    <row r="381" spans="1:12" ht="15">
      <c r="A381" s="85" t="s">
        <v>2020</v>
      </c>
      <c r="B381" s="84" t="s">
        <v>1703</v>
      </c>
      <c r="C381" s="79">
        <v>2</v>
      </c>
      <c r="D381" s="109">
        <v>0.0012912911135942867</v>
      </c>
      <c r="E381" s="109">
        <v>1.2264771537984274</v>
      </c>
      <c r="F381" s="79" t="s">
        <v>2085</v>
      </c>
      <c r="G381" s="79" t="b">
        <v>0</v>
      </c>
      <c r="H381" s="79" t="b">
        <v>0</v>
      </c>
      <c r="I381" s="79" t="b">
        <v>0</v>
      </c>
      <c r="J381" s="79" t="b">
        <v>0</v>
      </c>
      <c r="K381" s="79" t="b">
        <v>0</v>
      </c>
      <c r="L381" s="79" t="b">
        <v>0</v>
      </c>
    </row>
    <row r="382" spans="1:12" ht="15">
      <c r="A382" s="85" t="s">
        <v>1703</v>
      </c>
      <c r="B382" s="84" t="s">
        <v>2021</v>
      </c>
      <c r="C382" s="79">
        <v>2</v>
      </c>
      <c r="D382" s="109">
        <v>0.0012912911135942867</v>
      </c>
      <c r="E382" s="109">
        <v>1.5172879842807225</v>
      </c>
      <c r="F382" s="79" t="s">
        <v>2085</v>
      </c>
      <c r="G382" s="79" t="b">
        <v>0</v>
      </c>
      <c r="H382" s="79" t="b">
        <v>0</v>
      </c>
      <c r="I382" s="79" t="b">
        <v>0</v>
      </c>
      <c r="J382" s="79" t="b">
        <v>0</v>
      </c>
      <c r="K382" s="79" t="b">
        <v>0</v>
      </c>
      <c r="L382" s="79" t="b">
        <v>0</v>
      </c>
    </row>
    <row r="383" spans="1:12" ht="15">
      <c r="A383" s="85" t="s">
        <v>2021</v>
      </c>
      <c r="B383" s="84" t="s">
        <v>366</v>
      </c>
      <c r="C383" s="79">
        <v>2</v>
      </c>
      <c r="D383" s="109">
        <v>0.0012912911135942867</v>
      </c>
      <c r="E383" s="109">
        <v>3.150756439860309</v>
      </c>
      <c r="F383" s="79" t="s">
        <v>2085</v>
      </c>
      <c r="G383" s="79" t="b">
        <v>0</v>
      </c>
      <c r="H383" s="79" t="b">
        <v>0</v>
      </c>
      <c r="I383" s="79" t="b">
        <v>0</v>
      </c>
      <c r="J383" s="79" t="b">
        <v>0</v>
      </c>
      <c r="K383" s="79" t="b">
        <v>0</v>
      </c>
      <c r="L383" s="79" t="b">
        <v>0</v>
      </c>
    </row>
    <row r="384" spans="1:12" ht="15">
      <c r="A384" s="85" t="s">
        <v>366</v>
      </c>
      <c r="B384" s="84" t="s">
        <v>365</v>
      </c>
      <c r="C384" s="79">
        <v>2</v>
      </c>
      <c r="D384" s="109">
        <v>0.0012912911135942867</v>
      </c>
      <c r="E384" s="109">
        <v>3.150756439860309</v>
      </c>
      <c r="F384" s="79" t="s">
        <v>2085</v>
      </c>
      <c r="G384" s="79" t="b">
        <v>0</v>
      </c>
      <c r="H384" s="79" t="b">
        <v>0</v>
      </c>
      <c r="I384" s="79" t="b">
        <v>0</v>
      </c>
      <c r="J384" s="79" t="b">
        <v>0</v>
      </c>
      <c r="K384" s="79" t="b">
        <v>0</v>
      </c>
      <c r="L384" s="79" t="b">
        <v>0</v>
      </c>
    </row>
    <row r="385" spans="1:12" ht="15">
      <c r="A385" s="85" t="s">
        <v>1724</v>
      </c>
      <c r="B385" s="84" t="s">
        <v>1703</v>
      </c>
      <c r="C385" s="79">
        <v>2</v>
      </c>
      <c r="D385" s="109">
        <v>0.0012912911135942867</v>
      </c>
      <c r="E385" s="109">
        <v>0.03614545562813592</v>
      </c>
      <c r="F385" s="79" t="s">
        <v>2085</v>
      </c>
      <c r="G385" s="79" t="b">
        <v>0</v>
      </c>
      <c r="H385" s="79" t="b">
        <v>0</v>
      </c>
      <c r="I385" s="79" t="b">
        <v>0</v>
      </c>
      <c r="J385" s="79" t="b">
        <v>0</v>
      </c>
      <c r="K385" s="79" t="b">
        <v>0</v>
      </c>
      <c r="L385" s="79" t="b">
        <v>0</v>
      </c>
    </row>
    <row r="386" spans="1:12" ht="15">
      <c r="A386" s="85" t="s">
        <v>1747</v>
      </c>
      <c r="B386" s="84" t="s">
        <v>1734</v>
      </c>
      <c r="C386" s="79">
        <v>2</v>
      </c>
      <c r="D386" s="109">
        <v>0.0012912911135942867</v>
      </c>
      <c r="E386" s="109">
        <v>1.4695152024847218</v>
      </c>
      <c r="F386" s="79" t="s">
        <v>2085</v>
      </c>
      <c r="G386" s="79" t="b">
        <v>0</v>
      </c>
      <c r="H386" s="79" t="b">
        <v>0</v>
      </c>
      <c r="I386" s="79" t="b">
        <v>0</v>
      </c>
      <c r="J386" s="79" t="b">
        <v>0</v>
      </c>
      <c r="K386" s="79" t="b">
        <v>0</v>
      </c>
      <c r="L386" s="79" t="b">
        <v>0</v>
      </c>
    </row>
    <row r="387" spans="1:12" ht="15">
      <c r="A387" s="85" t="s">
        <v>1734</v>
      </c>
      <c r="B387" s="84" t="s">
        <v>1729</v>
      </c>
      <c r="C387" s="79">
        <v>2</v>
      </c>
      <c r="D387" s="109">
        <v>0.0012912911135942867</v>
      </c>
      <c r="E387" s="109">
        <v>2.0715751938126843</v>
      </c>
      <c r="F387" s="79" t="s">
        <v>2085</v>
      </c>
      <c r="G387" s="79" t="b">
        <v>0</v>
      </c>
      <c r="H387" s="79" t="b">
        <v>0</v>
      </c>
      <c r="I387" s="79" t="b">
        <v>0</v>
      </c>
      <c r="J387" s="79" t="b">
        <v>0</v>
      </c>
      <c r="K387" s="79" t="b">
        <v>0</v>
      </c>
      <c r="L387" s="79" t="b">
        <v>0</v>
      </c>
    </row>
    <row r="388" spans="1:12" ht="15">
      <c r="A388" s="85" t="s">
        <v>1729</v>
      </c>
      <c r="B388" s="84" t="s">
        <v>1724</v>
      </c>
      <c r="C388" s="79">
        <v>2</v>
      </c>
      <c r="D388" s="109">
        <v>0.0012912911135942867</v>
      </c>
      <c r="E388" s="109">
        <v>1.0351459281860091</v>
      </c>
      <c r="F388" s="79" t="s">
        <v>2085</v>
      </c>
      <c r="G388" s="79" t="b">
        <v>0</v>
      </c>
      <c r="H388" s="79" t="b">
        <v>0</v>
      </c>
      <c r="I388" s="79" t="b">
        <v>0</v>
      </c>
      <c r="J388" s="79" t="b">
        <v>0</v>
      </c>
      <c r="K388" s="79" t="b">
        <v>0</v>
      </c>
      <c r="L388" s="79" t="b">
        <v>0</v>
      </c>
    </row>
    <row r="389" spans="1:12" ht="15">
      <c r="A389" s="85" t="s">
        <v>1724</v>
      </c>
      <c r="B389" s="84" t="s">
        <v>1752</v>
      </c>
      <c r="C389" s="79">
        <v>2</v>
      </c>
      <c r="D389" s="109">
        <v>0.0012912911135942867</v>
      </c>
      <c r="E389" s="109">
        <v>1.2614547373539988</v>
      </c>
      <c r="F389" s="79" t="s">
        <v>2085</v>
      </c>
      <c r="G389" s="79" t="b">
        <v>0</v>
      </c>
      <c r="H389" s="79" t="b">
        <v>0</v>
      </c>
      <c r="I389" s="79" t="b">
        <v>0</v>
      </c>
      <c r="J389" s="79" t="b">
        <v>0</v>
      </c>
      <c r="K389" s="79" t="b">
        <v>0</v>
      </c>
      <c r="L389" s="79" t="b">
        <v>0</v>
      </c>
    </row>
    <row r="390" spans="1:12" ht="15">
      <c r="A390" s="85" t="s">
        <v>1703</v>
      </c>
      <c r="B390" s="84" t="s">
        <v>2022</v>
      </c>
      <c r="C390" s="79">
        <v>2</v>
      </c>
      <c r="D390" s="109">
        <v>0.0012912911135942867</v>
      </c>
      <c r="E390" s="109">
        <v>1.5172879842807225</v>
      </c>
      <c r="F390" s="79" t="s">
        <v>2085</v>
      </c>
      <c r="G390" s="79" t="b">
        <v>0</v>
      </c>
      <c r="H390" s="79" t="b">
        <v>0</v>
      </c>
      <c r="I390" s="79" t="b">
        <v>0</v>
      </c>
      <c r="J390" s="79" t="b">
        <v>0</v>
      </c>
      <c r="K390" s="79" t="b">
        <v>0</v>
      </c>
      <c r="L390" s="79" t="b">
        <v>0</v>
      </c>
    </row>
    <row r="391" spans="1:12" ht="15">
      <c r="A391" s="85" t="s">
        <v>2023</v>
      </c>
      <c r="B391" s="84" t="s">
        <v>1732</v>
      </c>
      <c r="C391" s="79">
        <v>2</v>
      </c>
      <c r="D391" s="109">
        <v>0.0012912911135942867</v>
      </c>
      <c r="E391" s="109">
        <v>2.221337514146016</v>
      </c>
      <c r="F391" s="79" t="s">
        <v>2085</v>
      </c>
      <c r="G391" s="79" t="b">
        <v>0</v>
      </c>
      <c r="H391" s="79" t="b">
        <v>0</v>
      </c>
      <c r="I391" s="79" t="b">
        <v>0</v>
      </c>
      <c r="J391" s="79" t="b">
        <v>0</v>
      </c>
      <c r="K391" s="79" t="b">
        <v>0</v>
      </c>
      <c r="L391" s="79" t="b">
        <v>0</v>
      </c>
    </row>
    <row r="392" spans="1:12" ht="15">
      <c r="A392" s="85" t="s">
        <v>1732</v>
      </c>
      <c r="B392" s="84" t="s">
        <v>1703</v>
      </c>
      <c r="C392" s="79">
        <v>2</v>
      </c>
      <c r="D392" s="109">
        <v>0.0012912911135942867</v>
      </c>
      <c r="E392" s="109">
        <v>0.2970582280841346</v>
      </c>
      <c r="F392" s="79" t="s">
        <v>2085</v>
      </c>
      <c r="G392" s="79" t="b">
        <v>0</v>
      </c>
      <c r="H392" s="79" t="b">
        <v>0</v>
      </c>
      <c r="I392" s="79" t="b">
        <v>0</v>
      </c>
      <c r="J392" s="79" t="b">
        <v>0</v>
      </c>
      <c r="K392" s="79" t="b">
        <v>0</v>
      </c>
      <c r="L392" s="79" t="b">
        <v>0</v>
      </c>
    </row>
    <row r="393" spans="1:12" ht="15">
      <c r="A393" s="85" t="s">
        <v>1703</v>
      </c>
      <c r="B393" s="84" t="s">
        <v>2024</v>
      </c>
      <c r="C393" s="79">
        <v>2</v>
      </c>
      <c r="D393" s="109">
        <v>0.0012912911135942867</v>
      </c>
      <c r="E393" s="109">
        <v>1.5172879842807225</v>
      </c>
      <c r="F393" s="79" t="s">
        <v>2085</v>
      </c>
      <c r="G393" s="79" t="b">
        <v>0</v>
      </c>
      <c r="H393" s="79" t="b">
        <v>0</v>
      </c>
      <c r="I393" s="79" t="b">
        <v>0</v>
      </c>
      <c r="J393" s="79" t="b">
        <v>0</v>
      </c>
      <c r="K393" s="79" t="b">
        <v>0</v>
      </c>
      <c r="L393" s="79" t="b">
        <v>0</v>
      </c>
    </row>
    <row r="394" spans="1:12" ht="15">
      <c r="A394" s="85" t="s">
        <v>2024</v>
      </c>
      <c r="B394" s="84" t="s">
        <v>2025</v>
      </c>
      <c r="C394" s="79">
        <v>2</v>
      </c>
      <c r="D394" s="109">
        <v>0.0012912911135942867</v>
      </c>
      <c r="E394" s="109">
        <v>3.150756439860309</v>
      </c>
      <c r="F394" s="79" t="s">
        <v>2085</v>
      </c>
      <c r="G394" s="79" t="b">
        <v>0</v>
      </c>
      <c r="H394" s="79" t="b">
        <v>0</v>
      </c>
      <c r="I394" s="79" t="b">
        <v>0</v>
      </c>
      <c r="J394" s="79" t="b">
        <v>0</v>
      </c>
      <c r="K394" s="79" t="b">
        <v>0</v>
      </c>
      <c r="L394" s="79" t="b">
        <v>0</v>
      </c>
    </row>
    <row r="395" spans="1:12" ht="15">
      <c r="A395" s="85" t="s">
        <v>2025</v>
      </c>
      <c r="B395" s="84" t="s">
        <v>363</v>
      </c>
      <c r="C395" s="79">
        <v>2</v>
      </c>
      <c r="D395" s="109">
        <v>0.0012912911135942867</v>
      </c>
      <c r="E395" s="109">
        <v>2.8497264441963277</v>
      </c>
      <c r="F395" s="79" t="s">
        <v>2085</v>
      </c>
      <c r="G395" s="79" t="b">
        <v>0</v>
      </c>
      <c r="H395" s="79" t="b">
        <v>0</v>
      </c>
      <c r="I395" s="79" t="b">
        <v>0</v>
      </c>
      <c r="J395" s="79" t="b">
        <v>0</v>
      </c>
      <c r="K395" s="79" t="b">
        <v>0</v>
      </c>
      <c r="L395" s="79" t="b">
        <v>0</v>
      </c>
    </row>
    <row r="396" spans="1:12" ht="15">
      <c r="A396" s="85" t="s">
        <v>363</v>
      </c>
      <c r="B396" s="84" t="s">
        <v>2026</v>
      </c>
      <c r="C396" s="79">
        <v>2</v>
      </c>
      <c r="D396" s="109">
        <v>0.0012912911135942867</v>
      </c>
      <c r="E396" s="109">
        <v>2.8497264441963277</v>
      </c>
      <c r="F396" s="79" t="s">
        <v>2085</v>
      </c>
      <c r="G396" s="79" t="b">
        <v>0</v>
      </c>
      <c r="H396" s="79" t="b">
        <v>0</v>
      </c>
      <c r="I396" s="79" t="b">
        <v>0</v>
      </c>
      <c r="J396" s="79" t="b">
        <v>0</v>
      </c>
      <c r="K396" s="79" t="b">
        <v>0</v>
      </c>
      <c r="L396" s="79" t="b">
        <v>0</v>
      </c>
    </row>
    <row r="397" spans="1:12" ht="15">
      <c r="A397" s="85" t="s">
        <v>2026</v>
      </c>
      <c r="B397" s="84" t="s">
        <v>1757</v>
      </c>
      <c r="C397" s="79">
        <v>2</v>
      </c>
      <c r="D397" s="109">
        <v>0.0012912911135942867</v>
      </c>
      <c r="E397" s="109">
        <v>2.45178643552429</v>
      </c>
      <c r="F397" s="79" t="s">
        <v>2085</v>
      </c>
      <c r="G397" s="79" t="b">
        <v>0</v>
      </c>
      <c r="H397" s="79" t="b">
        <v>0</v>
      </c>
      <c r="I397" s="79" t="b">
        <v>0</v>
      </c>
      <c r="J397" s="79" t="b">
        <v>0</v>
      </c>
      <c r="K397" s="79" t="b">
        <v>0</v>
      </c>
      <c r="L397" s="79" t="b">
        <v>0</v>
      </c>
    </row>
    <row r="398" spans="1:12" ht="15">
      <c r="A398" s="85" t="s">
        <v>1757</v>
      </c>
      <c r="B398" s="84" t="s">
        <v>1840</v>
      </c>
      <c r="C398" s="79">
        <v>2</v>
      </c>
      <c r="D398" s="109">
        <v>0.0012912911135942867</v>
      </c>
      <c r="E398" s="109">
        <v>2.0538464268522527</v>
      </c>
      <c r="F398" s="79" t="s">
        <v>2085</v>
      </c>
      <c r="G398" s="79" t="b">
        <v>0</v>
      </c>
      <c r="H398" s="79" t="b">
        <v>0</v>
      </c>
      <c r="I398" s="79" t="b">
        <v>0</v>
      </c>
      <c r="J398" s="79" t="b">
        <v>0</v>
      </c>
      <c r="K398" s="79" t="b">
        <v>0</v>
      </c>
      <c r="L398" s="79" t="b">
        <v>0</v>
      </c>
    </row>
    <row r="399" spans="1:12" ht="15">
      <c r="A399" s="85" t="s">
        <v>1840</v>
      </c>
      <c r="B399" s="84" t="s">
        <v>2027</v>
      </c>
      <c r="C399" s="79">
        <v>2</v>
      </c>
      <c r="D399" s="109">
        <v>0.0012912911135942867</v>
      </c>
      <c r="E399" s="109">
        <v>2.7528164311882715</v>
      </c>
      <c r="F399" s="79" t="s">
        <v>2085</v>
      </c>
      <c r="G399" s="79" t="b">
        <v>0</v>
      </c>
      <c r="H399" s="79" t="b">
        <v>0</v>
      </c>
      <c r="I399" s="79" t="b">
        <v>0</v>
      </c>
      <c r="J399" s="79" t="b">
        <v>0</v>
      </c>
      <c r="K399" s="79" t="b">
        <v>0</v>
      </c>
      <c r="L399" s="79" t="b">
        <v>0</v>
      </c>
    </row>
    <row r="400" spans="1:12" ht="15">
      <c r="A400" s="85" t="s">
        <v>2027</v>
      </c>
      <c r="B400" s="84" t="s">
        <v>2028</v>
      </c>
      <c r="C400" s="79">
        <v>2</v>
      </c>
      <c r="D400" s="109">
        <v>0.0012912911135942867</v>
      </c>
      <c r="E400" s="109">
        <v>3.150756439860309</v>
      </c>
      <c r="F400" s="79" t="s">
        <v>2085</v>
      </c>
      <c r="G400" s="79" t="b">
        <v>0</v>
      </c>
      <c r="H400" s="79" t="b">
        <v>0</v>
      </c>
      <c r="I400" s="79" t="b">
        <v>0</v>
      </c>
      <c r="J400" s="79" t="b">
        <v>0</v>
      </c>
      <c r="K400" s="79" t="b">
        <v>0</v>
      </c>
      <c r="L400" s="79" t="b">
        <v>0</v>
      </c>
    </row>
    <row r="401" spans="1:12" ht="15">
      <c r="A401" s="85" t="s">
        <v>2028</v>
      </c>
      <c r="B401" s="84" t="s">
        <v>2029</v>
      </c>
      <c r="C401" s="79">
        <v>2</v>
      </c>
      <c r="D401" s="109">
        <v>0.0012912911135942867</v>
      </c>
      <c r="E401" s="109">
        <v>3.150756439860309</v>
      </c>
      <c r="F401" s="79" t="s">
        <v>2085</v>
      </c>
      <c r="G401" s="79" t="b">
        <v>0</v>
      </c>
      <c r="H401" s="79" t="b">
        <v>0</v>
      </c>
      <c r="I401" s="79" t="b">
        <v>0</v>
      </c>
      <c r="J401" s="79" t="b">
        <v>0</v>
      </c>
      <c r="K401" s="79" t="b">
        <v>0</v>
      </c>
      <c r="L401" s="79" t="b">
        <v>0</v>
      </c>
    </row>
    <row r="402" spans="1:12" ht="15">
      <c r="A402" s="85" t="s">
        <v>2029</v>
      </c>
      <c r="B402" s="84" t="s">
        <v>2030</v>
      </c>
      <c r="C402" s="79">
        <v>2</v>
      </c>
      <c r="D402" s="109">
        <v>0.0012912911135942867</v>
      </c>
      <c r="E402" s="109">
        <v>3.150756439860309</v>
      </c>
      <c r="F402" s="79" t="s">
        <v>2085</v>
      </c>
      <c r="G402" s="79" t="b">
        <v>0</v>
      </c>
      <c r="H402" s="79" t="b">
        <v>0</v>
      </c>
      <c r="I402" s="79" t="b">
        <v>0</v>
      </c>
      <c r="J402" s="79" t="b">
        <v>0</v>
      </c>
      <c r="K402" s="79" t="b">
        <v>0</v>
      </c>
      <c r="L402" s="79" t="b">
        <v>0</v>
      </c>
    </row>
    <row r="403" spans="1:12" ht="15">
      <c r="A403" s="85" t="s">
        <v>2030</v>
      </c>
      <c r="B403" s="84" t="s">
        <v>362</v>
      </c>
      <c r="C403" s="79">
        <v>2</v>
      </c>
      <c r="D403" s="109">
        <v>0.0012912911135942867</v>
      </c>
      <c r="E403" s="109">
        <v>3.150756439860309</v>
      </c>
      <c r="F403" s="79" t="s">
        <v>2085</v>
      </c>
      <c r="G403" s="79" t="b">
        <v>0</v>
      </c>
      <c r="H403" s="79" t="b">
        <v>0</v>
      </c>
      <c r="I403" s="79" t="b">
        <v>0</v>
      </c>
      <c r="J403" s="79" t="b">
        <v>0</v>
      </c>
      <c r="K403" s="79" t="b">
        <v>0</v>
      </c>
      <c r="L403" s="79" t="b">
        <v>0</v>
      </c>
    </row>
    <row r="404" spans="1:12" ht="15">
      <c r="A404" s="85" t="s">
        <v>2031</v>
      </c>
      <c r="B404" s="84" t="s">
        <v>1905</v>
      </c>
      <c r="C404" s="79">
        <v>2</v>
      </c>
      <c r="D404" s="109">
        <v>0.0012912911135942867</v>
      </c>
      <c r="E404" s="109">
        <v>2.9746651808046276</v>
      </c>
      <c r="F404" s="79" t="s">
        <v>2085</v>
      </c>
      <c r="G404" s="79" t="b">
        <v>0</v>
      </c>
      <c r="H404" s="79" t="b">
        <v>0</v>
      </c>
      <c r="I404" s="79" t="b">
        <v>0</v>
      </c>
      <c r="J404" s="79" t="b">
        <v>0</v>
      </c>
      <c r="K404" s="79" t="b">
        <v>0</v>
      </c>
      <c r="L404" s="79" t="b">
        <v>0</v>
      </c>
    </row>
    <row r="405" spans="1:12" ht="15">
      <c r="A405" s="85" t="s">
        <v>1905</v>
      </c>
      <c r="B405" s="84" t="s">
        <v>2032</v>
      </c>
      <c r="C405" s="79">
        <v>2</v>
      </c>
      <c r="D405" s="109">
        <v>0.0012912911135942867</v>
      </c>
      <c r="E405" s="109">
        <v>2.9746651808046276</v>
      </c>
      <c r="F405" s="79" t="s">
        <v>2085</v>
      </c>
      <c r="G405" s="79" t="b">
        <v>0</v>
      </c>
      <c r="H405" s="79" t="b">
        <v>0</v>
      </c>
      <c r="I405" s="79" t="b">
        <v>0</v>
      </c>
      <c r="J405" s="79" t="b">
        <v>0</v>
      </c>
      <c r="K405" s="79" t="b">
        <v>1</v>
      </c>
      <c r="L405" s="79" t="b">
        <v>0</v>
      </c>
    </row>
    <row r="406" spans="1:12" ht="15">
      <c r="A406" s="85" t="s">
        <v>2032</v>
      </c>
      <c r="B406" s="84" t="s">
        <v>2033</v>
      </c>
      <c r="C406" s="79">
        <v>2</v>
      </c>
      <c r="D406" s="109">
        <v>0.0012912911135942867</v>
      </c>
      <c r="E406" s="109">
        <v>3.150756439860309</v>
      </c>
      <c r="F406" s="79" t="s">
        <v>2085</v>
      </c>
      <c r="G406" s="79" t="b">
        <v>0</v>
      </c>
      <c r="H406" s="79" t="b">
        <v>1</v>
      </c>
      <c r="I406" s="79" t="b">
        <v>0</v>
      </c>
      <c r="J406" s="79" t="b">
        <v>0</v>
      </c>
      <c r="K406" s="79" t="b">
        <v>0</v>
      </c>
      <c r="L406" s="79" t="b">
        <v>0</v>
      </c>
    </row>
    <row r="407" spans="1:12" ht="15">
      <c r="A407" s="85" t="s">
        <v>2033</v>
      </c>
      <c r="B407" s="84" t="s">
        <v>2034</v>
      </c>
      <c r="C407" s="79">
        <v>2</v>
      </c>
      <c r="D407" s="109">
        <v>0.0012912911135942867</v>
      </c>
      <c r="E407" s="109">
        <v>3.150756439860309</v>
      </c>
      <c r="F407" s="79" t="s">
        <v>2085</v>
      </c>
      <c r="G407" s="79" t="b">
        <v>0</v>
      </c>
      <c r="H407" s="79" t="b">
        <v>0</v>
      </c>
      <c r="I407" s="79" t="b">
        <v>0</v>
      </c>
      <c r="J407" s="79" t="b">
        <v>0</v>
      </c>
      <c r="K407" s="79" t="b">
        <v>0</v>
      </c>
      <c r="L407" s="79" t="b">
        <v>0</v>
      </c>
    </row>
    <row r="408" spans="1:12" ht="15">
      <c r="A408" s="85" t="s">
        <v>2034</v>
      </c>
      <c r="B408" s="84" t="s">
        <v>1841</v>
      </c>
      <c r="C408" s="79">
        <v>2</v>
      </c>
      <c r="D408" s="109">
        <v>0.0012912911135942867</v>
      </c>
      <c r="E408" s="109">
        <v>2.7528164311882715</v>
      </c>
      <c r="F408" s="79" t="s">
        <v>2085</v>
      </c>
      <c r="G408" s="79" t="b">
        <v>0</v>
      </c>
      <c r="H408" s="79" t="b">
        <v>0</v>
      </c>
      <c r="I408" s="79" t="b">
        <v>0</v>
      </c>
      <c r="J408" s="79" t="b">
        <v>0</v>
      </c>
      <c r="K408" s="79" t="b">
        <v>0</v>
      </c>
      <c r="L408" s="79" t="b">
        <v>0</v>
      </c>
    </row>
    <row r="409" spans="1:12" ht="15">
      <c r="A409" s="85" t="s">
        <v>1841</v>
      </c>
      <c r="B409" s="84" t="s">
        <v>2035</v>
      </c>
      <c r="C409" s="79">
        <v>2</v>
      </c>
      <c r="D409" s="109">
        <v>0.0012912911135942867</v>
      </c>
      <c r="E409" s="109">
        <v>2.7528164311882715</v>
      </c>
      <c r="F409" s="79" t="s">
        <v>2085</v>
      </c>
      <c r="G409" s="79" t="b">
        <v>0</v>
      </c>
      <c r="H409" s="79" t="b">
        <v>0</v>
      </c>
      <c r="I409" s="79" t="b">
        <v>0</v>
      </c>
      <c r="J409" s="79" t="b">
        <v>0</v>
      </c>
      <c r="K409" s="79" t="b">
        <v>0</v>
      </c>
      <c r="L409" s="79" t="b">
        <v>0</v>
      </c>
    </row>
    <row r="410" spans="1:12" ht="15">
      <c r="A410" s="85" t="s">
        <v>2035</v>
      </c>
      <c r="B410" s="84" t="s">
        <v>2036</v>
      </c>
      <c r="C410" s="79">
        <v>2</v>
      </c>
      <c r="D410" s="109">
        <v>0.0012912911135942867</v>
      </c>
      <c r="E410" s="109">
        <v>3.150756439860309</v>
      </c>
      <c r="F410" s="79" t="s">
        <v>2085</v>
      </c>
      <c r="G410" s="79" t="b">
        <v>0</v>
      </c>
      <c r="H410" s="79" t="b">
        <v>0</v>
      </c>
      <c r="I410" s="79" t="b">
        <v>0</v>
      </c>
      <c r="J410" s="79" t="b">
        <v>0</v>
      </c>
      <c r="K410" s="79" t="b">
        <v>0</v>
      </c>
      <c r="L410" s="79" t="b">
        <v>0</v>
      </c>
    </row>
    <row r="411" spans="1:12" ht="15">
      <c r="A411" s="85" t="s">
        <v>2036</v>
      </c>
      <c r="B411" s="84" t="s">
        <v>2037</v>
      </c>
      <c r="C411" s="79">
        <v>2</v>
      </c>
      <c r="D411" s="109">
        <v>0.0012912911135942867</v>
      </c>
      <c r="E411" s="109">
        <v>3.150756439860309</v>
      </c>
      <c r="F411" s="79" t="s">
        <v>2085</v>
      </c>
      <c r="G411" s="79" t="b">
        <v>0</v>
      </c>
      <c r="H411" s="79" t="b">
        <v>0</v>
      </c>
      <c r="I411" s="79" t="b">
        <v>0</v>
      </c>
      <c r="J411" s="79" t="b">
        <v>0</v>
      </c>
      <c r="K411" s="79" t="b">
        <v>0</v>
      </c>
      <c r="L411" s="79" t="b">
        <v>0</v>
      </c>
    </row>
    <row r="412" spans="1:12" ht="15">
      <c r="A412" s="85" t="s">
        <v>2037</v>
      </c>
      <c r="B412" s="84" t="s">
        <v>1878</v>
      </c>
      <c r="C412" s="79">
        <v>2</v>
      </c>
      <c r="D412" s="109">
        <v>0.0012912911135942867</v>
      </c>
      <c r="E412" s="109">
        <v>2.9746651808046276</v>
      </c>
      <c r="F412" s="79" t="s">
        <v>2085</v>
      </c>
      <c r="G412" s="79" t="b">
        <v>0</v>
      </c>
      <c r="H412" s="79" t="b">
        <v>0</v>
      </c>
      <c r="I412" s="79" t="b">
        <v>0</v>
      </c>
      <c r="J412" s="79" t="b">
        <v>0</v>
      </c>
      <c r="K412" s="79" t="b">
        <v>0</v>
      </c>
      <c r="L412" s="79" t="b">
        <v>0</v>
      </c>
    </row>
    <row r="413" spans="1:12" ht="15">
      <c r="A413" s="85" t="s">
        <v>1934</v>
      </c>
      <c r="B413" s="84" t="s">
        <v>361</v>
      </c>
      <c r="C413" s="79">
        <v>2</v>
      </c>
      <c r="D413" s="109">
        <v>0.0012912911135942867</v>
      </c>
      <c r="E413" s="109">
        <v>2.9746651808046276</v>
      </c>
      <c r="F413" s="79" t="s">
        <v>2085</v>
      </c>
      <c r="G413" s="79" t="b">
        <v>0</v>
      </c>
      <c r="H413" s="79" t="b">
        <v>0</v>
      </c>
      <c r="I413" s="79" t="b">
        <v>0</v>
      </c>
      <c r="J413" s="79" t="b">
        <v>0</v>
      </c>
      <c r="K413" s="79" t="b">
        <v>0</v>
      </c>
      <c r="L413" s="79" t="b">
        <v>0</v>
      </c>
    </row>
    <row r="414" spans="1:12" ht="15">
      <c r="A414" s="85" t="s">
        <v>2038</v>
      </c>
      <c r="B414" s="84" t="s">
        <v>2039</v>
      </c>
      <c r="C414" s="79">
        <v>2</v>
      </c>
      <c r="D414" s="109">
        <v>0.0012912911135942867</v>
      </c>
      <c r="E414" s="109">
        <v>3.150756439860309</v>
      </c>
      <c r="F414" s="79" t="s">
        <v>2085</v>
      </c>
      <c r="G414" s="79" t="b">
        <v>0</v>
      </c>
      <c r="H414" s="79" t="b">
        <v>0</v>
      </c>
      <c r="I414" s="79" t="b">
        <v>0</v>
      </c>
      <c r="J414" s="79" t="b">
        <v>0</v>
      </c>
      <c r="K414" s="79" t="b">
        <v>0</v>
      </c>
      <c r="L414" s="79" t="b">
        <v>0</v>
      </c>
    </row>
    <row r="415" spans="1:12" ht="15">
      <c r="A415" s="85" t="s">
        <v>2039</v>
      </c>
      <c r="B415" s="84" t="s">
        <v>2040</v>
      </c>
      <c r="C415" s="79">
        <v>2</v>
      </c>
      <c r="D415" s="109">
        <v>0.0012912911135942867</v>
      </c>
      <c r="E415" s="109">
        <v>3.150756439860309</v>
      </c>
      <c r="F415" s="79" t="s">
        <v>2085</v>
      </c>
      <c r="G415" s="79" t="b">
        <v>0</v>
      </c>
      <c r="H415" s="79" t="b">
        <v>0</v>
      </c>
      <c r="I415" s="79" t="b">
        <v>0</v>
      </c>
      <c r="J415" s="79" t="b">
        <v>0</v>
      </c>
      <c r="K415" s="79" t="b">
        <v>0</v>
      </c>
      <c r="L415" s="79" t="b">
        <v>0</v>
      </c>
    </row>
    <row r="416" spans="1:12" ht="15">
      <c r="A416" s="85" t="s">
        <v>2040</v>
      </c>
      <c r="B416" s="84" t="s">
        <v>2041</v>
      </c>
      <c r="C416" s="79">
        <v>2</v>
      </c>
      <c r="D416" s="109">
        <v>0.0012912911135942867</v>
      </c>
      <c r="E416" s="109">
        <v>3.150756439860309</v>
      </c>
      <c r="F416" s="79" t="s">
        <v>2085</v>
      </c>
      <c r="G416" s="79" t="b">
        <v>0</v>
      </c>
      <c r="H416" s="79" t="b">
        <v>0</v>
      </c>
      <c r="I416" s="79" t="b">
        <v>0</v>
      </c>
      <c r="J416" s="79" t="b">
        <v>0</v>
      </c>
      <c r="K416" s="79" t="b">
        <v>0</v>
      </c>
      <c r="L416" s="79" t="b">
        <v>0</v>
      </c>
    </row>
    <row r="417" spans="1:12" ht="15">
      <c r="A417" s="85" t="s">
        <v>2041</v>
      </c>
      <c r="B417" s="84" t="s">
        <v>2042</v>
      </c>
      <c r="C417" s="79">
        <v>2</v>
      </c>
      <c r="D417" s="109">
        <v>0.0012912911135942867</v>
      </c>
      <c r="E417" s="109">
        <v>3.150756439860309</v>
      </c>
      <c r="F417" s="79" t="s">
        <v>2085</v>
      </c>
      <c r="G417" s="79" t="b">
        <v>0</v>
      </c>
      <c r="H417" s="79" t="b">
        <v>0</v>
      </c>
      <c r="I417" s="79" t="b">
        <v>0</v>
      </c>
      <c r="J417" s="79" t="b">
        <v>0</v>
      </c>
      <c r="K417" s="79" t="b">
        <v>0</v>
      </c>
      <c r="L417" s="79" t="b">
        <v>0</v>
      </c>
    </row>
    <row r="418" spans="1:12" ht="15">
      <c r="A418" s="85" t="s">
        <v>2042</v>
      </c>
      <c r="B418" s="84" t="s">
        <v>2043</v>
      </c>
      <c r="C418" s="79">
        <v>2</v>
      </c>
      <c r="D418" s="109">
        <v>0.0012912911135942867</v>
      </c>
      <c r="E418" s="109">
        <v>3.150756439860309</v>
      </c>
      <c r="F418" s="79" t="s">
        <v>2085</v>
      </c>
      <c r="G418" s="79" t="b">
        <v>0</v>
      </c>
      <c r="H418" s="79" t="b">
        <v>0</v>
      </c>
      <c r="I418" s="79" t="b">
        <v>0</v>
      </c>
      <c r="J418" s="79" t="b">
        <v>0</v>
      </c>
      <c r="K418" s="79" t="b">
        <v>0</v>
      </c>
      <c r="L418" s="79" t="b">
        <v>0</v>
      </c>
    </row>
    <row r="419" spans="1:12" ht="15">
      <c r="A419" s="85" t="s">
        <v>2043</v>
      </c>
      <c r="B419" s="84" t="s">
        <v>2044</v>
      </c>
      <c r="C419" s="79">
        <v>2</v>
      </c>
      <c r="D419" s="109">
        <v>0.0012912911135942867</v>
      </c>
      <c r="E419" s="109">
        <v>3.150756439860309</v>
      </c>
      <c r="F419" s="79" t="s">
        <v>2085</v>
      </c>
      <c r="G419" s="79" t="b">
        <v>0</v>
      </c>
      <c r="H419" s="79" t="b">
        <v>0</v>
      </c>
      <c r="I419" s="79" t="b">
        <v>0</v>
      </c>
      <c r="J419" s="79" t="b">
        <v>0</v>
      </c>
      <c r="K419" s="79" t="b">
        <v>0</v>
      </c>
      <c r="L419" s="79" t="b">
        <v>0</v>
      </c>
    </row>
    <row r="420" spans="1:12" ht="15">
      <c r="A420" s="85" t="s">
        <v>2044</v>
      </c>
      <c r="B420" s="84" t="s">
        <v>2045</v>
      </c>
      <c r="C420" s="79">
        <v>2</v>
      </c>
      <c r="D420" s="109">
        <v>0.0012912911135942867</v>
      </c>
      <c r="E420" s="109">
        <v>3.150756439860309</v>
      </c>
      <c r="F420" s="79" t="s">
        <v>2085</v>
      </c>
      <c r="G420" s="79" t="b">
        <v>0</v>
      </c>
      <c r="H420" s="79" t="b">
        <v>0</v>
      </c>
      <c r="I420" s="79" t="b">
        <v>0</v>
      </c>
      <c r="J420" s="79" t="b">
        <v>0</v>
      </c>
      <c r="K420" s="79" t="b">
        <v>0</v>
      </c>
      <c r="L420" s="79" t="b">
        <v>0</v>
      </c>
    </row>
    <row r="421" spans="1:12" ht="15">
      <c r="A421" s="85" t="s">
        <v>2045</v>
      </c>
      <c r="B421" s="84" t="s">
        <v>2046</v>
      </c>
      <c r="C421" s="79">
        <v>2</v>
      </c>
      <c r="D421" s="109">
        <v>0.0012912911135942867</v>
      </c>
      <c r="E421" s="109">
        <v>3.150756439860309</v>
      </c>
      <c r="F421" s="79" t="s">
        <v>2085</v>
      </c>
      <c r="G421" s="79" t="b">
        <v>0</v>
      </c>
      <c r="H421" s="79" t="b">
        <v>0</v>
      </c>
      <c r="I421" s="79" t="b">
        <v>0</v>
      </c>
      <c r="J421" s="79" t="b">
        <v>0</v>
      </c>
      <c r="K421" s="79" t="b">
        <v>0</v>
      </c>
      <c r="L421" s="79" t="b">
        <v>0</v>
      </c>
    </row>
    <row r="422" spans="1:12" ht="15">
      <c r="A422" s="85" t="s">
        <v>2046</v>
      </c>
      <c r="B422" s="84" t="s">
        <v>2047</v>
      </c>
      <c r="C422" s="79">
        <v>2</v>
      </c>
      <c r="D422" s="109">
        <v>0.0012912911135942867</v>
      </c>
      <c r="E422" s="109">
        <v>3.150756439860309</v>
      </c>
      <c r="F422" s="79" t="s">
        <v>2085</v>
      </c>
      <c r="G422" s="79" t="b">
        <v>0</v>
      </c>
      <c r="H422" s="79" t="b">
        <v>0</v>
      </c>
      <c r="I422" s="79" t="b">
        <v>0</v>
      </c>
      <c r="J422" s="79" t="b">
        <v>0</v>
      </c>
      <c r="K422" s="79" t="b">
        <v>0</v>
      </c>
      <c r="L422" s="79" t="b">
        <v>0</v>
      </c>
    </row>
    <row r="423" spans="1:12" ht="15">
      <c r="A423" s="85" t="s">
        <v>2047</v>
      </c>
      <c r="B423" s="84" t="s">
        <v>1884</v>
      </c>
      <c r="C423" s="79">
        <v>2</v>
      </c>
      <c r="D423" s="109">
        <v>0.0012912911135942867</v>
      </c>
      <c r="E423" s="109">
        <v>2.8497264441963277</v>
      </c>
      <c r="F423" s="79" t="s">
        <v>2085</v>
      </c>
      <c r="G423" s="79" t="b">
        <v>0</v>
      </c>
      <c r="H423" s="79" t="b">
        <v>0</v>
      </c>
      <c r="I423" s="79" t="b">
        <v>0</v>
      </c>
      <c r="J423" s="79" t="b">
        <v>0</v>
      </c>
      <c r="K423" s="79" t="b">
        <v>0</v>
      </c>
      <c r="L423" s="79" t="b">
        <v>0</v>
      </c>
    </row>
    <row r="424" spans="1:12" ht="15">
      <c r="A424" s="85" t="s">
        <v>1884</v>
      </c>
      <c r="B424" s="84" t="s">
        <v>1703</v>
      </c>
      <c r="C424" s="79">
        <v>2</v>
      </c>
      <c r="D424" s="109">
        <v>0.0012912911135942867</v>
      </c>
      <c r="E424" s="109">
        <v>0.9254471581344462</v>
      </c>
      <c r="F424" s="79" t="s">
        <v>2085</v>
      </c>
      <c r="G424" s="79" t="b">
        <v>0</v>
      </c>
      <c r="H424" s="79" t="b">
        <v>0</v>
      </c>
      <c r="I424" s="79" t="b">
        <v>0</v>
      </c>
      <c r="J424" s="79" t="b">
        <v>0</v>
      </c>
      <c r="K424" s="79" t="b">
        <v>0</v>
      </c>
      <c r="L424" s="79" t="b">
        <v>0</v>
      </c>
    </row>
    <row r="425" spans="1:12" ht="15">
      <c r="A425" s="85" t="s">
        <v>1703</v>
      </c>
      <c r="B425" s="84" t="s">
        <v>2048</v>
      </c>
      <c r="C425" s="79">
        <v>2</v>
      </c>
      <c r="D425" s="109">
        <v>0.0012912911135942867</v>
      </c>
      <c r="E425" s="109">
        <v>1.5172879842807225</v>
      </c>
      <c r="F425" s="79" t="s">
        <v>2085</v>
      </c>
      <c r="G425" s="79" t="b">
        <v>0</v>
      </c>
      <c r="H425" s="79" t="b">
        <v>0</v>
      </c>
      <c r="I425" s="79" t="b">
        <v>0</v>
      </c>
      <c r="J425" s="79" t="b">
        <v>0</v>
      </c>
      <c r="K425" s="79" t="b">
        <v>0</v>
      </c>
      <c r="L425" s="79" t="b">
        <v>0</v>
      </c>
    </row>
    <row r="426" spans="1:12" ht="15">
      <c r="A426" s="85" t="s">
        <v>2049</v>
      </c>
      <c r="B426" s="84" t="s">
        <v>2050</v>
      </c>
      <c r="C426" s="79">
        <v>2</v>
      </c>
      <c r="D426" s="109">
        <v>0.0012912911135942867</v>
      </c>
      <c r="E426" s="109">
        <v>3.150756439860309</v>
      </c>
      <c r="F426" s="79" t="s">
        <v>2085</v>
      </c>
      <c r="G426" s="79" t="b">
        <v>0</v>
      </c>
      <c r="H426" s="79" t="b">
        <v>0</v>
      </c>
      <c r="I426" s="79" t="b">
        <v>0</v>
      </c>
      <c r="J426" s="79" t="b">
        <v>0</v>
      </c>
      <c r="K426" s="79" t="b">
        <v>0</v>
      </c>
      <c r="L426" s="79" t="b">
        <v>0</v>
      </c>
    </row>
    <row r="427" spans="1:12" ht="15">
      <c r="A427" s="85" t="s">
        <v>2050</v>
      </c>
      <c r="B427" s="84" t="s">
        <v>2051</v>
      </c>
      <c r="C427" s="79">
        <v>2</v>
      </c>
      <c r="D427" s="109">
        <v>0.0012912911135942867</v>
      </c>
      <c r="E427" s="109">
        <v>3.150756439860309</v>
      </c>
      <c r="F427" s="79" t="s">
        <v>2085</v>
      </c>
      <c r="G427" s="79" t="b">
        <v>0</v>
      </c>
      <c r="H427" s="79" t="b">
        <v>0</v>
      </c>
      <c r="I427" s="79" t="b">
        <v>0</v>
      </c>
      <c r="J427" s="79" t="b">
        <v>0</v>
      </c>
      <c r="K427" s="79" t="b">
        <v>0</v>
      </c>
      <c r="L427" s="79" t="b">
        <v>0</v>
      </c>
    </row>
    <row r="428" spans="1:12" ht="15">
      <c r="A428" s="85" t="s">
        <v>2051</v>
      </c>
      <c r="B428" s="84" t="s">
        <v>2052</v>
      </c>
      <c r="C428" s="79">
        <v>2</v>
      </c>
      <c r="D428" s="109">
        <v>0.0012912911135942867</v>
      </c>
      <c r="E428" s="109">
        <v>3.150756439860309</v>
      </c>
      <c r="F428" s="79" t="s">
        <v>2085</v>
      </c>
      <c r="G428" s="79" t="b">
        <v>0</v>
      </c>
      <c r="H428" s="79" t="b">
        <v>0</v>
      </c>
      <c r="I428" s="79" t="b">
        <v>0</v>
      </c>
      <c r="J428" s="79" t="b">
        <v>0</v>
      </c>
      <c r="K428" s="79" t="b">
        <v>0</v>
      </c>
      <c r="L428" s="79" t="b">
        <v>0</v>
      </c>
    </row>
    <row r="429" spans="1:12" ht="15">
      <c r="A429" s="85" t="s">
        <v>2052</v>
      </c>
      <c r="B429" s="84" t="s">
        <v>2053</v>
      </c>
      <c r="C429" s="79">
        <v>2</v>
      </c>
      <c r="D429" s="109">
        <v>0.0012912911135942867</v>
      </c>
      <c r="E429" s="109">
        <v>3.150756439860309</v>
      </c>
      <c r="F429" s="79" t="s">
        <v>2085</v>
      </c>
      <c r="G429" s="79" t="b">
        <v>0</v>
      </c>
      <c r="H429" s="79" t="b">
        <v>0</v>
      </c>
      <c r="I429" s="79" t="b">
        <v>0</v>
      </c>
      <c r="J429" s="79" t="b">
        <v>0</v>
      </c>
      <c r="K429" s="79" t="b">
        <v>0</v>
      </c>
      <c r="L429" s="79" t="b">
        <v>0</v>
      </c>
    </row>
    <row r="430" spans="1:12" ht="15">
      <c r="A430" s="85" t="s">
        <v>2053</v>
      </c>
      <c r="B430" s="84" t="s">
        <v>1886</v>
      </c>
      <c r="C430" s="79">
        <v>2</v>
      </c>
      <c r="D430" s="109">
        <v>0.0012912911135942867</v>
      </c>
      <c r="E430" s="109">
        <v>2.8497264441963277</v>
      </c>
      <c r="F430" s="79" t="s">
        <v>2085</v>
      </c>
      <c r="G430" s="79" t="b">
        <v>0</v>
      </c>
      <c r="H430" s="79" t="b">
        <v>0</v>
      </c>
      <c r="I430" s="79" t="b">
        <v>0</v>
      </c>
      <c r="J430" s="79" t="b">
        <v>0</v>
      </c>
      <c r="K430" s="79" t="b">
        <v>0</v>
      </c>
      <c r="L430" s="79" t="b">
        <v>0</v>
      </c>
    </row>
    <row r="431" spans="1:12" ht="15">
      <c r="A431" s="85" t="s">
        <v>1886</v>
      </c>
      <c r="B431" s="84" t="s">
        <v>2054</v>
      </c>
      <c r="C431" s="79">
        <v>2</v>
      </c>
      <c r="D431" s="109">
        <v>0.0012912911135942867</v>
      </c>
      <c r="E431" s="109">
        <v>2.8497264441963277</v>
      </c>
      <c r="F431" s="79" t="s">
        <v>2085</v>
      </c>
      <c r="G431" s="79" t="b">
        <v>0</v>
      </c>
      <c r="H431" s="79" t="b">
        <v>0</v>
      </c>
      <c r="I431" s="79" t="b">
        <v>0</v>
      </c>
      <c r="J431" s="79" t="b">
        <v>0</v>
      </c>
      <c r="K431" s="79" t="b">
        <v>0</v>
      </c>
      <c r="L431" s="79" t="b">
        <v>0</v>
      </c>
    </row>
    <row r="432" spans="1:12" ht="15">
      <c r="A432" s="85" t="s">
        <v>2054</v>
      </c>
      <c r="B432" s="84" t="s">
        <v>2055</v>
      </c>
      <c r="C432" s="79">
        <v>2</v>
      </c>
      <c r="D432" s="109">
        <v>0.0012912911135942867</v>
      </c>
      <c r="E432" s="109">
        <v>3.150756439860309</v>
      </c>
      <c r="F432" s="79" t="s">
        <v>2085</v>
      </c>
      <c r="G432" s="79" t="b">
        <v>0</v>
      </c>
      <c r="H432" s="79" t="b">
        <v>0</v>
      </c>
      <c r="I432" s="79" t="b">
        <v>0</v>
      </c>
      <c r="J432" s="79" t="b">
        <v>0</v>
      </c>
      <c r="K432" s="79" t="b">
        <v>0</v>
      </c>
      <c r="L432" s="79" t="b">
        <v>0</v>
      </c>
    </row>
    <row r="433" spans="1:12" ht="15">
      <c r="A433" s="85" t="s">
        <v>2055</v>
      </c>
      <c r="B433" s="84" t="s">
        <v>2056</v>
      </c>
      <c r="C433" s="79">
        <v>2</v>
      </c>
      <c r="D433" s="109">
        <v>0.0012912911135942867</v>
      </c>
      <c r="E433" s="109">
        <v>3.150756439860309</v>
      </c>
      <c r="F433" s="79" t="s">
        <v>2085</v>
      </c>
      <c r="G433" s="79" t="b">
        <v>0</v>
      </c>
      <c r="H433" s="79" t="b">
        <v>0</v>
      </c>
      <c r="I433" s="79" t="b">
        <v>0</v>
      </c>
      <c r="J433" s="79" t="b">
        <v>0</v>
      </c>
      <c r="K433" s="79" t="b">
        <v>0</v>
      </c>
      <c r="L433" s="79" t="b">
        <v>0</v>
      </c>
    </row>
    <row r="434" spans="1:12" ht="15">
      <c r="A434" s="85" t="s">
        <v>2056</v>
      </c>
      <c r="B434" s="84" t="s">
        <v>2057</v>
      </c>
      <c r="C434" s="79">
        <v>2</v>
      </c>
      <c r="D434" s="109">
        <v>0.0012912911135942867</v>
      </c>
      <c r="E434" s="109">
        <v>3.150756439860309</v>
      </c>
      <c r="F434" s="79" t="s">
        <v>2085</v>
      </c>
      <c r="G434" s="79" t="b">
        <v>0</v>
      </c>
      <c r="H434" s="79" t="b">
        <v>0</v>
      </c>
      <c r="I434" s="79" t="b">
        <v>0</v>
      </c>
      <c r="J434" s="79" t="b">
        <v>0</v>
      </c>
      <c r="K434" s="79" t="b">
        <v>0</v>
      </c>
      <c r="L434" s="79" t="b">
        <v>0</v>
      </c>
    </row>
    <row r="435" spans="1:12" ht="15">
      <c r="A435" s="85" t="s">
        <v>2057</v>
      </c>
      <c r="B435" s="84" t="s">
        <v>2058</v>
      </c>
      <c r="C435" s="79">
        <v>2</v>
      </c>
      <c r="D435" s="109">
        <v>0.0012912911135942867</v>
      </c>
      <c r="E435" s="109">
        <v>3.150756439860309</v>
      </c>
      <c r="F435" s="79" t="s">
        <v>2085</v>
      </c>
      <c r="G435" s="79" t="b">
        <v>0</v>
      </c>
      <c r="H435" s="79" t="b">
        <v>0</v>
      </c>
      <c r="I435" s="79" t="b">
        <v>0</v>
      </c>
      <c r="J435" s="79" t="b">
        <v>0</v>
      </c>
      <c r="K435" s="79" t="b">
        <v>0</v>
      </c>
      <c r="L435" s="79" t="b">
        <v>0</v>
      </c>
    </row>
    <row r="436" spans="1:12" ht="15">
      <c r="A436" s="85" t="s">
        <v>2058</v>
      </c>
      <c r="B436" s="84" t="s">
        <v>1886</v>
      </c>
      <c r="C436" s="79">
        <v>2</v>
      </c>
      <c r="D436" s="109">
        <v>0.0012912911135942867</v>
      </c>
      <c r="E436" s="109">
        <v>2.8497264441963277</v>
      </c>
      <c r="F436" s="79" t="s">
        <v>2085</v>
      </c>
      <c r="G436" s="79" t="b">
        <v>0</v>
      </c>
      <c r="H436" s="79" t="b">
        <v>0</v>
      </c>
      <c r="I436" s="79" t="b">
        <v>0</v>
      </c>
      <c r="J436" s="79" t="b">
        <v>0</v>
      </c>
      <c r="K436" s="79" t="b">
        <v>0</v>
      </c>
      <c r="L436" s="79" t="b">
        <v>0</v>
      </c>
    </row>
    <row r="437" spans="1:12" ht="15">
      <c r="A437" s="85" t="s">
        <v>1886</v>
      </c>
      <c r="B437" s="84" t="s">
        <v>2059</v>
      </c>
      <c r="C437" s="79">
        <v>2</v>
      </c>
      <c r="D437" s="109">
        <v>0.0012912911135942867</v>
      </c>
      <c r="E437" s="109">
        <v>2.8497264441963277</v>
      </c>
      <c r="F437" s="79" t="s">
        <v>2085</v>
      </c>
      <c r="G437" s="79" t="b">
        <v>0</v>
      </c>
      <c r="H437" s="79" t="b">
        <v>0</v>
      </c>
      <c r="I437" s="79" t="b">
        <v>0</v>
      </c>
      <c r="J437" s="79" t="b">
        <v>0</v>
      </c>
      <c r="K437" s="79" t="b">
        <v>0</v>
      </c>
      <c r="L437" s="79" t="b">
        <v>0</v>
      </c>
    </row>
    <row r="438" spans="1:12" ht="15">
      <c r="A438" s="85" t="s">
        <v>2059</v>
      </c>
      <c r="B438" s="84" t="s">
        <v>2060</v>
      </c>
      <c r="C438" s="79">
        <v>2</v>
      </c>
      <c r="D438" s="109">
        <v>0.0012912911135942867</v>
      </c>
      <c r="E438" s="109">
        <v>3.150756439860309</v>
      </c>
      <c r="F438" s="79" t="s">
        <v>2085</v>
      </c>
      <c r="G438" s="79" t="b">
        <v>0</v>
      </c>
      <c r="H438" s="79" t="b">
        <v>0</v>
      </c>
      <c r="I438" s="79" t="b">
        <v>0</v>
      </c>
      <c r="J438" s="79" t="b">
        <v>0</v>
      </c>
      <c r="K438" s="79" t="b">
        <v>0</v>
      </c>
      <c r="L438" s="79" t="b">
        <v>0</v>
      </c>
    </row>
    <row r="439" spans="1:12" ht="15">
      <c r="A439" s="85" t="s">
        <v>2060</v>
      </c>
      <c r="B439" s="84" t="s">
        <v>2061</v>
      </c>
      <c r="C439" s="79">
        <v>2</v>
      </c>
      <c r="D439" s="109">
        <v>0.0012912911135942867</v>
      </c>
      <c r="E439" s="109">
        <v>3.150756439860309</v>
      </c>
      <c r="F439" s="79" t="s">
        <v>2085</v>
      </c>
      <c r="G439" s="79" t="b">
        <v>0</v>
      </c>
      <c r="H439" s="79" t="b">
        <v>0</v>
      </c>
      <c r="I439" s="79" t="b">
        <v>0</v>
      </c>
      <c r="J439" s="79" t="b">
        <v>0</v>
      </c>
      <c r="K439" s="79" t="b">
        <v>0</v>
      </c>
      <c r="L439" s="79" t="b">
        <v>0</v>
      </c>
    </row>
    <row r="440" spans="1:12" ht="15">
      <c r="A440" s="85" t="s">
        <v>2061</v>
      </c>
      <c r="B440" s="84" t="s">
        <v>2062</v>
      </c>
      <c r="C440" s="79">
        <v>2</v>
      </c>
      <c r="D440" s="109">
        <v>0.0012912911135942867</v>
      </c>
      <c r="E440" s="109">
        <v>3.150756439860309</v>
      </c>
      <c r="F440" s="79" t="s">
        <v>2085</v>
      </c>
      <c r="G440" s="79" t="b">
        <v>0</v>
      </c>
      <c r="H440" s="79" t="b">
        <v>0</v>
      </c>
      <c r="I440" s="79" t="b">
        <v>0</v>
      </c>
      <c r="J440" s="79" t="b">
        <v>0</v>
      </c>
      <c r="K440" s="79" t="b">
        <v>0</v>
      </c>
      <c r="L440" s="79" t="b">
        <v>0</v>
      </c>
    </row>
    <row r="441" spans="1:12" ht="15">
      <c r="A441" s="85" t="s">
        <v>2062</v>
      </c>
      <c r="B441" s="84" t="s">
        <v>2063</v>
      </c>
      <c r="C441" s="79">
        <v>2</v>
      </c>
      <c r="D441" s="109">
        <v>0.0012912911135942867</v>
      </c>
      <c r="E441" s="109">
        <v>3.150756439860309</v>
      </c>
      <c r="F441" s="79" t="s">
        <v>2085</v>
      </c>
      <c r="G441" s="79" t="b">
        <v>0</v>
      </c>
      <c r="H441" s="79" t="b">
        <v>0</v>
      </c>
      <c r="I441" s="79" t="b">
        <v>0</v>
      </c>
      <c r="J441" s="79" t="b">
        <v>0</v>
      </c>
      <c r="K441" s="79" t="b">
        <v>0</v>
      </c>
      <c r="L441" s="79" t="b">
        <v>0</v>
      </c>
    </row>
    <row r="442" spans="1:12" ht="15">
      <c r="A442" s="85" t="s">
        <v>2063</v>
      </c>
      <c r="B442" s="84" t="s">
        <v>2064</v>
      </c>
      <c r="C442" s="79">
        <v>2</v>
      </c>
      <c r="D442" s="109">
        <v>0.0012912911135942867</v>
      </c>
      <c r="E442" s="109">
        <v>3.150756439860309</v>
      </c>
      <c r="F442" s="79" t="s">
        <v>2085</v>
      </c>
      <c r="G442" s="79" t="b">
        <v>0</v>
      </c>
      <c r="H442" s="79" t="b">
        <v>0</v>
      </c>
      <c r="I442" s="79" t="b">
        <v>0</v>
      </c>
      <c r="J442" s="79" t="b">
        <v>0</v>
      </c>
      <c r="K442" s="79" t="b">
        <v>0</v>
      </c>
      <c r="L442" s="79" t="b">
        <v>0</v>
      </c>
    </row>
    <row r="443" spans="1:12" ht="15">
      <c r="A443" s="85" t="s">
        <v>2064</v>
      </c>
      <c r="B443" s="84" t="s">
        <v>1703</v>
      </c>
      <c r="C443" s="79">
        <v>2</v>
      </c>
      <c r="D443" s="109">
        <v>0.0012912911135942867</v>
      </c>
      <c r="E443" s="109">
        <v>1.2264771537984274</v>
      </c>
      <c r="F443" s="79" t="s">
        <v>2085</v>
      </c>
      <c r="G443" s="79" t="b">
        <v>0</v>
      </c>
      <c r="H443" s="79" t="b">
        <v>0</v>
      </c>
      <c r="I443" s="79" t="b">
        <v>0</v>
      </c>
      <c r="J443" s="79" t="b">
        <v>0</v>
      </c>
      <c r="K443" s="79" t="b">
        <v>0</v>
      </c>
      <c r="L443" s="79" t="b">
        <v>0</v>
      </c>
    </row>
    <row r="444" spans="1:12" ht="15">
      <c r="A444" s="85" t="s">
        <v>1703</v>
      </c>
      <c r="B444" s="84" t="s">
        <v>2065</v>
      </c>
      <c r="C444" s="79">
        <v>2</v>
      </c>
      <c r="D444" s="109">
        <v>0.0012912911135942867</v>
      </c>
      <c r="E444" s="109">
        <v>1.5172879842807225</v>
      </c>
      <c r="F444" s="79" t="s">
        <v>2085</v>
      </c>
      <c r="G444" s="79" t="b">
        <v>0</v>
      </c>
      <c r="H444" s="79" t="b">
        <v>0</v>
      </c>
      <c r="I444" s="79" t="b">
        <v>0</v>
      </c>
      <c r="J444" s="79" t="b">
        <v>0</v>
      </c>
      <c r="K444" s="79" t="b">
        <v>0</v>
      </c>
      <c r="L444" s="79" t="b">
        <v>0</v>
      </c>
    </row>
    <row r="445" spans="1:12" ht="15">
      <c r="A445" s="85" t="s">
        <v>1770</v>
      </c>
      <c r="B445" s="84" t="s">
        <v>2066</v>
      </c>
      <c r="C445" s="79">
        <v>2</v>
      </c>
      <c r="D445" s="109">
        <v>0.0012912911135942867</v>
      </c>
      <c r="E445" s="109">
        <v>2.5486964485323464</v>
      </c>
      <c r="F445" s="79" t="s">
        <v>2085</v>
      </c>
      <c r="G445" s="79" t="b">
        <v>0</v>
      </c>
      <c r="H445" s="79" t="b">
        <v>0</v>
      </c>
      <c r="I445" s="79" t="b">
        <v>0</v>
      </c>
      <c r="J445" s="79" t="b">
        <v>0</v>
      </c>
      <c r="K445" s="79" t="b">
        <v>0</v>
      </c>
      <c r="L445" s="79" t="b">
        <v>0</v>
      </c>
    </row>
    <row r="446" spans="1:12" ht="15">
      <c r="A446" s="85" t="s">
        <v>2066</v>
      </c>
      <c r="B446" s="84" t="s">
        <v>1907</v>
      </c>
      <c r="C446" s="79">
        <v>2</v>
      </c>
      <c r="D446" s="109">
        <v>0.0012912911135942867</v>
      </c>
      <c r="E446" s="109">
        <v>2.9746651808046276</v>
      </c>
      <c r="F446" s="79" t="s">
        <v>2085</v>
      </c>
      <c r="G446" s="79" t="b">
        <v>0</v>
      </c>
      <c r="H446" s="79" t="b">
        <v>0</v>
      </c>
      <c r="I446" s="79" t="b">
        <v>0</v>
      </c>
      <c r="J446" s="79" t="b">
        <v>0</v>
      </c>
      <c r="K446" s="79" t="b">
        <v>0</v>
      </c>
      <c r="L446" s="79" t="b">
        <v>0</v>
      </c>
    </row>
    <row r="447" spans="1:12" ht="15">
      <c r="A447" s="85" t="s">
        <v>1907</v>
      </c>
      <c r="B447" s="84" t="s">
        <v>2067</v>
      </c>
      <c r="C447" s="79">
        <v>2</v>
      </c>
      <c r="D447" s="109">
        <v>0.0012912911135942867</v>
      </c>
      <c r="E447" s="109">
        <v>2.9746651808046276</v>
      </c>
      <c r="F447" s="79" t="s">
        <v>2085</v>
      </c>
      <c r="G447" s="79" t="b">
        <v>0</v>
      </c>
      <c r="H447" s="79" t="b">
        <v>0</v>
      </c>
      <c r="I447" s="79" t="b">
        <v>0</v>
      </c>
      <c r="J447" s="79" t="b">
        <v>0</v>
      </c>
      <c r="K447" s="79" t="b">
        <v>0</v>
      </c>
      <c r="L447" s="79" t="b">
        <v>0</v>
      </c>
    </row>
    <row r="448" spans="1:12" ht="15">
      <c r="A448" s="85" t="s">
        <v>2067</v>
      </c>
      <c r="B448" s="84" t="s">
        <v>2068</v>
      </c>
      <c r="C448" s="79">
        <v>2</v>
      </c>
      <c r="D448" s="109">
        <v>0.0012912911135942867</v>
      </c>
      <c r="E448" s="109">
        <v>3.150756439860309</v>
      </c>
      <c r="F448" s="79" t="s">
        <v>2085</v>
      </c>
      <c r="G448" s="79" t="b">
        <v>0</v>
      </c>
      <c r="H448" s="79" t="b">
        <v>0</v>
      </c>
      <c r="I448" s="79" t="b">
        <v>0</v>
      </c>
      <c r="J448" s="79" t="b">
        <v>0</v>
      </c>
      <c r="K448" s="79" t="b">
        <v>0</v>
      </c>
      <c r="L448" s="79" t="b">
        <v>0</v>
      </c>
    </row>
    <row r="449" spans="1:12" ht="15">
      <c r="A449" s="85" t="s">
        <v>2068</v>
      </c>
      <c r="B449" s="84" t="s">
        <v>2069</v>
      </c>
      <c r="C449" s="79">
        <v>2</v>
      </c>
      <c r="D449" s="109">
        <v>0.0012912911135942867</v>
      </c>
      <c r="E449" s="109">
        <v>3.150756439860309</v>
      </c>
      <c r="F449" s="79" t="s">
        <v>2085</v>
      </c>
      <c r="G449" s="79" t="b">
        <v>0</v>
      </c>
      <c r="H449" s="79" t="b">
        <v>0</v>
      </c>
      <c r="I449" s="79" t="b">
        <v>0</v>
      </c>
      <c r="J449" s="79" t="b">
        <v>0</v>
      </c>
      <c r="K449" s="79" t="b">
        <v>0</v>
      </c>
      <c r="L449" s="79" t="b">
        <v>0</v>
      </c>
    </row>
    <row r="450" spans="1:12" ht="15">
      <c r="A450" s="85" t="s">
        <v>2069</v>
      </c>
      <c r="B450" s="84" t="s">
        <v>1770</v>
      </c>
      <c r="C450" s="79">
        <v>2</v>
      </c>
      <c r="D450" s="109">
        <v>0.0012912911135942867</v>
      </c>
      <c r="E450" s="109">
        <v>2.673635185140647</v>
      </c>
      <c r="F450" s="79" t="s">
        <v>2085</v>
      </c>
      <c r="G450" s="79" t="b">
        <v>0</v>
      </c>
      <c r="H450" s="79" t="b">
        <v>0</v>
      </c>
      <c r="I450" s="79" t="b">
        <v>0</v>
      </c>
      <c r="J450" s="79" t="b">
        <v>0</v>
      </c>
      <c r="K450" s="79" t="b">
        <v>0</v>
      </c>
      <c r="L450" s="79" t="b">
        <v>0</v>
      </c>
    </row>
    <row r="451" spans="1:12" ht="15">
      <c r="A451" s="85" t="s">
        <v>1770</v>
      </c>
      <c r="B451" s="84" t="s">
        <v>2070</v>
      </c>
      <c r="C451" s="79">
        <v>2</v>
      </c>
      <c r="D451" s="109">
        <v>0.0012912911135942867</v>
      </c>
      <c r="E451" s="109">
        <v>2.5486964485323464</v>
      </c>
      <c r="F451" s="79" t="s">
        <v>2085</v>
      </c>
      <c r="G451" s="79" t="b">
        <v>0</v>
      </c>
      <c r="H451" s="79" t="b">
        <v>0</v>
      </c>
      <c r="I451" s="79" t="b">
        <v>0</v>
      </c>
      <c r="J451" s="79" t="b">
        <v>0</v>
      </c>
      <c r="K451" s="79" t="b">
        <v>0</v>
      </c>
      <c r="L451" s="79" t="b">
        <v>0</v>
      </c>
    </row>
    <row r="452" spans="1:12" ht="15">
      <c r="A452" s="85" t="s">
        <v>2070</v>
      </c>
      <c r="B452" s="84" t="s">
        <v>2071</v>
      </c>
      <c r="C452" s="79">
        <v>2</v>
      </c>
      <c r="D452" s="109">
        <v>0.0012912911135942867</v>
      </c>
      <c r="E452" s="109">
        <v>3.150756439860309</v>
      </c>
      <c r="F452" s="79" t="s">
        <v>2085</v>
      </c>
      <c r="G452" s="79" t="b">
        <v>0</v>
      </c>
      <c r="H452" s="79" t="b">
        <v>0</v>
      </c>
      <c r="I452" s="79" t="b">
        <v>0</v>
      </c>
      <c r="J452" s="79" t="b">
        <v>0</v>
      </c>
      <c r="K452" s="79" t="b">
        <v>0</v>
      </c>
      <c r="L452" s="79" t="b">
        <v>0</v>
      </c>
    </row>
    <row r="453" spans="1:12" ht="15">
      <c r="A453" s="85" t="s">
        <v>2071</v>
      </c>
      <c r="B453" s="84" t="s">
        <v>2072</v>
      </c>
      <c r="C453" s="79">
        <v>2</v>
      </c>
      <c r="D453" s="109">
        <v>0.0012912911135942867</v>
      </c>
      <c r="E453" s="109">
        <v>3.150756439860309</v>
      </c>
      <c r="F453" s="79" t="s">
        <v>2085</v>
      </c>
      <c r="G453" s="79" t="b">
        <v>0</v>
      </c>
      <c r="H453" s="79" t="b">
        <v>0</v>
      </c>
      <c r="I453" s="79" t="b">
        <v>0</v>
      </c>
      <c r="J453" s="79" t="b">
        <v>0</v>
      </c>
      <c r="K453" s="79" t="b">
        <v>0</v>
      </c>
      <c r="L453" s="79" t="b">
        <v>0</v>
      </c>
    </row>
    <row r="454" spans="1:12" ht="15">
      <c r="A454" s="85" t="s">
        <v>2072</v>
      </c>
      <c r="B454" s="84" t="s">
        <v>1734</v>
      </c>
      <c r="C454" s="79">
        <v>2</v>
      </c>
      <c r="D454" s="109">
        <v>0.0012912911135942867</v>
      </c>
      <c r="E454" s="109">
        <v>2.2476664528683656</v>
      </c>
      <c r="F454" s="79" t="s">
        <v>2085</v>
      </c>
      <c r="G454" s="79" t="b">
        <v>0</v>
      </c>
      <c r="H454" s="79" t="b">
        <v>0</v>
      </c>
      <c r="I454" s="79" t="b">
        <v>0</v>
      </c>
      <c r="J454" s="79" t="b">
        <v>0</v>
      </c>
      <c r="K454" s="79" t="b">
        <v>0</v>
      </c>
      <c r="L454" s="79" t="b">
        <v>0</v>
      </c>
    </row>
    <row r="455" spans="1:12" ht="15">
      <c r="A455" s="85" t="s">
        <v>1734</v>
      </c>
      <c r="B455" s="84" t="s">
        <v>2073</v>
      </c>
      <c r="C455" s="79">
        <v>2</v>
      </c>
      <c r="D455" s="109">
        <v>0.0012912911135942867</v>
      </c>
      <c r="E455" s="109">
        <v>2.2476664528683656</v>
      </c>
      <c r="F455" s="79" t="s">
        <v>2085</v>
      </c>
      <c r="G455" s="79" t="b">
        <v>0</v>
      </c>
      <c r="H455" s="79" t="b">
        <v>0</v>
      </c>
      <c r="I455" s="79" t="b">
        <v>0</v>
      </c>
      <c r="J455" s="79" t="b">
        <v>0</v>
      </c>
      <c r="K455" s="79" t="b">
        <v>0</v>
      </c>
      <c r="L455" s="79" t="b">
        <v>0</v>
      </c>
    </row>
    <row r="456" spans="1:12" ht="15">
      <c r="A456" s="85" t="s">
        <v>2073</v>
      </c>
      <c r="B456" s="84" t="s">
        <v>2074</v>
      </c>
      <c r="C456" s="79">
        <v>2</v>
      </c>
      <c r="D456" s="109">
        <v>0.0012912911135942867</v>
      </c>
      <c r="E456" s="109">
        <v>3.150756439860309</v>
      </c>
      <c r="F456" s="79" t="s">
        <v>2085</v>
      </c>
      <c r="G456" s="79" t="b">
        <v>0</v>
      </c>
      <c r="H456" s="79" t="b">
        <v>0</v>
      </c>
      <c r="I456" s="79" t="b">
        <v>0</v>
      </c>
      <c r="J456" s="79" t="b">
        <v>0</v>
      </c>
      <c r="K456" s="79" t="b">
        <v>0</v>
      </c>
      <c r="L456" s="79" t="b">
        <v>0</v>
      </c>
    </row>
    <row r="457" spans="1:12" ht="15">
      <c r="A457" s="85" t="s">
        <v>2074</v>
      </c>
      <c r="B457" s="84" t="s">
        <v>2075</v>
      </c>
      <c r="C457" s="79">
        <v>2</v>
      </c>
      <c r="D457" s="109">
        <v>0.0012912911135942867</v>
      </c>
      <c r="E457" s="109">
        <v>3.150756439860309</v>
      </c>
      <c r="F457" s="79" t="s">
        <v>2085</v>
      </c>
      <c r="G457" s="79" t="b">
        <v>0</v>
      </c>
      <c r="H457" s="79" t="b">
        <v>0</v>
      </c>
      <c r="I457" s="79" t="b">
        <v>0</v>
      </c>
      <c r="J457" s="79" t="b">
        <v>0</v>
      </c>
      <c r="K457" s="79" t="b">
        <v>0</v>
      </c>
      <c r="L457" s="79" t="b">
        <v>0</v>
      </c>
    </row>
    <row r="458" spans="1:12" ht="15">
      <c r="A458" s="85" t="s">
        <v>2075</v>
      </c>
      <c r="B458" s="84" t="s">
        <v>2076</v>
      </c>
      <c r="C458" s="79">
        <v>2</v>
      </c>
      <c r="D458" s="109">
        <v>0.0012912911135942867</v>
      </c>
      <c r="E458" s="109">
        <v>3.150756439860309</v>
      </c>
      <c r="F458" s="79" t="s">
        <v>2085</v>
      </c>
      <c r="G458" s="79" t="b">
        <v>0</v>
      </c>
      <c r="H458" s="79" t="b">
        <v>0</v>
      </c>
      <c r="I458" s="79" t="b">
        <v>0</v>
      </c>
      <c r="J458" s="79" t="b">
        <v>0</v>
      </c>
      <c r="K458" s="79" t="b">
        <v>0</v>
      </c>
      <c r="L458" s="79" t="b">
        <v>0</v>
      </c>
    </row>
    <row r="459" spans="1:12" ht="15">
      <c r="A459" s="85" t="s">
        <v>2076</v>
      </c>
      <c r="B459" s="84" t="s">
        <v>2077</v>
      </c>
      <c r="C459" s="79">
        <v>2</v>
      </c>
      <c r="D459" s="109">
        <v>0.0012912911135942867</v>
      </c>
      <c r="E459" s="109">
        <v>3.150756439860309</v>
      </c>
      <c r="F459" s="79" t="s">
        <v>2085</v>
      </c>
      <c r="G459" s="79" t="b">
        <v>0</v>
      </c>
      <c r="H459" s="79" t="b">
        <v>0</v>
      </c>
      <c r="I459" s="79" t="b">
        <v>0</v>
      </c>
      <c r="J459" s="79" t="b">
        <v>0</v>
      </c>
      <c r="K459" s="79" t="b">
        <v>0</v>
      </c>
      <c r="L459" s="79" t="b">
        <v>0</v>
      </c>
    </row>
    <row r="460" spans="1:12" ht="15">
      <c r="A460" s="85" t="s">
        <v>2077</v>
      </c>
      <c r="B460" s="84" t="s">
        <v>2078</v>
      </c>
      <c r="C460" s="79">
        <v>2</v>
      </c>
      <c r="D460" s="109">
        <v>0.0012912911135942867</v>
      </c>
      <c r="E460" s="109">
        <v>3.150756439860309</v>
      </c>
      <c r="F460" s="79" t="s">
        <v>2085</v>
      </c>
      <c r="G460" s="79" t="b">
        <v>0</v>
      </c>
      <c r="H460" s="79" t="b">
        <v>0</v>
      </c>
      <c r="I460" s="79" t="b">
        <v>0</v>
      </c>
      <c r="J460" s="79" t="b">
        <v>0</v>
      </c>
      <c r="K460" s="79" t="b">
        <v>0</v>
      </c>
      <c r="L460" s="79" t="b">
        <v>0</v>
      </c>
    </row>
    <row r="461" spans="1:12" ht="15">
      <c r="A461" s="85" t="s">
        <v>2078</v>
      </c>
      <c r="B461" s="84" t="s">
        <v>2079</v>
      </c>
      <c r="C461" s="79">
        <v>2</v>
      </c>
      <c r="D461" s="109">
        <v>0.0012912911135942867</v>
      </c>
      <c r="E461" s="109">
        <v>3.150756439860309</v>
      </c>
      <c r="F461" s="79" t="s">
        <v>2085</v>
      </c>
      <c r="G461" s="79" t="b">
        <v>0</v>
      </c>
      <c r="H461" s="79" t="b">
        <v>0</v>
      </c>
      <c r="I461" s="79" t="b">
        <v>0</v>
      </c>
      <c r="J461" s="79" t="b">
        <v>1</v>
      </c>
      <c r="K461" s="79" t="b">
        <v>0</v>
      </c>
      <c r="L461" s="79" t="b">
        <v>0</v>
      </c>
    </row>
    <row r="462" spans="1:12" ht="15">
      <c r="A462" s="85" t="s">
        <v>2079</v>
      </c>
      <c r="B462" s="84" t="s">
        <v>1770</v>
      </c>
      <c r="C462" s="79">
        <v>2</v>
      </c>
      <c r="D462" s="109">
        <v>0.0012912911135942867</v>
      </c>
      <c r="E462" s="109">
        <v>2.673635185140647</v>
      </c>
      <c r="F462" s="79" t="s">
        <v>2085</v>
      </c>
      <c r="G462" s="79" t="b">
        <v>1</v>
      </c>
      <c r="H462" s="79" t="b">
        <v>0</v>
      </c>
      <c r="I462" s="79" t="b">
        <v>0</v>
      </c>
      <c r="J462" s="79" t="b">
        <v>0</v>
      </c>
      <c r="K462" s="79" t="b">
        <v>0</v>
      </c>
      <c r="L462" s="79" t="b">
        <v>0</v>
      </c>
    </row>
    <row r="463" spans="1:12" ht="15">
      <c r="A463" s="85" t="s">
        <v>1770</v>
      </c>
      <c r="B463" s="84" t="s">
        <v>359</v>
      </c>
      <c r="C463" s="79">
        <v>2</v>
      </c>
      <c r="D463" s="109">
        <v>0.0012912911135942867</v>
      </c>
      <c r="E463" s="109">
        <v>2.5486964485323464</v>
      </c>
      <c r="F463" s="79" t="s">
        <v>2085</v>
      </c>
      <c r="G463" s="79" t="b">
        <v>0</v>
      </c>
      <c r="H463" s="79" t="b">
        <v>0</v>
      </c>
      <c r="I463" s="79" t="b">
        <v>0</v>
      </c>
      <c r="J463" s="79" t="b">
        <v>0</v>
      </c>
      <c r="K463" s="79" t="b">
        <v>0</v>
      </c>
      <c r="L463" s="79" t="b">
        <v>0</v>
      </c>
    </row>
    <row r="464" spans="1:12" ht="15">
      <c r="A464" s="85" t="s">
        <v>359</v>
      </c>
      <c r="B464" s="84" t="s">
        <v>1703</v>
      </c>
      <c r="C464" s="79">
        <v>2</v>
      </c>
      <c r="D464" s="109">
        <v>0.0012912911135942867</v>
      </c>
      <c r="E464" s="109">
        <v>1.2264771537984274</v>
      </c>
      <c r="F464" s="79" t="s">
        <v>2085</v>
      </c>
      <c r="G464" s="79" t="b">
        <v>0</v>
      </c>
      <c r="H464" s="79" t="b">
        <v>0</v>
      </c>
      <c r="I464" s="79" t="b">
        <v>0</v>
      </c>
      <c r="J464" s="79" t="b">
        <v>0</v>
      </c>
      <c r="K464" s="79" t="b">
        <v>0</v>
      </c>
      <c r="L464" s="79" t="b">
        <v>0</v>
      </c>
    </row>
    <row r="465" spans="1:12" ht="15">
      <c r="A465" s="85" t="s">
        <v>1708</v>
      </c>
      <c r="B465" s="84" t="s">
        <v>1709</v>
      </c>
      <c r="C465" s="79">
        <v>37</v>
      </c>
      <c r="D465" s="109">
        <v>0</v>
      </c>
      <c r="E465" s="109">
        <v>1.3222192947339193</v>
      </c>
      <c r="F465" s="79" t="s">
        <v>1651</v>
      </c>
      <c r="G465" s="79" t="b">
        <v>0</v>
      </c>
      <c r="H465" s="79" t="b">
        <v>0</v>
      </c>
      <c r="I465" s="79" t="b">
        <v>0</v>
      </c>
      <c r="J465" s="79" t="b">
        <v>0</v>
      </c>
      <c r="K465" s="79" t="b">
        <v>0</v>
      </c>
      <c r="L465" s="79" t="b">
        <v>0</v>
      </c>
    </row>
    <row r="466" spans="1:12" ht="15">
      <c r="A466" s="85" t="s">
        <v>1709</v>
      </c>
      <c r="B466" s="84" t="s">
        <v>1710</v>
      </c>
      <c r="C466" s="79">
        <v>37</v>
      </c>
      <c r="D466" s="109">
        <v>0</v>
      </c>
      <c r="E466" s="109">
        <v>1.3222192947339193</v>
      </c>
      <c r="F466" s="79" t="s">
        <v>1651</v>
      </c>
      <c r="G466" s="79" t="b">
        <v>0</v>
      </c>
      <c r="H466" s="79" t="b">
        <v>0</v>
      </c>
      <c r="I466" s="79" t="b">
        <v>0</v>
      </c>
      <c r="J466" s="79" t="b">
        <v>0</v>
      </c>
      <c r="K466" s="79" t="b">
        <v>0</v>
      </c>
      <c r="L466" s="79" t="b">
        <v>0</v>
      </c>
    </row>
    <row r="467" spans="1:12" ht="15">
      <c r="A467" s="85" t="s">
        <v>1710</v>
      </c>
      <c r="B467" s="84" t="s">
        <v>1711</v>
      </c>
      <c r="C467" s="79">
        <v>37</v>
      </c>
      <c r="D467" s="109">
        <v>0</v>
      </c>
      <c r="E467" s="109">
        <v>1.3222192947339193</v>
      </c>
      <c r="F467" s="79" t="s">
        <v>1651</v>
      </c>
      <c r="G467" s="79" t="b">
        <v>0</v>
      </c>
      <c r="H467" s="79" t="b">
        <v>0</v>
      </c>
      <c r="I467" s="79" t="b">
        <v>0</v>
      </c>
      <c r="J467" s="79" t="b">
        <v>0</v>
      </c>
      <c r="K467" s="79" t="b">
        <v>0</v>
      </c>
      <c r="L467" s="79" t="b">
        <v>0</v>
      </c>
    </row>
    <row r="468" spans="1:12" ht="15">
      <c r="A468" s="85" t="s">
        <v>1711</v>
      </c>
      <c r="B468" s="84" t="s">
        <v>1712</v>
      </c>
      <c r="C468" s="79">
        <v>37</v>
      </c>
      <c r="D468" s="109">
        <v>0</v>
      </c>
      <c r="E468" s="109">
        <v>1.3222192947339193</v>
      </c>
      <c r="F468" s="79" t="s">
        <v>1651</v>
      </c>
      <c r="G468" s="79" t="b">
        <v>0</v>
      </c>
      <c r="H468" s="79" t="b">
        <v>0</v>
      </c>
      <c r="I468" s="79" t="b">
        <v>0</v>
      </c>
      <c r="J468" s="79" t="b">
        <v>0</v>
      </c>
      <c r="K468" s="79" t="b">
        <v>0</v>
      </c>
      <c r="L468" s="79" t="b">
        <v>0</v>
      </c>
    </row>
    <row r="469" spans="1:12" ht="15">
      <c r="A469" s="85" t="s">
        <v>1712</v>
      </c>
      <c r="B469" s="84" t="s">
        <v>1713</v>
      </c>
      <c r="C469" s="79">
        <v>37</v>
      </c>
      <c r="D469" s="109">
        <v>0</v>
      </c>
      <c r="E469" s="109">
        <v>1.3222192947339193</v>
      </c>
      <c r="F469" s="79" t="s">
        <v>1651</v>
      </c>
      <c r="G469" s="79" t="b">
        <v>0</v>
      </c>
      <c r="H469" s="79" t="b">
        <v>0</v>
      </c>
      <c r="I469" s="79" t="b">
        <v>0</v>
      </c>
      <c r="J469" s="79" t="b">
        <v>0</v>
      </c>
      <c r="K469" s="79" t="b">
        <v>0</v>
      </c>
      <c r="L469" s="79" t="b">
        <v>0</v>
      </c>
    </row>
    <row r="470" spans="1:12" ht="15">
      <c r="A470" s="85" t="s">
        <v>1713</v>
      </c>
      <c r="B470" s="84" t="s">
        <v>1714</v>
      </c>
      <c r="C470" s="79">
        <v>37</v>
      </c>
      <c r="D470" s="109">
        <v>0</v>
      </c>
      <c r="E470" s="109">
        <v>1.3222192947339193</v>
      </c>
      <c r="F470" s="79" t="s">
        <v>1651</v>
      </c>
      <c r="G470" s="79" t="b">
        <v>0</v>
      </c>
      <c r="H470" s="79" t="b">
        <v>0</v>
      </c>
      <c r="I470" s="79" t="b">
        <v>0</v>
      </c>
      <c r="J470" s="79" t="b">
        <v>0</v>
      </c>
      <c r="K470" s="79" t="b">
        <v>0</v>
      </c>
      <c r="L470" s="79" t="b">
        <v>0</v>
      </c>
    </row>
    <row r="471" spans="1:12" ht="15">
      <c r="A471" s="85" t="s">
        <v>1714</v>
      </c>
      <c r="B471" s="84" t="s">
        <v>1715</v>
      </c>
      <c r="C471" s="79">
        <v>37</v>
      </c>
      <c r="D471" s="109">
        <v>0</v>
      </c>
      <c r="E471" s="109">
        <v>1.3222192947339193</v>
      </c>
      <c r="F471" s="79" t="s">
        <v>1651</v>
      </c>
      <c r="G471" s="79" t="b">
        <v>0</v>
      </c>
      <c r="H471" s="79" t="b">
        <v>0</v>
      </c>
      <c r="I471" s="79" t="b">
        <v>0</v>
      </c>
      <c r="J471" s="79" t="b">
        <v>0</v>
      </c>
      <c r="K471" s="79" t="b">
        <v>0</v>
      </c>
      <c r="L471" s="79" t="b">
        <v>0</v>
      </c>
    </row>
    <row r="472" spans="1:12" ht="15">
      <c r="A472" s="85" t="s">
        <v>1715</v>
      </c>
      <c r="B472" s="84" t="s">
        <v>1707</v>
      </c>
      <c r="C472" s="79">
        <v>37</v>
      </c>
      <c r="D472" s="109">
        <v>0</v>
      </c>
      <c r="E472" s="109">
        <v>1.3222192947339193</v>
      </c>
      <c r="F472" s="79" t="s">
        <v>1651</v>
      </c>
      <c r="G472" s="79" t="b">
        <v>0</v>
      </c>
      <c r="H472" s="79" t="b">
        <v>0</v>
      </c>
      <c r="I472" s="79" t="b">
        <v>0</v>
      </c>
      <c r="J472" s="79" t="b">
        <v>0</v>
      </c>
      <c r="K472" s="79" t="b">
        <v>0</v>
      </c>
      <c r="L472" s="79" t="b">
        <v>0</v>
      </c>
    </row>
    <row r="473" spans="1:12" ht="15">
      <c r="A473" s="85" t="s">
        <v>1707</v>
      </c>
      <c r="B473" s="84" t="s">
        <v>1704</v>
      </c>
      <c r="C473" s="79">
        <v>37</v>
      </c>
      <c r="D473" s="109">
        <v>0</v>
      </c>
      <c r="E473" s="109">
        <v>1.021189299069938</v>
      </c>
      <c r="F473" s="79" t="s">
        <v>1651</v>
      </c>
      <c r="G473" s="79" t="b">
        <v>0</v>
      </c>
      <c r="H473" s="79" t="b">
        <v>0</v>
      </c>
      <c r="I473" s="79" t="b">
        <v>0</v>
      </c>
      <c r="J473" s="79" t="b">
        <v>0</v>
      </c>
      <c r="K473" s="79" t="b">
        <v>0</v>
      </c>
      <c r="L473" s="79" t="b">
        <v>0</v>
      </c>
    </row>
    <row r="474" spans="1:12" ht="15">
      <c r="A474" s="85" t="s">
        <v>1704</v>
      </c>
      <c r="B474" s="84" t="s">
        <v>1716</v>
      </c>
      <c r="C474" s="79">
        <v>37</v>
      </c>
      <c r="D474" s="109">
        <v>0</v>
      </c>
      <c r="E474" s="109">
        <v>1.021189299069938</v>
      </c>
      <c r="F474" s="79" t="s">
        <v>1651</v>
      </c>
      <c r="G474" s="79" t="b">
        <v>0</v>
      </c>
      <c r="H474" s="79" t="b">
        <v>0</v>
      </c>
      <c r="I474" s="79" t="b">
        <v>0</v>
      </c>
      <c r="J474" s="79" t="b">
        <v>0</v>
      </c>
      <c r="K474" s="79" t="b">
        <v>0</v>
      </c>
      <c r="L474" s="79" t="b">
        <v>0</v>
      </c>
    </row>
    <row r="475" spans="1:12" ht="15">
      <c r="A475" s="85" t="s">
        <v>1716</v>
      </c>
      <c r="B475" s="84" t="s">
        <v>1717</v>
      </c>
      <c r="C475" s="79">
        <v>37</v>
      </c>
      <c r="D475" s="109">
        <v>0</v>
      </c>
      <c r="E475" s="109">
        <v>1.3222192947339193</v>
      </c>
      <c r="F475" s="79" t="s">
        <v>1651</v>
      </c>
      <c r="G475" s="79" t="b">
        <v>0</v>
      </c>
      <c r="H475" s="79" t="b">
        <v>0</v>
      </c>
      <c r="I475" s="79" t="b">
        <v>0</v>
      </c>
      <c r="J475" s="79" t="b">
        <v>0</v>
      </c>
      <c r="K475" s="79" t="b">
        <v>0</v>
      </c>
      <c r="L475" s="79" t="b">
        <v>0</v>
      </c>
    </row>
    <row r="476" spans="1:12" ht="15">
      <c r="A476" s="85" t="s">
        <v>1717</v>
      </c>
      <c r="B476" s="84" t="s">
        <v>1705</v>
      </c>
      <c r="C476" s="79">
        <v>37</v>
      </c>
      <c r="D476" s="109">
        <v>0</v>
      </c>
      <c r="E476" s="109">
        <v>1.3222192947339193</v>
      </c>
      <c r="F476" s="79" t="s">
        <v>1651</v>
      </c>
      <c r="G476" s="79" t="b">
        <v>0</v>
      </c>
      <c r="H476" s="79" t="b">
        <v>0</v>
      </c>
      <c r="I476" s="79" t="b">
        <v>0</v>
      </c>
      <c r="J476" s="79" t="b">
        <v>0</v>
      </c>
      <c r="K476" s="79" t="b">
        <v>0</v>
      </c>
      <c r="L476" s="79" t="b">
        <v>0</v>
      </c>
    </row>
    <row r="477" spans="1:12" ht="15">
      <c r="A477" s="85" t="s">
        <v>1705</v>
      </c>
      <c r="B477" s="84" t="s">
        <v>1718</v>
      </c>
      <c r="C477" s="79">
        <v>37</v>
      </c>
      <c r="D477" s="109">
        <v>0</v>
      </c>
      <c r="E477" s="109">
        <v>1.3222192947339193</v>
      </c>
      <c r="F477" s="79" t="s">
        <v>1651</v>
      </c>
      <c r="G477" s="79" t="b">
        <v>0</v>
      </c>
      <c r="H477" s="79" t="b">
        <v>0</v>
      </c>
      <c r="I477" s="79" t="b">
        <v>0</v>
      </c>
      <c r="J477" s="79" t="b">
        <v>0</v>
      </c>
      <c r="K477" s="79" t="b">
        <v>0</v>
      </c>
      <c r="L477" s="79" t="b">
        <v>0</v>
      </c>
    </row>
    <row r="478" spans="1:12" ht="15">
      <c r="A478" s="85" t="s">
        <v>1718</v>
      </c>
      <c r="B478" s="84" t="s">
        <v>1704</v>
      </c>
      <c r="C478" s="79">
        <v>37</v>
      </c>
      <c r="D478" s="109">
        <v>0</v>
      </c>
      <c r="E478" s="109">
        <v>1.021189299069938</v>
      </c>
      <c r="F478" s="79" t="s">
        <v>1651</v>
      </c>
      <c r="G478" s="79" t="b">
        <v>0</v>
      </c>
      <c r="H478" s="79" t="b">
        <v>0</v>
      </c>
      <c r="I478" s="79" t="b">
        <v>0</v>
      </c>
      <c r="J478" s="79" t="b">
        <v>0</v>
      </c>
      <c r="K478" s="79" t="b">
        <v>0</v>
      </c>
      <c r="L478" s="79" t="b">
        <v>0</v>
      </c>
    </row>
    <row r="479" spans="1:12" ht="15">
      <c r="A479" s="85" t="s">
        <v>1704</v>
      </c>
      <c r="B479" s="84" t="s">
        <v>1719</v>
      </c>
      <c r="C479" s="79">
        <v>37</v>
      </c>
      <c r="D479" s="109">
        <v>0</v>
      </c>
      <c r="E479" s="109">
        <v>1.021189299069938</v>
      </c>
      <c r="F479" s="79" t="s">
        <v>1651</v>
      </c>
      <c r="G479" s="79" t="b">
        <v>0</v>
      </c>
      <c r="H479" s="79" t="b">
        <v>0</v>
      </c>
      <c r="I479" s="79" t="b">
        <v>0</v>
      </c>
      <c r="J479" s="79" t="b">
        <v>0</v>
      </c>
      <c r="K479" s="79" t="b">
        <v>0</v>
      </c>
      <c r="L479" s="79" t="b">
        <v>0</v>
      </c>
    </row>
    <row r="480" spans="1:12" ht="15">
      <c r="A480" s="85" t="s">
        <v>1719</v>
      </c>
      <c r="B480" s="84" t="s">
        <v>1720</v>
      </c>
      <c r="C480" s="79">
        <v>37</v>
      </c>
      <c r="D480" s="109">
        <v>0</v>
      </c>
      <c r="E480" s="109">
        <v>1.3222192947339193</v>
      </c>
      <c r="F480" s="79" t="s">
        <v>1651</v>
      </c>
      <c r="G480" s="79" t="b">
        <v>0</v>
      </c>
      <c r="H480" s="79" t="b">
        <v>0</v>
      </c>
      <c r="I480" s="79" t="b">
        <v>0</v>
      </c>
      <c r="J480" s="79" t="b">
        <v>0</v>
      </c>
      <c r="K480" s="79" t="b">
        <v>0</v>
      </c>
      <c r="L480" s="79" t="b">
        <v>0</v>
      </c>
    </row>
    <row r="481" spans="1:12" ht="15">
      <c r="A481" s="85" t="s">
        <v>1720</v>
      </c>
      <c r="B481" s="84" t="s">
        <v>1721</v>
      </c>
      <c r="C481" s="79">
        <v>37</v>
      </c>
      <c r="D481" s="109">
        <v>0</v>
      </c>
      <c r="E481" s="109">
        <v>1.3222192947339193</v>
      </c>
      <c r="F481" s="79" t="s">
        <v>1651</v>
      </c>
      <c r="G481" s="79" t="b">
        <v>0</v>
      </c>
      <c r="H481" s="79" t="b">
        <v>0</v>
      </c>
      <c r="I481" s="79" t="b">
        <v>0</v>
      </c>
      <c r="J481" s="79" t="b">
        <v>0</v>
      </c>
      <c r="K481" s="79" t="b">
        <v>0</v>
      </c>
      <c r="L481" s="79" t="b">
        <v>0</v>
      </c>
    </row>
    <row r="482" spans="1:12" ht="15">
      <c r="A482" s="85" t="s">
        <v>1721</v>
      </c>
      <c r="B482" s="84" t="s">
        <v>1722</v>
      </c>
      <c r="C482" s="79">
        <v>37</v>
      </c>
      <c r="D482" s="109">
        <v>0</v>
      </c>
      <c r="E482" s="109">
        <v>1.3222192947339193</v>
      </c>
      <c r="F482" s="79" t="s">
        <v>1651</v>
      </c>
      <c r="G482" s="79" t="b">
        <v>0</v>
      </c>
      <c r="H482" s="79" t="b">
        <v>0</v>
      </c>
      <c r="I482" s="79" t="b">
        <v>0</v>
      </c>
      <c r="J482" s="79" t="b">
        <v>0</v>
      </c>
      <c r="K482" s="79" t="b">
        <v>0</v>
      </c>
      <c r="L482" s="79" t="b">
        <v>0</v>
      </c>
    </row>
    <row r="483" spans="1:12" ht="15">
      <c r="A483" s="85" t="s">
        <v>1722</v>
      </c>
      <c r="B483" s="84" t="s">
        <v>1723</v>
      </c>
      <c r="C483" s="79">
        <v>37</v>
      </c>
      <c r="D483" s="109">
        <v>0</v>
      </c>
      <c r="E483" s="109">
        <v>1.3222192947339193</v>
      </c>
      <c r="F483" s="79" t="s">
        <v>1651</v>
      </c>
      <c r="G483" s="79" t="b">
        <v>0</v>
      </c>
      <c r="H483" s="79" t="b">
        <v>0</v>
      </c>
      <c r="I483" s="79" t="b">
        <v>0</v>
      </c>
      <c r="J483" s="79" t="b">
        <v>0</v>
      </c>
      <c r="K483" s="79" t="b">
        <v>0</v>
      </c>
      <c r="L483" s="79" t="b">
        <v>0</v>
      </c>
    </row>
    <row r="484" spans="1:12" ht="15">
      <c r="A484" s="85" t="s">
        <v>1723</v>
      </c>
      <c r="B484" s="84" t="s">
        <v>1706</v>
      </c>
      <c r="C484" s="79">
        <v>37</v>
      </c>
      <c r="D484" s="109">
        <v>0</v>
      </c>
      <c r="E484" s="109">
        <v>1.3222192947339193</v>
      </c>
      <c r="F484" s="79" t="s">
        <v>1651</v>
      </c>
      <c r="G484" s="79" t="b">
        <v>0</v>
      </c>
      <c r="H484" s="79" t="b">
        <v>0</v>
      </c>
      <c r="I484" s="79" t="b">
        <v>0</v>
      </c>
      <c r="J484" s="79" t="b">
        <v>0</v>
      </c>
      <c r="K484" s="79" t="b">
        <v>0</v>
      </c>
      <c r="L484" s="79" t="b">
        <v>0</v>
      </c>
    </row>
    <row r="485" spans="1:12" ht="15">
      <c r="A485" s="85" t="s">
        <v>1706</v>
      </c>
      <c r="B485" s="84" t="s">
        <v>1703</v>
      </c>
      <c r="C485" s="79">
        <v>37</v>
      </c>
      <c r="D485" s="109">
        <v>0</v>
      </c>
      <c r="E485" s="109">
        <v>1.3222192947339193</v>
      </c>
      <c r="F485" s="79" t="s">
        <v>1651</v>
      </c>
      <c r="G485" s="79" t="b">
        <v>0</v>
      </c>
      <c r="H485" s="79" t="b">
        <v>0</v>
      </c>
      <c r="I485" s="79" t="b">
        <v>0</v>
      </c>
      <c r="J485" s="79" t="b">
        <v>0</v>
      </c>
      <c r="K485" s="79" t="b">
        <v>0</v>
      </c>
      <c r="L485" s="79" t="b">
        <v>0</v>
      </c>
    </row>
    <row r="486" spans="1:12" ht="15">
      <c r="A486" s="85" t="s">
        <v>1737</v>
      </c>
      <c r="B486" s="84" t="s">
        <v>1731</v>
      </c>
      <c r="C486" s="79">
        <v>14</v>
      </c>
      <c r="D486" s="109">
        <v>0.008978533930046991</v>
      </c>
      <c r="E486" s="109">
        <v>1.3866263433142596</v>
      </c>
      <c r="F486" s="79" t="s">
        <v>1652</v>
      </c>
      <c r="G486" s="79" t="b">
        <v>0</v>
      </c>
      <c r="H486" s="79" t="b">
        <v>0</v>
      </c>
      <c r="I486" s="79" t="b">
        <v>0</v>
      </c>
      <c r="J486" s="79" t="b">
        <v>0</v>
      </c>
      <c r="K486" s="79" t="b">
        <v>0</v>
      </c>
      <c r="L486" s="79" t="b">
        <v>0</v>
      </c>
    </row>
    <row r="487" spans="1:12" ht="15">
      <c r="A487" s="85" t="s">
        <v>1731</v>
      </c>
      <c r="B487" s="84" t="s">
        <v>1738</v>
      </c>
      <c r="C487" s="79">
        <v>14</v>
      </c>
      <c r="D487" s="109">
        <v>0.008978533930046991</v>
      </c>
      <c r="E487" s="109">
        <v>1.3866263433142596</v>
      </c>
      <c r="F487" s="79" t="s">
        <v>1652</v>
      </c>
      <c r="G487" s="79" t="b">
        <v>0</v>
      </c>
      <c r="H487" s="79" t="b">
        <v>0</v>
      </c>
      <c r="I487" s="79" t="b">
        <v>0</v>
      </c>
      <c r="J487" s="79" t="b">
        <v>0</v>
      </c>
      <c r="K487" s="79" t="b">
        <v>0</v>
      </c>
      <c r="L487" s="79" t="b">
        <v>0</v>
      </c>
    </row>
    <row r="488" spans="1:12" ht="15">
      <c r="A488" s="85" t="s">
        <v>1738</v>
      </c>
      <c r="B488" s="84" t="s">
        <v>1739</v>
      </c>
      <c r="C488" s="79">
        <v>14</v>
      </c>
      <c r="D488" s="109">
        <v>0.008978533930046991</v>
      </c>
      <c r="E488" s="109">
        <v>1.3866263433142596</v>
      </c>
      <c r="F488" s="79" t="s">
        <v>1652</v>
      </c>
      <c r="G488" s="79" t="b">
        <v>0</v>
      </c>
      <c r="H488" s="79" t="b">
        <v>0</v>
      </c>
      <c r="I488" s="79" t="b">
        <v>0</v>
      </c>
      <c r="J488" s="79" t="b">
        <v>0</v>
      </c>
      <c r="K488" s="79" t="b">
        <v>0</v>
      </c>
      <c r="L488" s="79" t="b">
        <v>0</v>
      </c>
    </row>
    <row r="489" spans="1:12" ht="15">
      <c r="A489" s="85" t="s">
        <v>1739</v>
      </c>
      <c r="B489" s="84" t="s">
        <v>370</v>
      </c>
      <c r="C489" s="79">
        <v>14</v>
      </c>
      <c r="D489" s="109">
        <v>0.008978533930046991</v>
      </c>
      <c r="E489" s="109">
        <v>1.3866263433142596</v>
      </c>
      <c r="F489" s="79" t="s">
        <v>1652</v>
      </c>
      <c r="G489" s="79" t="b">
        <v>0</v>
      </c>
      <c r="H489" s="79" t="b">
        <v>0</v>
      </c>
      <c r="I489" s="79" t="b">
        <v>0</v>
      </c>
      <c r="J489" s="79" t="b">
        <v>0</v>
      </c>
      <c r="K489" s="79" t="b">
        <v>0</v>
      </c>
      <c r="L489" s="79" t="b">
        <v>0</v>
      </c>
    </row>
    <row r="490" spans="1:12" ht="15">
      <c r="A490" s="85" t="s">
        <v>370</v>
      </c>
      <c r="B490" s="84" t="s">
        <v>1736</v>
      </c>
      <c r="C490" s="79">
        <v>14</v>
      </c>
      <c r="D490" s="109">
        <v>0.008978533930046991</v>
      </c>
      <c r="E490" s="109">
        <v>1.3866263433142596</v>
      </c>
      <c r="F490" s="79" t="s">
        <v>1652</v>
      </c>
      <c r="G490" s="79" t="b">
        <v>0</v>
      </c>
      <c r="H490" s="79" t="b">
        <v>0</v>
      </c>
      <c r="I490" s="79" t="b">
        <v>0</v>
      </c>
      <c r="J490" s="79" t="b">
        <v>0</v>
      </c>
      <c r="K490" s="79" t="b">
        <v>0</v>
      </c>
      <c r="L490" s="79" t="b">
        <v>0</v>
      </c>
    </row>
    <row r="491" spans="1:12" ht="15">
      <c r="A491" s="85" t="s">
        <v>1736</v>
      </c>
      <c r="B491" s="84" t="s">
        <v>368</v>
      </c>
      <c r="C491" s="79">
        <v>14</v>
      </c>
      <c r="D491" s="109">
        <v>0.008978533930046991</v>
      </c>
      <c r="E491" s="109">
        <v>1.302305457614224</v>
      </c>
      <c r="F491" s="79" t="s">
        <v>1652</v>
      </c>
      <c r="G491" s="79" t="b">
        <v>0</v>
      </c>
      <c r="H491" s="79" t="b">
        <v>0</v>
      </c>
      <c r="I491" s="79" t="b">
        <v>0</v>
      </c>
      <c r="J491" s="79" t="b">
        <v>0</v>
      </c>
      <c r="K491" s="79" t="b">
        <v>0</v>
      </c>
      <c r="L491" s="79" t="b">
        <v>0</v>
      </c>
    </row>
    <row r="492" spans="1:12" ht="15">
      <c r="A492" s="85" t="s">
        <v>368</v>
      </c>
      <c r="B492" s="84" t="s">
        <v>1727</v>
      </c>
      <c r="C492" s="79">
        <v>14</v>
      </c>
      <c r="D492" s="109">
        <v>0.008978533930046991</v>
      </c>
      <c r="E492" s="109">
        <v>1.2105350842585785</v>
      </c>
      <c r="F492" s="79" t="s">
        <v>1652</v>
      </c>
      <c r="G492" s="79" t="b">
        <v>0</v>
      </c>
      <c r="H492" s="79" t="b">
        <v>0</v>
      </c>
      <c r="I492" s="79" t="b">
        <v>0</v>
      </c>
      <c r="J492" s="79" t="b">
        <v>0</v>
      </c>
      <c r="K492" s="79" t="b">
        <v>0</v>
      </c>
      <c r="L492" s="79" t="b">
        <v>0</v>
      </c>
    </row>
    <row r="493" spans="1:12" ht="15">
      <c r="A493" s="85" t="s">
        <v>1727</v>
      </c>
      <c r="B493" s="84" t="s">
        <v>1740</v>
      </c>
      <c r="C493" s="79">
        <v>14</v>
      </c>
      <c r="D493" s="109">
        <v>0.008978533930046991</v>
      </c>
      <c r="E493" s="109">
        <v>1.3866263433142596</v>
      </c>
      <c r="F493" s="79" t="s">
        <v>1652</v>
      </c>
      <c r="G493" s="79" t="b">
        <v>0</v>
      </c>
      <c r="H493" s="79" t="b">
        <v>0</v>
      </c>
      <c r="I493" s="79" t="b">
        <v>0</v>
      </c>
      <c r="J493" s="79" t="b">
        <v>0</v>
      </c>
      <c r="K493" s="79" t="b">
        <v>0</v>
      </c>
      <c r="L493" s="79" t="b">
        <v>0</v>
      </c>
    </row>
    <row r="494" spans="1:12" ht="15">
      <c r="A494" s="85" t="s">
        <v>1740</v>
      </c>
      <c r="B494" s="84" t="s">
        <v>1741</v>
      </c>
      <c r="C494" s="79">
        <v>14</v>
      </c>
      <c r="D494" s="109">
        <v>0.008978533930046991</v>
      </c>
      <c r="E494" s="109">
        <v>1.3866263433142596</v>
      </c>
      <c r="F494" s="79" t="s">
        <v>1652</v>
      </c>
      <c r="G494" s="79" t="b">
        <v>0</v>
      </c>
      <c r="H494" s="79" t="b">
        <v>0</v>
      </c>
      <c r="I494" s="79" t="b">
        <v>0</v>
      </c>
      <c r="J494" s="79" t="b">
        <v>0</v>
      </c>
      <c r="K494" s="79" t="b">
        <v>0</v>
      </c>
      <c r="L494" s="79" t="b">
        <v>0</v>
      </c>
    </row>
    <row r="495" spans="1:12" ht="15">
      <c r="A495" s="85" t="s">
        <v>1741</v>
      </c>
      <c r="B495" s="84" t="s">
        <v>1742</v>
      </c>
      <c r="C495" s="79">
        <v>14</v>
      </c>
      <c r="D495" s="109">
        <v>0.008978533930046991</v>
      </c>
      <c r="E495" s="109">
        <v>1.3866263433142596</v>
      </c>
      <c r="F495" s="79" t="s">
        <v>1652</v>
      </c>
      <c r="G495" s="79" t="b">
        <v>0</v>
      </c>
      <c r="H495" s="79" t="b">
        <v>0</v>
      </c>
      <c r="I495" s="79" t="b">
        <v>0</v>
      </c>
      <c r="J495" s="79" t="b">
        <v>0</v>
      </c>
      <c r="K495" s="79" t="b">
        <v>0</v>
      </c>
      <c r="L495" s="79" t="b">
        <v>0</v>
      </c>
    </row>
    <row r="496" spans="1:12" ht="15">
      <c r="A496" s="85" t="s">
        <v>1742</v>
      </c>
      <c r="B496" s="84" t="s">
        <v>1743</v>
      </c>
      <c r="C496" s="79">
        <v>14</v>
      </c>
      <c r="D496" s="109">
        <v>0.008978533930046991</v>
      </c>
      <c r="E496" s="109">
        <v>1.3866263433142596</v>
      </c>
      <c r="F496" s="79" t="s">
        <v>1652</v>
      </c>
      <c r="G496" s="79" t="b">
        <v>0</v>
      </c>
      <c r="H496" s="79" t="b">
        <v>0</v>
      </c>
      <c r="I496" s="79" t="b">
        <v>0</v>
      </c>
      <c r="J496" s="79" t="b">
        <v>0</v>
      </c>
      <c r="K496" s="79" t="b">
        <v>0</v>
      </c>
      <c r="L496" s="79" t="b">
        <v>0</v>
      </c>
    </row>
    <row r="497" spans="1:12" ht="15">
      <c r="A497" s="85" t="s">
        <v>1743</v>
      </c>
      <c r="B497" s="84" t="s">
        <v>1725</v>
      </c>
      <c r="C497" s="79">
        <v>14</v>
      </c>
      <c r="D497" s="109">
        <v>0.008978533930046991</v>
      </c>
      <c r="E497" s="109">
        <v>1.1525431372808916</v>
      </c>
      <c r="F497" s="79" t="s">
        <v>1652</v>
      </c>
      <c r="G497" s="79" t="b">
        <v>0</v>
      </c>
      <c r="H497" s="79" t="b">
        <v>0</v>
      </c>
      <c r="I497" s="79" t="b">
        <v>0</v>
      </c>
      <c r="J497" s="79" t="b">
        <v>0</v>
      </c>
      <c r="K497" s="79" t="b">
        <v>0</v>
      </c>
      <c r="L497" s="79" t="b">
        <v>0</v>
      </c>
    </row>
    <row r="498" spans="1:12" ht="15">
      <c r="A498" s="85" t="s">
        <v>1725</v>
      </c>
      <c r="B498" s="84" t="s">
        <v>1703</v>
      </c>
      <c r="C498" s="79">
        <v>14</v>
      </c>
      <c r="D498" s="109">
        <v>0.008978533930046991</v>
      </c>
      <c r="E498" s="109">
        <v>0.9184599312475236</v>
      </c>
      <c r="F498" s="79" t="s">
        <v>1652</v>
      </c>
      <c r="G498" s="79" t="b">
        <v>0</v>
      </c>
      <c r="H498" s="79" t="b">
        <v>0</v>
      </c>
      <c r="I498" s="79" t="b">
        <v>0</v>
      </c>
      <c r="J498" s="79" t="b">
        <v>0</v>
      </c>
      <c r="K498" s="79" t="b">
        <v>0</v>
      </c>
      <c r="L498" s="79" t="b">
        <v>0</v>
      </c>
    </row>
    <row r="499" spans="1:12" ht="15">
      <c r="A499" s="85" t="s">
        <v>1754</v>
      </c>
      <c r="B499" s="84" t="s">
        <v>1724</v>
      </c>
      <c r="C499" s="79">
        <v>10</v>
      </c>
      <c r="D499" s="109">
        <v>0.010416746348263178</v>
      </c>
      <c r="E499" s="109">
        <v>1.5327543789924978</v>
      </c>
      <c r="F499" s="79" t="s">
        <v>1652</v>
      </c>
      <c r="G499" s="79" t="b">
        <v>0</v>
      </c>
      <c r="H499" s="79" t="b">
        <v>0</v>
      </c>
      <c r="I499" s="79" t="b">
        <v>0</v>
      </c>
      <c r="J499" s="79" t="b">
        <v>0</v>
      </c>
      <c r="K499" s="79" t="b">
        <v>0</v>
      </c>
      <c r="L499" s="79" t="b">
        <v>0</v>
      </c>
    </row>
    <row r="500" spans="1:12" ht="15">
      <c r="A500" s="85" t="s">
        <v>368</v>
      </c>
      <c r="B500" s="84" t="s">
        <v>1784</v>
      </c>
      <c r="C500" s="79">
        <v>7</v>
      </c>
      <c r="D500" s="109">
        <v>0.010262444964058752</v>
      </c>
      <c r="E500" s="109">
        <v>1.2105350842585785</v>
      </c>
      <c r="F500" s="79" t="s">
        <v>1652</v>
      </c>
      <c r="G500" s="79" t="b">
        <v>0</v>
      </c>
      <c r="H500" s="79" t="b">
        <v>0</v>
      </c>
      <c r="I500" s="79" t="b">
        <v>0</v>
      </c>
      <c r="J500" s="79" t="b">
        <v>0</v>
      </c>
      <c r="K500" s="79" t="b">
        <v>0</v>
      </c>
      <c r="L500" s="79" t="b">
        <v>0</v>
      </c>
    </row>
    <row r="501" spans="1:12" ht="15">
      <c r="A501" s="85" t="s">
        <v>1784</v>
      </c>
      <c r="B501" s="84" t="s">
        <v>1734</v>
      </c>
      <c r="C501" s="79">
        <v>7</v>
      </c>
      <c r="D501" s="109">
        <v>0.010262444964058752</v>
      </c>
      <c r="E501" s="109">
        <v>1.6876563389782409</v>
      </c>
      <c r="F501" s="79" t="s">
        <v>1652</v>
      </c>
      <c r="G501" s="79" t="b">
        <v>0</v>
      </c>
      <c r="H501" s="79" t="b">
        <v>0</v>
      </c>
      <c r="I501" s="79" t="b">
        <v>0</v>
      </c>
      <c r="J501" s="79" t="b">
        <v>0</v>
      </c>
      <c r="K501" s="79" t="b">
        <v>0</v>
      </c>
      <c r="L501" s="79" t="b">
        <v>0</v>
      </c>
    </row>
    <row r="502" spans="1:12" ht="15">
      <c r="A502" s="85" t="s">
        <v>1734</v>
      </c>
      <c r="B502" s="84" t="s">
        <v>1785</v>
      </c>
      <c r="C502" s="79">
        <v>7</v>
      </c>
      <c r="D502" s="109">
        <v>0.010262444964058752</v>
      </c>
      <c r="E502" s="109">
        <v>1.6876563389782409</v>
      </c>
      <c r="F502" s="79" t="s">
        <v>1652</v>
      </c>
      <c r="G502" s="79" t="b">
        <v>0</v>
      </c>
      <c r="H502" s="79" t="b">
        <v>0</v>
      </c>
      <c r="I502" s="79" t="b">
        <v>0</v>
      </c>
      <c r="J502" s="79" t="b">
        <v>0</v>
      </c>
      <c r="K502" s="79" t="b">
        <v>0</v>
      </c>
      <c r="L502" s="79" t="b">
        <v>0</v>
      </c>
    </row>
    <row r="503" spans="1:12" ht="15">
      <c r="A503" s="85" t="s">
        <v>1785</v>
      </c>
      <c r="B503" s="84" t="s">
        <v>1754</v>
      </c>
      <c r="C503" s="79">
        <v>7</v>
      </c>
      <c r="D503" s="109">
        <v>0.010262444964058752</v>
      </c>
      <c r="E503" s="109">
        <v>1.6876563389782409</v>
      </c>
      <c r="F503" s="79" t="s">
        <v>1652</v>
      </c>
      <c r="G503" s="79" t="b">
        <v>0</v>
      </c>
      <c r="H503" s="79" t="b">
        <v>0</v>
      </c>
      <c r="I503" s="79" t="b">
        <v>0</v>
      </c>
      <c r="J503" s="79" t="b">
        <v>0</v>
      </c>
      <c r="K503" s="79" t="b">
        <v>0</v>
      </c>
      <c r="L503" s="79" t="b">
        <v>0</v>
      </c>
    </row>
    <row r="504" spans="1:12" ht="15">
      <c r="A504" s="85" t="s">
        <v>1724</v>
      </c>
      <c r="B504" s="84" t="s">
        <v>1786</v>
      </c>
      <c r="C504" s="79">
        <v>7</v>
      </c>
      <c r="D504" s="109">
        <v>0.010262444964058752</v>
      </c>
      <c r="E504" s="109">
        <v>1.5327543789924976</v>
      </c>
      <c r="F504" s="79" t="s">
        <v>1652</v>
      </c>
      <c r="G504" s="79" t="b">
        <v>0</v>
      </c>
      <c r="H504" s="79" t="b">
        <v>0</v>
      </c>
      <c r="I504" s="79" t="b">
        <v>0</v>
      </c>
      <c r="J504" s="79" t="b">
        <v>0</v>
      </c>
      <c r="K504" s="79" t="b">
        <v>0</v>
      </c>
      <c r="L504" s="79" t="b">
        <v>0</v>
      </c>
    </row>
    <row r="505" spans="1:12" ht="15">
      <c r="A505" s="85" t="s">
        <v>1786</v>
      </c>
      <c r="B505" s="84" t="s">
        <v>1725</v>
      </c>
      <c r="C505" s="79">
        <v>7</v>
      </c>
      <c r="D505" s="109">
        <v>0.010262444964058752</v>
      </c>
      <c r="E505" s="109">
        <v>1.1525431372808916</v>
      </c>
      <c r="F505" s="79" t="s">
        <v>1652</v>
      </c>
      <c r="G505" s="79" t="b">
        <v>0</v>
      </c>
      <c r="H505" s="79" t="b">
        <v>0</v>
      </c>
      <c r="I505" s="79" t="b">
        <v>0</v>
      </c>
      <c r="J505" s="79" t="b">
        <v>0</v>
      </c>
      <c r="K505" s="79" t="b">
        <v>0</v>
      </c>
      <c r="L505" s="79" t="b">
        <v>0</v>
      </c>
    </row>
    <row r="506" spans="1:12" ht="15">
      <c r="A506" s="85" t="s">
        <v>1725</v>
      </c>
      <c r="B506" s="84" t="s">
        <v>1787</v>
      </c>
      <c r="C506" s="79">
        <v>7</v>
      </c>
      <c r="D506" s="109">
        <v>0.010262444964058752</v>
      </c>
      <c r="E506" s="109">
        <v>1.1525431372808916</v>
      </c>
      <c r="F506" s="79" t="s">
        <v>1652</v>
      </c>
      <c r="G506" s="79" t="b">
        <v>0</v>
      </c>
      <c r="H506" s="79" t="b">
        <v>0</v>
      </c>
      <c r="I506" s="79" t="b">
        <v>0</v>
      </c>
      <c r="J506" s="79" t="b">
        <v>0</v>
      </c>
      <c r="K506" s="79" t="b">
        <v>0</v>
      </c>
      <c r="L506" s="79" t="b">
        <v>0</v>
      </c>
    </row>
    <row r="507" spans="1:12" ht="15">
      <c r="A507" s="85" t="s">
        <v>1787</v>
      </c>
      <c r="B507" s="84" t="s">
        <v>1703</v>
      </c>
      <c r="C507" s="79">
        <v>7</v>
      </c>
      <c r="D507" s="109">
        <v>0.010262444964058752</v>
      </c>
      <c r="E507" s="109">
        <v>1.1525431372808916</v>
      </c>
      <c r="F507" s="79" t="s">
        <v>1652</v>
      </c>
      <c r="G507" s="79" t="b">
        <v>0</v>
      </c>
      <c r="H507" s="79" t="b">
        <v>0</v>
      </c>
      <c r="I507" s="79" t="b">
        <v>0</v>
      </c>
      <c r="J507" s="79" t="b">
        <v>0</v>
      </c>
      <c r="K507" s="79" t="b">
        <v>0</v>
      </c>
      <c r="L507" s="79" t="b">
        <v>0</v>
      </c>
    </row>
    <row r="508" spans="1:12" ht="15">
      <c r="A508" s="85" t="s">
        <v>1703</v>
      </c>
      <c r="B508" s="84" t="s">
        <v>1788</v>
      </c>
      <c r="C508" s="79">
        <v>7</v>
      </c>
      <c r="D508" s="109">
        <v>0.010262444964058752</v>
      </c>
      <c r="E508" s="109">
        <v>1.5327543789924976</v>
      </c>
      <c r="F508" s="79" t="s">
        <v>1652</v>
      </c>
      <c r="G508" s="79" t="b">
        <v>0</v>
      </c>
      <c r="H508" s="79" t="b">
        <v>0</v>
      </c>
      <c r="I508" s="79" t="b">
        <v>0</v>
      </c>
      <c r="J508" s="79" t="b">
        <v>0</v>
      </c>
      <c r="K508" s="79" t="b">
        <v>0</v>
      </c>
      <c r="L508" s="79" t="b">
        <v>0</v>
      </c>
    </row>
    <row r="509" spans="1:12" ht="15">
      <c r="A509" s="85" t="s">
        <v>1788</v>
      </c>
      <c r="B509" s="84" t="s">
        <v>1732</v>
      </c>
      <c r="C509" s="79">
        <v>7</v>
      </c>
      <c r="D509" s="109">
        <v>0.010262444964058752</v>
      </c>
      <c r="E509" s="109">
        <v>1.3866263433142596</v>
      </c>
      <c r="F509" s="79" t="s">
        <v>1652</v>
      </c>
      <c r="G509" s="79" t="b">
        <v>0</v>
      </c>
      <c r="H509" s="79" t="b">
        <v>0</v>
      </c>
      <c r="I509" s="79" t="b">
        <v>0</v>
      </c>
      <c r="J509" s="79" t="b">
        <v>0</v>
      </c>
      <c r="K509" s="79" t="b">
        <v>0</v>
      </c>
      <c r="L509" s="79" t="b">
        <v>0</v>
      </c>
    </row>
    <row r="510" spans="1:12" ht="15">
      <c r="A510" s="85" t="s">
        <v>1732</v>
      </c>
      <c r="B510" s="84" t="s">
        <v>1789</v>
      </c>
      <c r="C510" s="79">
        <v>7</v>
      </c>
      <c r="D510" s="109">
        <v>0.010262444964058752</v>
      </c>
      <c r="E510" s="109">
        <v>1.3866263433142596</v>
      </c>
      <c r="F510" s="79" t="s">
        <v>1652</v>
      </c>
      <c r="G510" s="79" t="b">
        <v>0</v>
      </c>
      <c r="H510" s="79" t="b">
        <v>0</v>
      </c>
      <c r="I510" s="79" t="b">
        <v>0</v>
      </c>
      <c r="J510" s="79" t="b">
        <v>0</v>
      </c>
      <c r="K510" s="79" t="b">
        <v>0</v>
      </c>
      <c r="L510" s="79" t="b">
        <v>0</v>
      </c>
    </row>
    <row r="511" spans="1:12" ht="15">
      <c r="A511" s="85" t="s">
        <v>1789</v>
      </c>
      <c r="B511" s="84" t="s">
        <v>1767</v>
      </c>
      <c r="C511" s="79">
        <v>7</v>
      </c>
      <c r="D511" s="109">
        <v>0.010262444964058752</v>
      </c>
      <c r="E511" s="109">
        <v>1.6876563389782409</v>
      </c>
      <c r="F511" s="79" t="s">
        <v>1652</v>
      </c>
      <c r="G511" s="79" t="b">
        <v>0</v>
      </c>
      <c r="H511" s="79" t="b">
        <v>0</v>
      </c>
      <c r="I511" s="79" t="b">
        <v>0</v>
      </c>
      <c r="J511" s="79" t="b">
        <v>0</v>
      </c>
      <c r="K511" s="79" t="b">
        <v>0</v>
      </c>
      <c r="L511" s="79" t="b">
        <v>0</v>
      </c>
    </row>
    <row r="512" spans="1:12" ht="15">
      <c r="A512" s="85" t="s">
        <v>1767</v>
      </c>
      <c r="B512" s="84" t="s">
        <v>1732</v>
      </c>
      <c r="C512" s="79">
        <v>7</v>
      </c>
      <c r="D512" s="109">
        <v>0.010262444964058752</v>
      </c>
      <c r="E512" s="109">
        <v>1.3866263433142596</v>
      </c>
      <c r="F512" s="79" t="s">
        <v>1652</v>
      </c>
      <c r="G512" s="79" t="b">
        <v>0</v>
      </c>
      <c r="H512" s="79" t="b">
        <v>0</v>
      </c>
      <c r="I512" s="79" t="b">
        <v>0</v>
      </c>
      <c r="J512" s="79" t="b">
        <v>0</v>
      </c>
      <c r="K512" s="79" t="b">
        <v>0</v>
      </c>
      <c r="L512" s="79" t="b">
        <v>0</v>
      </c>
    </row>
    <row r="513" spans="1:12" ht="15">
      <c r="A513" s="85" t="s">
        <v>1732</v>
      </c>
      <c r="B513" s="84" t="s">
        <v>1790</v>
      </c>
      <c r="C513" s="79">
        <v>7</v>
      </c>
      <c r="D513" s="109">
        <v>0.010262444964058752</v>
      </c>
      <c r="E513" s="109">
        <v>1.3866263433142596</v>
      </c>
      <c r="F513" s="79" t="s">
        <v>1652</v>
      </c>
      <c r="G513" s="79" t="b">
        <v>0</v>
      </c>
      <c r="H513" s="79" t="b">
        <v>0</v>
      </c>
      <c r="I513" s="79" t="b">
        <v>0</v>
      </c>
      <c r="J513" s="79" t="b">
        <v>0</v>
      </c>
      <c r="K513" s="79" t="b">
        <v>0</v>
      </c>
      <c r="L513" s="79" t="b">
        <v>0</v>
      </c>
    </row>
    <row r="514" spans="1:12" ht="15">
      <c r="A514" s="85" t="s">
        <v>1790</v>
      </c>
      <c r="B514" s="84" t="s">
        <v>1705</v>
      </c>
      <c r="C514" s="79">
        <v>7</v>
      </c>
      <c r="D514" s="109">
        <v>0.010262444964058752</v>
      </c>
      <c r="E514" s="109">
        <v>1.5327543789924976</v>
      </c>
      <c r="F514" s="79" t="s">
        <v>1652</v>
      </c>
      <c r="G514" s="79" t="b">
        <v>0</v>
      </c>
      <c r="H514" s="79" t="b">
        <v>0</v>
      </c>
      <c r="I514" s="79" t="b">
        <v>0</v>
      </c>
      <c r="J514" s="79" t="b">
        <v>0</v>
      </c>
      <c r="K514" s="79" t="b">
        <v>0</v>
      </c>
      <c r="L514" s="79" t="b">
        <v>0</v>
      </c>
    </row>
    <row r="515" spans="1:12" ht="15">
      <c r="A515" s="85" t="s">
        <v>1705</v>
      </c>
      <c r="B515" s="84" t="s">
        <v>1760</v>
      </c>
      <c r="C515" s="79">
        <v>7</v>
      </c>
      <c r="D515" s="109">
        <v>0.010262444964058752</v>
      </c>
      <c r="E515" s="109">
        <v>1.5327543789924976</v>
      </c>
      <c r="F515" s="79" t="s">
        <v>1652</v>
      </c>
      <c r="G515" s="79" t="b">
        <v>0</v>
      </c>
      <c r="H515" s="79" t="b">
        <v>0</v>
      </c>
      <c r="I515" s="79" t="b">
        <v>0</v>
      </c>
      <c r="J515" s="79" t="b">
        <v>0</v>
      </c>
      <c r="K515" s="79" t="b">
        <v>0</v>
      </c>
      <c r="L515" s="79" t="b">
        <v>0</v>
      </c>
    </row>
    <row r="516" spans="1:12" ht="15">
      <c r="A516" s="85" t="s">
        <v>1760</v>
      </c>
      <c r="B516" s="84" t="s">
        <v>1758</v>
      </c>
      <c r="C516" s="79">
        <v>7</v>
      </c>
      <c r="D516" s="109">
        <v>0.010262444964058752</v>
      </c>
      <c r="E516" s="109">
        <v>1.6876563389782409</v>
      </c>
      <c r="F516" s="79" t="s">
        <v>1652</v>
      </c>
      <c r="G516" s="79" t="b">
        <v>0</v>
      </c>
      <c r="H516" s="79" t="b">
        <v>0</v>
      </c>
      <c r="I516" s="79" t="b">
        <v>0</v>
      </c>
      <c r="J516" s="79" t="b">
        <v>0</v>
      </c>
      <c r="K516" s="79" t="b">
        <v>0</v>
      </c>
      <c r="L516" s="79" t="b">
        <v>0</v>
      </c>
    </row>
    <row r="517" spans="1:12" ht="15">
      <c r="A517" s="85" t="s">
        <v>1724</v>
      </c>
      <c r="B517" s="84" t="s">
        <v>1725</v>
      </c>
      <c r="C517" s="79">
        <v>3</v>
      </c>
      <c r="D517" s="109">
        <v>0.007422657427331042</v>
      </c>
      <c r="E517" s="109">
        <v>0.6296643920005541</v>
      </c>
      <c r="F517" s="79" t="s">
        <v>1652</v>
      </c>
      <c r="G517" s="79" t="b">
        <v>0</v>
      </c>
      <c r="H517" s="79" t="b">
        <v>0</v>
      </c>
      <c r="I517" s="79" t="b">
        <v>0</v>
      </c>
      <c r="J517" s="79" t="b">
        <v>0</v>
      </c>
      <c r="K517" s="79" t="b">
        <v>0</v>
      </c>
      <c r="L517" s="79" t="b">
        <v>0</v>
      </c>
    </row>
    <row r="518" spans="1:12" ht="15">
      <c r="A518" s="85" t="s">
        <v>1725</v>
      </c>
      <c r="B518" s="84" t="s">
        <v>1863</v>
      </c>
      <c r="C518" s="79">
        <v>3</v>
      </c>
      <c r="D518" s="109">
        <v>0.007422657427331042</v>
      </c>
      <c r="E518" s="109">
        <v>1.1525431372808916</v>
      </c>
      <c r="F518" s="79" t="s">
        <v>1652</v>
      </c>
      <c r="G518" s="79" t="b">
        <v>0</v>
      </c>
      <c r="H518" s="79" t="b">
        <v>0</v>
      </c>
      <c r="I518" s="79" t="b">
        <v>0</v>
      </c>
      <c r="J518" s="79" t="b">
        <v>0</v>
      </c>
      <c r="K518" s="79" t="b">
        <v>0</v>
      </c>
      <c r="L518" s="79" t="b">
        <v>0</v>
      </c>
    </row>
    <row r="519" spans="1:12" ht="15">
      <c r="A519" s="85" t="s">
        <v>1863</v>
      </c>
      <c r="B519" s="84" t="s">
        <v>1705</v>
      </c>
      <c r="C519" s="79">
        <v>3</v>
      </c>
      <c r="D519" s="109">
        <v>0.007422657427331042</v>
      </c>
      <c r="E519" s="109">
        <v>1.5327543789924978</v>
      </c>
      <c r="F519" s="79" t="s">
        <v>1652</v>
      </c>
      <c r="G519" s="79" t="b">
        <v>0</v>
      </c>
      <c r="H519" s="79" t="b">
        <v>0</v>
      </c>
      <c r="I519" s="79" t="b">
        <v>0</v>
      </c>
      <c r="J519" s="79" t="b">
        <v>0</v>
      </c>
      <c r="K519" s="79" t="b">
        <v>0</v>
      </c>
      <c r="L519" s="79" t="b">
        <v>0</v>
      </c>
    </row>
    <row r="520" spans="1:12" ht="15">
      <c r="A520" s="85" t="s">
        <v>1705</v>
      </c>
      <c r="B520" s="84" t="s">
        <v>1819</v>
      </c>
      <c r="C520" s="79">
        <v>3</v>
      </c>
      <c r="D520" s="109">
        <v>0.007422657427331042</v>
      </c>
      <c r="E520" s="109">
        <v>1.5327543789924978</v>
      </c>
      <c r="F520" s="79" t="s">
        <v>1652</v>
      </c>
      <c r="G520" s="79" t="b">
        <v>0</v>
      </c>
      <c r="H520" s="79" t="b">
        <v>0</v>
      </c>
      <c r="I520" s="79" t="b">
        <v>0</v>
      </c>
      <c r="J520" s="79" t="b">
        <v>0</v>
      </c>
      <c r="K520" s="79" t="b">
        <v>0</v>
      </c>
      <c r="L520" s="79" t="b">
        <v>0</v>
      </c>
    </row>
    <row r="521" spans="1:12" ht="15">
      <c r="A521" s="85" t="s">
        <v>1819</v>
      </c>
      <c r="B521" s="84" t="s">
        <v>1791</v>
      </c>
      <c r="C521" s="79">
        <v>3</v>
      </c>
      <c r="D521" s="109">
        <v>0.007422657427331042</v>
      </c>
      <c r="E521" s="109">
        <v>2.0556331242728354</v>
      </c>
      <c r="F521" s="79" t="s">
        <v>1652</v>
      </c>
      <c r="G521" s="79" t="b">
        <v>0</v>
      </c>
      <c r="H521" s="79" t="b">
        <v>0</v>
      </c>
      <c r="I521" s="79" t="b">
        <v>0</v>
      </c>
      <c r="J521" s="79" t="b">
        <v>0</v>
      </c>
      <c r="K521" s="79" t="b">
        <v>0</v>
      </c>
      <c r="L521" s="79" t="b">
        <v>0</v>
      </c>
    </row>
    <row r="522" spans="1:12" ht="15">
      <c r="A522" s="85" t="s">
        <v>1791</v>
      </c>
      <c r="B522" s="84" t="s">
        <v>1703</v>
      </c>
      <c r="C522" s="79">
        <v>3</v>
      </c>
      <c r="D522" s="109">
        <v>0.007422657427331042</v>
      </c>
      <c r="E522" s="109">
        <v>1.1525431372808916</v>
      </c>
      <c r="F522" s="79" t="s">
        <v>1652</v>
      </c>
      <c r="G522" s="79" t="b">
        <v>0</v>
      </c>
      <c r="H522" s="79" t="b">
        <v>0</v>
      </c>
      <c r="I522" s="79" t="b">
        <v>0</v>
      </c>
      <c r="J522" s="79" t="b">
        <v>0</v>
      </c>
      <c r="K522" s="79" t="b">
        <v>0</v>
      </c>
      <c r="L522" s="79" t="b">
        <v>0</v>
      </c>
    </row>
    <row r="523" spans="1:12" ht="15">
      <c r="A523" s="85" t="s">
        <v>1703</v>
      </c>
      <c r="B523" s="84" t="s">
        <v>1728</v>
      </c>
      <c r="C523" s="79">
        <v>3</v>
      </c>
      <c r="D523" s="109">
        <v>0.007422657427331042</v>
      </c>
      <c r="E523" s="109">
        <v>1.5327543789924978</v>
      </c>
      <c r="F523" s="79" t="s">
        <v>1652</v>
      </c>
      <c r="G523" s="79" t="b">
        <v>0</v>
      </c>
      <c r="H523" s="79" t="b">
        <v>0</v>
      </c>
      <c r="I523" s="79" t="b">
        <v>0</v>
      </c>
      <c r="J523" s="79" t="b">
        <v>0</v>
      </c>
      <c r="K523" s="79" t="b">
        <v>0</v>
      </c>
      <c r="L523" s="79" t="b">
        <v>0</v>
      </c>
    </row>
    <row r="524" spans="1:12" ht="15">
      <c r="A524" s="85" t="s">
        <v>1728</v>
      </c>
      <c r="B524" s="84" t="s">
        <v>1902</v>
      </c>
      <c r="C524" s="79">
        <v>3</v>
      </c>
      <c r="D524" s="109">
        <v>0.007422657427331042</v>
      </c>
      <c r="E524" s="109">
        <v>2.0556331242728354</v>
      </c>
      <c r="F524" s="79" t="s">
        <v>1652</v>
      </c>
      <c r="G524" s="79" t="b">
        <v>0</v>
      </c>
      <c r="H524" s="79" t="b">
        <v>0</v>
      </c>
      <c r="I524" s="79" t="b">
        <v>0</v>
      </c>
      <c r="J524" s="79" t="b">
        <v>0</v>
      </c>
      <c r="K524" s="79" t="b">
        <v>0</v>
      </c>
      <c r="L524" s="79" t="b">
        <v>0</v>
      </c>
    </row>
    <row r="525" spans="1:12" ht="15">
      <c r="A525" s="85" t="s">
        <v>1902</v>
      </c>
      <c r="B525" s="84" t="s">
        <v>1864</v>
      </c>
      <c r="C525" s="79">
        <v>3</v>
      </c>
      <c r="D525" s="109">
        <v>0.007422657427331042</v>
      </c>
      <c r="E525" s="109">
        <v>2.0556331242728354</v>
      </c>
      <c r="F525" s="79" t="s">
        <v>1652</v>
      </c>
      <c r="G525" s="79" t="b">
        <v>0</v>
      </c>
      <c r="H525" s="79" t="b">
        <v>0</v>
      </c>
      <c r="I525" s="79" t="b">
        <v>0</v>
      </c>
      <c r="J525" s="79" t="b">
        <v>0</v>
      </c>
      <c r="K525" s="79" t="b">
        <v>0</v>
      </c>
      <c r="L525" s="79" t="b">
        <v>0</v>
      </c>
    </row>
    <row r="526" spans="1:12" ht="15">
      <c r="A526" s="85" t="s">
        <v>1864</v>
      </c>
      <c r="B526" s="84" t="s">
        <v>368</v>
      </c>
      <c r="C526" s="79">
        <v>3</v>
      </c>
      <c r="D526" s="109">
        <v>0.007422657427331042</v>
      </c>
      <c r="E526" s="109">
        <v>1.302305457614224</v>
      </c>
      <c r="F526" s="79" t="s">
        <v>1652</v>
      </c>
      <c r="G526" s="79" t="b">
        <v>0</v>
      </c>
      <c r="H526" s="79" t="b">
        <v>0</v>
      </c>
      <c r="I526" s="79" t="b">
        <v>0</v>
      </c>
      <c r="J526" s="79" t="b">
        <v>0</v>
      </c>
      <c r="K526" s="79" t="b">
        <v>0</v>
      </c>
      <c r="L526" s="79" t="b">
        <v>0</v>
      </c>
    </row>
    <row r="527" spans="1:12" ht="15">
      <c r="A527" s="85" t="s">
        <v>1729</v>
      </c>
      <c r="B527" s="84" t="s">
        <v>1771</v>
      </c>
      <c r="C527" s="79">
        <v>8</v>
      </c>
      <c r="D527" s="109">
        <v>0.006716287066194727</v>
      </c>
      <c r="E527" s="109">
        <v>1.4809645938014226</v>
      </c>
      <c r="F527" s="79" t="s">
        <v>1653</v>
      </c>
      <c r="G527" s="79" t="b">
        <v>0</v>
      </c>
      <c r="H527" s="79" t="b">
        <v>0</v>
      </c>
      <c r="I527" s="79" t="b">
        <v>0</v>
      </c>
      <c r="J527" s="79" t="b">
        <v>0</v>
      </c>
      <c r="K527" s="79" t="b">
        <v>0</v>
      </c>
      <c r="L527" s="79" t="b">
        <v>0</v>
      </c>
    </row>
    <row r="528" spans="1:12" ht="15">
      <c r="A528" s="85" t="s">
        <v>1771</v>
      </c>
      <c r="B528" s="84" t="s">
        <v>1726</v>
      </c>
      <c r="C528" s="79">
        <v>8</v>
      </c>
      <c r="D528" s="109">
        <v>0.006716287066194727</v>
      </c>
      <c r="E528" s="109">
        <v>1.3348365581231847</v>
      </c>
      <c r="F528" s="79" t="s">
        <v>1653</v>
      </c>
      <c r="G528" s="79" t="b">
        <v>0</v>
      </c>
      <c r="H528" s="79" t="b">
        <v>0</v>
      </c>
      <c r="I528" s="79" t="b">
        <v>0</v>
      </c>
      <c r="J528" s="79" t="b">
        <v>0</v>
      </c>
      <c r="K528" s="79" t="b">
        <v>0</v>
      </c>
      <c r="L528" s="79" t="b">
        <v>0</v>
      </c>
    </row>
    <row r="529" spans="1:12" ht="15">
      <c r="A529" s="85" t="s">
        <v>1726</v>
      </c>
      <c r="B529" s="84" t="s">
        <v>1772</v>
      </c>
      <c r="C529" s="79">
        <v>8</v>
      </c>
      <c r="D529" s="109">
        <v>0.006716287066194727</v>
      </c>
      <c r="E529" s="109">
        <v>1.3348365581231847</v>
      </c>
      <c r="F529" s="79" t="s">
        <v>1653</v>
      </c>
      <c r="G529" s="79" t="b">
        <v>0</v>
      </c>
      <c r="H529" s="79" t="b">
        <v>0</v>
      </c>
      <c r="I529" s="79" t="b">
        <v>0</v>
      </c>
      <c r="J529" s="79" t="b">
        <v>0</v>
      </c>
      <c r="K529" s="79" t="b">
        <v>0</v>
      </c>
      <c r="L529" s="79" t="b">
        <v>0</v>
      </c>
    </row>
    <row r="530" spans="1:12" ht="15">
      <c r="A530" s="85" t="s">
        <v>1772</v>
      </c>
      <c r="B530" s="84" t="s">
        <v>1735</v>
      </c>
      <c r="C530" s="79">
        <v>8</v>
      </c>
      <c r="D530" s="109">
        <v>0.006716287066194727</v>
      </c>
      <c r="E530" s="109">
        <v>1.452935870201179</v>
      </c>
      <c r="F530" s="79" t="s">
        <v>1653</v>
      </c>
      <c r="G530" s="79" t="b">
        <v>0</v>
      </c>
      <c r="H530" s="79" t="b">
        <v>0</v>
      </c>
      <c r="I530" s="79" t="b">
        <v>0</v>
      </c>
      <c r="J530" s="79" t="b">
        <v>0</v>
      </c>
      <c r="K530" s="79" t="b">
        <v>0</v>
      </c>
      <c r="L530" s="79" t="b">
        <v>0</v>
      </c>
    </row>
    <row r="531" spans="1:12" ht="15">
      <c r="A531" s="85" t="s">
        <v>1735</v>
      </c>
      <c r="B531" s="84" t="s">
        <v>1773</v>
      </c>
      <c r="C531" s="79">
        <v>8</v>
      </c>
      <c r="D531" s="109">
        <v>0.006716287066194727</v>
      </c>
      <c r="E531" s="109">
        <v>1.452935870201179</v>
      </c>
      <c r="F531" s="79" t="s">
        <v>1653</v>
      </c>
      <c r="G531" s="79" t="b">
        <v>0</v>
      </c>
      <c r="H531" s="79" t="b">
        <v>0</v>
      </c>
      <c r="I531" s="79" t="b">
        <v>0</v>
      </c>
      <c r="J531" s="79" t="b">
        <v>0</v>
      </c>
      <c r="K531" s="79" t="b">
        <v>0</v>
      </c>
      <c r="L531" s="79" t="b">
        <v>0</v>
      </c>
    </row>
    <row r="532" spans="1:12" ht="15">
      <c r="A532" s="85" t="s">
        <v>1773</v>
      </c>
      <c r="B532" s="84" t="s">
        <v>1774</v>
      </c>
      <c r="C532" s="79">
        <v>8</v>
      </c>
      <c r="D532" s="109">
        <v>0.006716287066194727</v>
      </c>
      <c r="E532" s="109">
        <v>1.7539658658651602</v>
      </c>
      <c r="F532" s="79" t="s">
        <v>1653</v>
      </c>
      <c r="G532" s="79" t="b">
        <v>0</v>
      </c>
      <c r="H532" s="79" t="b">
        <v>0</v>
      </c>
      <c r="I532" s="79" t="b">
        <v>0</v>
      </c>
      <c r="J532" s="79" t="b">
        <v>0</v>
      </c>
      <c r="K532" s="79" t="b">
        <v>0</v>
      </c>
      <c r="L532" s="79" t="b">
        <v>0</v>
      </c>
    </row>
    <row r="533" spans="1:12" ht="15">
      <c r="A533" s="85" t="s">
        <v>1774</v>
      </c>
      <c r="B533" s="84" t="s">
        <v>1748</v>
      </c>
      <c r="C533" s="79">
        <v>8</v>
      </c>
      <c r="D533" s="109">
        <v>0.006716287066194727</v>
      </c>
      <c r="E533" s="109">
        <v>1.577874606809479</v>
      </c>
      <c r="F533" s="79" t="s">
        <v>1653</v>
      </c>
      <c r="G533" s="79" t="b">
        <v>0</v>
      </c>
      <c r="H533" s="79" t="b">
        <v>0</v>
      </c>
      <c r="I533" s="79" t="b">
        <v>0</v>
      </c>
      <c r="J533" s="79" t="b">
        <v>0</v>
      </c>
      <c r="K533" s="79" t="b">
        <v>0</v>
      </c>
      <c r="L533" s="79" t="b">
        <v>0</v>
      </c>
    </row>
    <row r="534" spans="1:12" ht="15">
      <c r="A534" s="85" t="s">
        <v>1748</v>
      </c>
      <c r="B534" s="84" t="s">
        <v>1757</v>
      </c>
      <c r="C534" s="79">
        <v>8</v>
      </c>
      <c r="D534" s="109">
        <v>0.006716287066194727</v>
      </c>
      <c r="E534" s="109">
        <v>1.577874606809479</v>
      </c>
      <c r="F534" s="79" t="s">
        <v>1653</v>
      </c>
      <c r="G534" s="79" t="b">
        <v>0</v>
      </c>
      <c r="H534" s="79" t="b">
        <v>0</v>
      </c>
      <c r="I534" s="79" t="b">
        <v>0</v>
      </c>
      <c r="J534" s="79" t="b">
        <v>0</v>
      </c>
      <c r="K534" s="79" t="b">
        <v>0</v>
      </c>
      <c r="L534" s="79" t="b">
        <v>0</v>
      </c>
    </row>
    <row r="535" spans="1:12" ht="15">
      <c r="A535" s="85" t="s">
        <v>1757</v>
      </c>
      <c r="B535" s="84" t="s">
        <v>1735</v>
      </c>
      <c r="C535" s="79">
        <v>8</v>
      </c>
      <c r="D535" s="109">
        <v>0.006716287066194727</v>
      </c>
      <c r="E535" s="109">
        <v>1.452935870201179</v>
      </c>
      <c r="F535" s="79" t="s">
        <v>1653</v>
      </c>
      <c r="G535" s="79" t="b">
        <v>0</v>
      </c>
      <c r="H535" s="79" t="b">
        <v>0</v>
      </c>
      <c r="I535" s="79" t="b">
        <v>0</v>
      </c>
      <c r="J535" s="79" t="b">
        <v>0</v>
      </c>
      <c r="K535" s="79" t="b">
        <v>0</v>
      </c>
      <c r="L535" s="79" t="b">
        <v>0</v>
      </c>
    </row>
    <row r="536" spans="1:12" ht="15">
      <c r="A536" s="85" t="s">
        <v>1735</v>
      </c>
      <c r="B536" s="84" t="s">
        <v>1775</v>
      </c>
      <c r="C536" s="79">
        <v>8</v>
      </c>
      <c r="D536" s="109">
        <v>0.006716287066194727</v>
      </c>
      <c r="E536" s="109">
        <v>1.452935870201179</v>
      </c>
      <c r="F536" s="79" t="s">
        <v>1653</v>
      </c>
      <c r="G536" s="79" t="b">
        <v>0</v>
      </c>
      <c r="H536" s="79" t="b">
        <v>0</v>
      </c>
      <c r="I536" s="79" t="b">
        <v>0</v>
      </c>
      <c r="J536" s="79" t="b">
        <v>0</v>
      </c>
      <c r="K536" s="79" t="b">
        <v>0</v>
      </c>
      <c r="L536" s="79" t="b">
        <v>0</v>
      </c>
    </row>
    <row r="537" spans="1:12" ht="15">
      <c r="A537" s="85" t="s">
        <v>1775</v>
      </c>
      <c r="B537" s="84" t="s">
        <v>1776</v>
      </c>
      <c r="C537" s="79">
        <v>8</v>
      </c>
      <c r="D537" s="109">
        <v>0.006716287066194727</v>
      </c>
      <c r="E537" s="109">
        <v>1.7539658658651602</v>
      </c>
      <c r="F537" s="79" t="s">
        <v>1653</v>
      </c>
      <c r="G537" s="79" t="b">
        <v>0</v>
      </c>
      <c r="H537" s="79" t="b">
        <v>0</v>
      </c>
      <c r="I537" s="79" t="b">
        <v>0</v>
      </c>
      <c r="J537" s="79" t="b">
        <v>0</v>
      </c>
      <c r="K537" s="79" t="b">
        <v>0</v>
      </c>
      <c r="L537" s="79" t="b">
        <v>0</v>
      </c>
    </row>
    <row r="538" spans="1:12" ht="15">
      <c r="A538" s="85" t="s">
        <v>1776</v>
      </c>
      <c r="B538" s="84" t="s">
        <v>268</v>
      </c>
      <c r="C538" s="79">
        <v>8</v>
      </c>
      <c r="D538" s="109">
        <v>0.006716287066194727</v>
      </c>
      <c r="E538" s="109">
        <v>1.7539658658651602</v>
      </c>
      <c r="F538" s="79" t="s">
        <v>1653</v>
      </c>
      <c r="G538" s="79" t="b">
        <v>0</v>
      </c>
      <c r="H538" s="79" t="b">
        <v>0</v>
      </c>
      <c r="I538" s="79" t="b">
        <v>0</v>
      </c>
      <c r="J538" s="79" t="b">
        <v>0</v>
      </c>
      <c r="K538" s="79" t="b">
        <v>0</v>
      </c>
      <c r="L538" s="79" t="b">
        <v>0</v>
      </c>
    </row>
    <row r="539" spans="1:12" ht="15">
      <c r="A539" s="85" t="s">
        <v>268</v>
      </c>
      <c r="B539" s="84" t="s">
        <v>1777</v>
      </c>
      <c r="C539" s="79">
        <v>8</v>
      </c>
      <c r="D539" s="109">
        <v>0.006716287066194727</v>
      </c>
      <c r="E539" s="109">
        <v>1.7539658658651602</v>
      </c>
      <c r="F539" s="79" t="s">
        <v>1653</v>
      </c>
      <c r="G539" s="79" t="b">
        <v>0</v>
      </c>
      <c r="H539" s="79" t="b">
        <v>0</v>
      </c>
      <c r="I539" s="79" t="b">
        <v>0</v>
      </c>
      <c r="J539" s="79" t="b">
        <v>0</v>
      </c>
      <c r="K539" s="79" t="b">
        <v>0</v>
      </c>
      <c r="L539" s="79" t="b">
        <v>0</v>
      </c>
    </row>
    <row r="540" spans="1:12" ht="15">
      <c r="A540" s="85" t="s">
        <v>1777</v>
      </c>
      <c r="B540" s="84" t="s">
        <v>1778</v>
      </c>
      <c r="C540" s="79">
        <v>8</v>
      </c>
      <c r="D540" s="109">
        <v>0.006716287066194727</v>
      </c>
      <c r="E540" s="109">
        <v>1.7539658658651602</v>
      </c>
      <c r="F540" s="79" t="s">
        <v>1653</v>
      </c>
      <c r="G540" s="79" t="b">
        <v>0</v>
      </c>
      <c r="H540" s="79" t="b">
        <v>0</v>
      </c>
      <c r="I540" s="79" t="b">
        <v>0</v>
      </c>
      <c r="J540" s="79" t="b">
        <v>0</v>
      </c>
      <c r="K540" s="79" t="b">
        <v>0</v>
      </c>
      <c r="L540" s="79" t="b">
        <v>0</v>
      </c>
    </row>
    <row r="541" spans="1:12" ht="15">
      <c r="A541" s="85" t="s">
        <v>1778</v>
      </c>
      <c r="B541" s="84" t="s">
        <v>1779</v>
      </c>
      <c r="C541" s="79">
        <v>8</v>
      </c>
      <c r="D541" s="109">
        <v>0.006716287066194727</v>
      </c>
      <c r="E541" s="109">
        <v>1.7539658658651602</v>
      </c>
      <c r="F541" s="79" t="s">
        <v>1653</v>
      </c>
      <c r="G541" s="79" t="b">
        <v>0</v>
      </c>
      <c r="H541" s="79" t="b">
        <v>0</v>
      </c>
      <c r="I541" s="79" t="b">
        <v>0</v>
      </c>
      <c r="J541" s="79" t="b">
        <v>0</v>
      </c>
      <c r="K541" s="79" t="b">
        <v>0</v>
      </c>
      <c r="L541" s="79" t="b">
        <v>0</v>
      </c>
    </row>
    <row r="542" spans="1:12" ht="15">
      <c r="A542" s="85" t="s">
        <v>1779</v>
      </c>
      <c r="B542" s="84" t="s">
        <v>1780</v>
      </c>
      <c r="C542" s="79">
        <v>8</v>
      </c>
      <c r="D542" s="109">
        <v>0.006716287066194727</v>
      </c>
      <c r="E542" s="109">
        <v>1.7539658658651602</v>
      </c>
      <c r="F542" s="79" t="s">
        <v>1653</v>
      </c>
      <c r="G542" s="79" t="b">
        <v>0</v>
      </c>
      <c r="H542" s="79" t="b">
        <v>0</v>
      </c>
      <c r="I542" s="79" t="b">
        <v>0</v>
      </c>
      <c r="J542" s="79" t="b">
        <v>0</v>
      </c>
      <c r="K542" s="79" t="b">
        <v>0</v>
      </c>
      <c r="L542" s="79" t="b">
        <v>0</v>
      </c>
    </row>
    <row r="543" spans="1:12" ht="15">
      <c r="A543" s="85" t="s">
        <v>1780</v>
      </c>
      <c r="B543" s="84" t="s">
        <v>1781</v>
      </c>
      <c r="C543" s="79">
        <v>8</v>
      </c>
      <c r="D543" s="109">
        <v>0.006716287066194727</v>
      </c>
      <c r="E543" s="109">
        <v>1.7539658658651602</v>
      </c>
      <c r="F543" s="79" t="s">
        <v>1653</v>
      </c>
      <c r="G543" s="79" t="b">
        <v>0</v>
      </c>
      <c r="H543" s="79" t="b">
        <v>0</v>
      </c>
      <c r="I543" s="79" t="b">
        <v>0</v>
      </c>
      <c r="J543" s="79" t="b">
        <v>0</v>
      </c>
      <c r="K543" s="79" t="b">
        <v>0</v>
      </c>
      <c r="L543" s="79" t="b">
        <v>0</v>
      </c>
    </row>
    <row r="544" spans="1:12" ht="15">
      <c r="A544" s="85" t="s">
        <v>1781</v>
      </c>
      <c r="B544" s="84" t="s">
        <v>1747</v>
      </c>
      <c r="C544" s="79">
        <v>8</v>
      </c>
      <c r="D544" s="109">
        <v>0.006716287066194727</v>
      </c>
      <c r="E544" s="109">
        <v>1.7539658658651602</v>
      </c>
      <c r="F544" s="79" t="s">
        <v>1653</v>
      </c>
      <c r="G544" s="79" t="b">
        <v>0</v>
      </c>
      <c r="H544" s="79" t="b">
        <v>0</v>
      </c>
      <c r="I544" s="79" t="b">
        <v>0</v>
      </c>
      <c r="J544" s="79" t="b">
        <v>0</v>
      </c>
      <c r="K544" s="79" t="b">
        <v>0</v>
      </c>
      <c r="L544" s="79" t="b">
        <v>0</v>
      </c>
    </row>
    <row r="545" spans="1:12" ht="15">
      <c r="A545" s="85" t="s">
        <v>1747</v>
      </c>
      <c r="B545" s="84" t="s">
        <v>1733</v>
      </c>
      <c r="C545" s="79">
        <v>8</v>
      </c>
      <c r="D545" s="109">
        <v>0.006716287066194727</v>
      </c>
      <c r="E545" s="109">
        <v>1.577874606809479</v>
      </c>
      <c r="F545" s="79" t="s">
        <v>1653</v>
      </c>
      <c r="G545" s="79" t="b">
        <v>0</v>
      </c>
      <c r="H545" s="79" t="b">
        <v>0</v>
      </c>
      <c r="I545" s="79" t="b">
        <v>0</v>
      </c>
      <c r="J545" s="79" t="b">
        <v>0</v>
      </c>
      <c r="K545" s="79" t="b">
        <v>0</v>
      </c>
      <c r="L545" s="79" t="b">
        <v>0</v>
      </c>
    </row>
    <row r="546" spans="1:12" ht="15">
      <c r="A546" s="85" t="s">
        <v>1733</v>
      </c>
      <c r="B546" s="84" t="s">
        <v>1703</v>
      </c>
      <c r="C546" s="79">
        <v>8</v>
      </c>
      <c r="D546" s="109">
        <v>0.006716287066194727</v>
      </c>
      <c r="E546" s="109">
        <v>1.3560258571931227</v>
      </c>
      <c r="F546" s="79" t="s">
        <v>1653</v>
      </c>
      <c r="G546" s="79" t="b">
        <v>0</v>
      </c>
      <c r="H546" s="79" t="b">
        <v>0</v>
      </c>
      <c r="I546" s="79" t="b">
        <v>0</v>
      </c>
      <c r="J546" s="79" t="b">
        <v>0</v>
      </c>
      <c r="K546" s="79" t="b">
        <v>0</v>
      </c>
      <c r="L546" s="79" t="b">
        <v>0</v>
      </c>
    </row>
    <row r="547" spans="1:12" ht="15">
      <c r="A547" s="85" t="s">
        <v>1768</v>
      </c>
      <c r="B547" s="84" t="s">
        <v>1821</v>
      </c>
      <c r="C547" s="79">
        <v>5</v>
      </c>
      <c r="D547" s="109">
        <v>0.00635084379037935</v>
      </c>
      <c r="E547" s="109">
        <v>1.7539658658651602</v>
      </c>
      <c r="F547" s="79" t="s">
        <v>1653</v>
      </c>
      <c r="G547" s="79" t="b">
        <v>0</v>
      </c>
      <c r="H547" s="79" t="b">
        <v>0</v>
      </c>
      <c r="I547" s="79" t="b">
        <v>0</v>
      </c>
      <c r="J547" s="79" t="b">
        <v>0</v>
      </c>
      <c r="K547" s="79" t="b">
        <v>0</v>
      </c>
      <c r="L547" s="79" t="b">
        <v>0</v>
      </c>
    </row>
    <row r="548" spans="1:12" ht="15">
      <c r="A548" s="85" t="s">
        <v>1821</v>
      </c>
      <c r="B548" s="84" t="s">
        <v>1822</v>
      </c>
      <c r="C548" s="79">
        <v>5</v>
      </c>
      <c r="D548" s="109">
        <v>0.00635084379037935</v>
      </c>
      <c r="E548" s="109">
        <v>1.958085848521085</v>
      </c>
      <c r="F548" s="79" t="s">
        <v>1653</v>
      </c>
      <c r="G548" s="79" t="b">
        <v>0</v>
      </c>
      <c r="H548" s="79" t="b">
        <v>0</v>
      </c>
      <c r="I548" s="79" t="b">
        <v>0</v>
      </c>
      <c r="J548" s="79" t="b">
        <v>0</v>
      </c>
      <c r="K548" s="79" t="b">
        <v>0</v>
      </c>
      <c r="L548" s="79" t="b">
        <v>0</v>
      </c>
    </row>
    <row r="549" spans="1:12" ht="15">
      <c r="A549" s="85" t="s">
        <v>1822</v>
      </c>
      <c r="B549" s="84" t="s">
        <v>1823</v>
      </c>
      <c r="C549" s="79">
        <v>5</v>
      </c>
      <c r="D549" s="109">
        <v>0.00635084379037935</v>
      </c>
      <c r="E549" s="109">
        <v>1.958085848521085</v>
      </c>
      <c r="F549" s="79" t="s">
        <v>1653</v>
      </c>
      <c r="G549" s="79" t="b">
        <v>0</v>
      </c>
      <c r="H549" s="79" t="b">
        <v>0</v>
      </c>
      <c r="I549" s="79" t="b">
        <v>0</v>
      </c>
      <c r="J549" s="79" t="b">
        <v>0</v>
      </c>
      <c r="K549" s="79" t="b">
        <v>0</v>
      </c>
      <c r="L549" s="79" t="b">
        <v>0</v>
      </c>
    </row>
    <row r="550" spans="1:12" ht="15">
      <c r="A550" s="85" t="s">
        <v>1823</v>
      </c>
      <c r="B550" s="84" t="s">
        <v>1755</v>
      </c>
      <c r="C550" s="79">
        <v>5</v>
      </c>
      <c r="D550" s="109">
        <v>0.00635084379037935</v>
      </c>
      <c r="E550" s="109">
        <v>1.657055852857104</v>
      </c>
      <c r="F550" s="79" t="s">
        <v>1653</v>
      </c>
      <c r="G550" s="79" t="b">
        <v>0</v>
      </c>
      <c r="H550" s="79" t="b">
        <v>0</v>
      </c>
      <c r="I550" s="79" t="b">
        <v>0</v>
      </c>
      <c r="J550" s="79" t="b">
        <v>0</v>
      </c>
      <c r="K550" s="79" t="b">
        <v>0</v>
      </c>
      <c r="L550" s="79" t="b">
        <v>0</v>
      </c>
    </row>
    <row r="551" spans="1:12" ht="15">
      <c r="A551" s="85" t="s">
        <v>1755</v>
      </c>
      <c r="B551" s="84" t="s">
        <v>1824</v>
      </c>
      <c r="C551" s="79">
        <v>5</v>
      </c>
      <c r="D551" s="109">
        <v>0.00635084379037935</v>
      </c>
      <c r="E551" s="109">
        <v>1.657055852857104</v>
      </c>
      <c r="F551" s="79" t="s">
        <v>1653</v>
      </c>
      <c r="G551" s="79" t="b">
        <v>0</v>
      </c>
      <c r="H551" s="79" t="b">
        <v>0</v>
      </c>
      <c r="I551" s="79" t="b">
        <v>0</v>
      </c>
      <c r="J551" s="79" t="b">
        <v>0</v>
      </c>
      <c r="K551" s="79" t="b">
        <v>0</v>
      </c>
      <c r="L551" s="79" t="b">
        <v>0</v>
      </c>
    </row>
    <row r="552" spans="1:12" ht="15">
      <c r="A552" s="85" t="s">
        <v>1824</v>
      </c>
      <c r="B552" s="84" t="s">
        <v>1746</v>
      </c>
      <c r="C552" s="79">
        <v>5</v>
      </c>
      <c r="D552" s="109">
        <v>0.00635084379037935</v>
      </c>
      <c r="E552" s="109">
        <v>1.577874606809479</v>
      </c>
      <c r="F552" s="79" t="s">
        <v>1653</v>
      </c>
      <c r="G552" s="79" t="b">
        <v>0</v>
      </c>
      <c r="H552" s="79" t="b">
        <v>0</v>
      </c>
      <c r="I552" s="79" t="b">
        <v>0</v>
      </c>
      <c r="J552" s="79" t="b">
        <v>0</v>
      </c>
      <c r="K552" s="79" t="b">
        <v>0</v>
      </c>
      <c r="L552" s="79" t="b">
        <v>0</v>
      </c>
    </row>
    <row r="553" spans="1:12" ht="15">
      <c r="A553" s="85" t="s">
        <v>1746</v>
      </c>
      <c r="B553" s="84" t="s">
        <v>1825</v>
      </c>
      <c r="C553" s="79">
        <v>5</v>
      </c>
      <c r="D553" s="109">
        <v>0.00635084379037935</v>
      </c>
      <c r="E553" s="109">
        <v>1.577874606809479</v>
      </c>
      <c r="F553" s="79" t="s">
        <v>1653</v>
      </c>
      <c r="G553" s="79" t="b">
        <v>0</v>
      </c>
      <c r="H553" s="79" t="b">
        <v>0</v>
      </c>
      <c r="I553" s="79" t="b">
        <v>0</v>
      </c>
      <c r="J553" s="79" t="b">
        <v>0</v>
      </c>
      <c r="K553" s="79" t="b">
        <v>0</v>
      </c>
      <c r="L553" s="79" t="b">
        <v>0</v>
      </c>
    </row>
    <row r="554" spans="1:12" ht="15">
      <c r="A554" s="85" t="s">
        <v>1825</v>
      </c>
      <c r="B554" s="84" t="s">
        <v>1761</v>
      </c>
      <c r="C554" s="79">
        <v>5</v>
      </c>
      <c r="D554" s="109">
        <v>0.00635084379037935</v>
      </c>
      <c r="E554" s="109">
        <v>1.702813343417779</v>
      </c>
      <c r="F554" s="79" t="s">
        <v>1653</v>
      </c>
      <c r="G554" s="79" t="b">
        <v>0</v>
      </c>
      <c r="H554" s="79" t="b">
        <v>0</v>
      </c>
      <c r="I554" s="79" t="b">
        <v>0</v>
      </c>
      <c r="J554" s="79" t="b">
        <v>0</v>
      </c>
      <c r="K554" s="79" t="b">
        <v>0</v>
      </c>
      <c r="L554" s="79" t="b">
        <v>0</v>
      </c>
    </row>
    <row r="555" spans="1:12" ht="15">
      <c r="A555" s="85" t="s">
        <v>1761</v>
      </c>
      <c r="B555" s="84" t="s">
        <v>1826</v>
      </c>
      <c r="C555" s="79">
        <v>5</v>
      </c>
      <c r="D555" s="109">
        <v>0.00635084379037935</v>
      </c>
      <c r="E555" s="109">
        <v>1.702813343417779</v>
      </c>
      <c r="F555" s="79" t="s">
        <v>1653</v>
      </c>
      <c r="G555" s="79" t="b">
        <v>0</v>
      </c>
      <c r="H555" s="79" t="b">
        <v>0</v>
      </c>
      <c r="I555" s="79" t="b">
        <v>0</v>
      </c>
      <c r="J555" s="79" t="b">
        <v>1</v>
      </c>
      <c r="K555" s="79" t="b">
        <v>0</v>
      </c>
      <c r="L555" s="79" t="b">
        <v>0</v>
      </c>
    </row>
    <row r="556" spans="1:12" ht="15">
      <c r="A556" s="85" t="s">
        <v>1826</v>
      </c>
      <c r="B556" s="84" t="s">
        <v>1827</v>
      </c>
      <c r="C556" s="79">
        <v>5</v>
      </c>
      <c r="D556" s="109">
        <v>0.00635084379037935</v>
      </c>
      <c r="E556" s="109">
        <v>1.958085848521085</v>
      </c>
      <c r="F556" s="79" t="s">
        <v>1653</v>
      </c>
      <c r="G556" s="79" t="b">
        <v>1</v>
      </c>
      <c r="H556" s="79" t="b">
        <v>0</v>
      </c>
      <c r="I556" s="79" t="b">
        <v>0</v>
      </c>
      <c r="J556" s="79" t="b">
        <v>0</v>
      </c>
      <c r="K556" s="79" t="b">
        <v>0</v>
      </c>
      <c r="L556" s="79" t="b">
        <v>0</v>
      </c>
    </row>
    <row r="557" spans="1:12" ht="15">
      <c r="A557" s="85" t="s">
        <v>1827</v>
      </c>
      <c r="B557" s="84" t="s">
        <v>1828</v>
      </c>
      <c r="C557" s="79">
        <v>5</v>
      </c>
      <c r="D557" s="109">
        <v>0.00635084379037935</v>
      </c>
      <c r="E557" s="109">
        <v>1.958085848521085</v>
      </c>
      <c r="F557" s="79" t="s">
        <v>1653</v>
      </c>
      <c r="G557" s="79" t="b">
        <v>0</v>
      </c>
      <c r="H557" s="79" t="b">
        <v>0</v>
      </c>
      <c r="I557" s="79" t="b">
        <v>0</v>
      </c>
      <c r="J557" s="79" t="b">
        <v>0</v>
      </c>
      <c r="K557" s="79" t="b">
        <v>0</v>
      </c>
      <c r="L557" s="79" t="b">
        <v>0</v>
      </c>
    </row>
    <row r="558" spans="1:12" ht="15">
      <c r="A558" s="85" t="s">
        <v>1828</v>
      </c>
      <c r="B558" s="84" t="s">
        <v>1829</v>
      </c>
      <c r="C558" s="79">
        <v>5</v>
      </c>
      <c r="D558" s="109">
        <v>0.00635084379037935</v>
      </c>
      <c r="E558" s="109">
        <v>1.958085848521085</v>
      </c>
      <c r="F558" s="79" t="s">
        <v>1653</v>
      </c>
      <c r="G558" s="79" t="b">
        <v>0</v>
      </c>
      <c r="H558" s="79" t="b">
        <v>0</v>
      </c>
      <c r="I558" s="79" t="b">
        <v>0</v>
      </c>
      <c r="J558" s="79" t="b">
        <v>0</v>
      </c>
      <c r="K558" s="79" t="b">
        <v>0</v>
      </c>
      <c r="L558" s="79" t="b">
        <v>0</v>
      </c>
    </row>
    <row r="559" spans="1:12" ht="15">
      <c r="A559" s="85" t="s">
        <v>1829</v>
      </c>
      <c r="B559" s="84" t="s">
        <v>1703</v>
      </c>
      <c r="C559" s="79">
        <v>5</v>
      </c>
      <c r="D559" s="109">
        <v>0.00635084379037935</v>
      </c>
      <c r="E559" s="109">
        <v>1.3560258571931227</v>
      </c>
      <c r="F559" s="79" t="s">
        <v>1653</v>
      </c>
      <c r="G559" s="79" t="b">
        <v>0</v>
      </c>
      <c r="H559" s="79" t="b">
        <v>0</v>
      </c>
      <c r="I559" s="79" t="b">
        <v>0</v>
      </c>
      <c r="J559" s="79" t="b">
        <v>0</v>
      </c>
      <c r="K559" s="79" t="b">
        <v>0</v>
      </c>
      <c r="L559" s="79" t="b">
        <v>0</v>
      </c>
    </row>
    <row r="560" spans="1:12" ht="15">
      <c r="A560" s="85" t="s">
        <v>1703</v>
      </c>
      <c r="B560" s="84" t="s">
        <v>1830</v>
      </c>
      <c r="C560" s="79">
        <v>5</v>
      </c>
      <c r="D560" s="109">
        <v>0.00635084379037935</v>
      </c>
      <c r="E560" s="109">
        <v>1.702813343417779</v>
      </c>
      <c r="F560" s="79" t="s">
        <v>1653</v>
      </c>
      <c r="G560" s="79" t="b">
        <v>0</v>
      </c>
      <c r="H560" s="79" t="b">
        <v>0</v>
      </c>
      <c r="I560" s="79" t="b">
        <v>0</v>
      </c>
      <c r="J560" s="79" t="b">
        <v>0</v>
      </c>
      <c r="K560" s="79" t="b">
        <v>0</v>
      </c>
      <c r="L560" s="79" t="b">
        <v>0</v>
      </c>
    </row>
    <row r="561" spans="1:12" ht="15">
      <c r="A561" s="85" t="s">
        <v>1830</v>
      </c>
      <c r="B561" s="84" t="s">
        <v>1831</v>
      </c>
      <c r="C561" s="79">
        <v>5</v>
      </c>
      <c r="D561" s="109">
        <v>0.00635084379037935</v>
      </c>
      <c r="E561" s="109">
        <v>1.958085848521085</v>
      </c>
      <c r="F561" s="79" t="s">
        <v>1653</v>
      </c>
      <c r="G561" s="79" t="b">
        <v>0</v>
      </c>
      <c r="H561" s="79" t="b">
        <v>0</v>
      </c>
      <c r="I561" s="79" t="b">
        <v>0</v>
      </c>
      <c r="J561" s="79" t="b">
        <v>0</v>
      </c>
      <c r="K561" s="79" t="b">
        <v>0</v>
      </c>
      <c r="L561" s="79" t="b">
        <v>0</v>
      </c>
    </row>
    <row r="562" spans="1:12" ht="15">
      <c r="A562" s="85" t="s">
        <v>1831</v>
      </c>
      <c r="B562" s="84" t="s">
        <v>1832</v>
      </c>
      <c r="C562" s="79">
        <v>5</v>
      </c>
      <c r="D562" s="109">
        <v>0.00635084379037935</v>
      </c>
      <c r="E562" s="109">
        <v>1.958085848521085</v>
      </c>
      <c r="F562" s="79" t="s">
        <v>1653</v>
      </c>
      <c r="G562" s="79" t="b">
        <v>0</v>
      </c>
      <c r="H562" s="79" t="b">
        <v>0</v>
      </c>
      <c r="I562" s="79" t="b">
        <v>0</v>
      </c>
      <c r="J562" s="79" t="b">
        <v>0</v>
      </c>
      <c r="K562" s="79" t="b">
        <v>0</v>
      </c>
      <c r="L562" s="79" t="b">
        <v>0</v>
      </c>
    </row>
    <row r="563" spans="1:12" ht="15">
      <c r="A563" s="85" t="s">
        <v>1832</v>
      </c>
      <c r="B563" s="84" t="s">
        <v>1756</v>
      </c>
      <c r="C563" s="79">
        <v>5</v>
      </c>
      <c r="D563" s="109">
        <v>0.00635084379037935</v>
      </c>
      <c r="E563" s="109">
        <v>1.657055852857104</v>
      </c>
      <c r="F563" s="79" t="s">
        <v>1653</v>
      </c>
      <c r="G563" s="79" t="b">
        <v>0</v>
      </c>
      <c r="H563" s="79" t="b">
        <v>0</v>
      </c>
      <c r="I563" s="79" t="b">
        <v>0</v>
      </c>
      <c r="J563" s="79" t="b">
        <v>0</v>
      </c>
      <c r="K563" s="79" t="b">
        <v>0</v>
      </c>
      <c r="L563" s="79" t="b">
        <v>0</v>
      </c>
    </row>
    <row r="564" spans="1:12" ht="15">
      <c r="A564" s="85" t="s">
        <v>1756</v>
      </c>
      <c r="B564" s="84" t="s">
        <v>1833</v>
      </c>
      <c r="C564" s="79">
        <v>5</v>
      </c>
      <c r="D564" s="109">
        <v>0.00635084379037935</v>
      </c>
      <c r="E564" s="109">
        <v>1.657055852857104</v>
      </c>
      <c r="F564" s="79" t="s">
        <v>1653</v>
      </c>
      <c r="G564" s="79" t="b">
        <v>0</v>
      </c>
      <c r="H564" s="79" t="b">
        <v>0</v>
      </c>
      <c r="I564" s="79" t="b">
        <v>0</v>
      </c>
      <c r="J564" s="79" t="b">
        <v>0</v>
      </c>
      <c r="K564" s="79" t="b">
        <v>0</v>
      </c>
      <c r="L564" s="79" t="b">
        <v>0</v>
      </c>
    </row>
    <row r="565" spans="1:12" ht="15">
      <c r="A565" s="85" t="s">
        <v>1833</v>
      </c>
      <c r="B565" s="84" t="s">
        <v>1726</v>
      </c>
      <c r="C565" s="79">
        <v>5</v>
      </c>
      <c r="D565" s="109">
        <v>0.00635084379037935</v>
      </c>
      <c r="E565" s="109">
        <v>1.3348365581231847</v>
      </c>
      <c r="F565" s="79" t="s">
        <v>1653</v>
      </c>
      <c r="G565" s="79" t="b">
        <v>0</v>
      </c>
      <c r="H565" s="79" t="b">
        <v>0</v>
      </c>
      <c r="I565" s="79" t="b">
        <v>0</v>
      </c>
      <c r="J565" s="79" t="b">
        <v>0</v>
      </c>
      <c r="K565" s="79" t="b">
        <v>0</v>
      </c>
      <c r="L565" s="79" t="b">
        <v>0</v>
      </c>
    </row>
    <row r="566" spans="1:12" ht="15">
      <c r="A566" s="85" t="s">
        <v>1726</v>
      </c>
      <c r="B566" s="84" t="s">
        <v>1762</v>
      </c>
      <c r="C566" s="79">
        <v>5</v>
      </c>
      <c r="D566" s="109">
        <v>0.00635084379037935</v>
      </c>
      <c r="E566" s="109">
        <v>1.0795640530198787</v>
      </c>
      <c r="F566" s="79" t="s">
        <v>1653</v>
      </c>
      <c r="G566" s="79" t="b">
        <v>0</v>
      </c>
      <c r="H566" s="79" t="b">
        <v>0</v>
      </c>
      <c r="I566" s="79" t="b">
        <v>0</v>
      </c>
      <c r="J566" s="79" t="b">
        <v>0</v>
      </c>
      <c r="K566" s="79" t="b">
        <v>0</v>
      </c>
      <c r="L566" s="79" t="b">
        <v>0</v>
      </c>
    </row>
    <row r="567" spans="1:12" ht="15">
      <c r="A567" s="85" t="s">
        <v>1762</v>
      </c>
      <c r="B567" s="84" t="s">
        <v>1834</v>
      </c>
      <c r="C567" s="79">
        <v>5</v>
      </c>
      <c r="D567" s="109">
        <v>0.00635084379037935</v>
      </c>
      <c r="E567" s="109">
        <v>1.702813343417779</v>
      </c>
      <c r="F567" s="79" t="s">
        <v>1653</v>
      </c>
      <c r="G567" s="79" t="b">
        <v>0</v>
      </c>
      <c r="H567" s="79" t="b">
        <v>0</v>
      </c>
      <c r="I567" s="79" t="b">
        <v>0</v>
      </c>
      <c r="J567" s="79" t="b">
        <v>0</v>
      </c>
      <c r="K567" s="79" t="b">
        <v>0</v>
      </c>
      <c r="L567" s="79" t="b">
        <v>0</v>
      </c>
    </row>
    <row r="568" spans="1:12" ht="15">
      <c r="A568" s="85" t="s">
        <v>1834</v>
      </c>
      <c r="B568" s="84" t="s">
        <v>1835</v>
      </c>
      <c r="C568" s="79">
        <v>5</v>
      </c>
      <c r="D568" s="109">
        <v>0.00635084379037935</v>
      </c>
      <c r="E568" s="109">
        <v>1.958085848521085</v>
      </c>
      <c r="F568" s="79" t="s">
        <v>1653</v>
      </c>
      <c r="G568" s="79" t="b">
        <v>0</v>
      </c>
      <c r="H568" s="79" t="b">
        <v>0</v>
      </c>
      <c r="I568" s="79" t="b">
        <v>0</v>
      </c>
      <c r="J568" s="79" t="b">
        <v>0</v>
      </c>
      <c r="K568" s="79" t="b">
        <v>0</v>
      </c>
      <c r="L568" s="79" t="b">
        <v>0</v>
      </c>
    </row>
    <row r="569" spans="1:12" ht="15">
      <c r="A569" s="85" t="s">
        <v>1835</v>
      </c>
      <c r="B569" s="84" t="s">
        <v>1755</v>
      </c>
      <c r="C569" s="79">
        <v>5</v>
      </c>
      <c r="D569" s="109">
        <v>0.00635084379037935</v>
      </c>
      <c r="E569" s="109">
        <v>1.657055852857104</v>
      </c>
      <c r="F569" s="79" t="s">
        <v>1653</v>
      </c>
      <c r="G569" s="79" t="b">
        <v>0</v>
      </c>
      <c r="H569" s="79" t="b">
        <v>0</v>
      </c>
      <c r="I569" s="79" t="b">
        <v>0</v>
      </c>
      <c r="J569" s="79" t="b">
        <v>0</v>
      </c>
      <c r="K569" s="79" t="b">
        <v>0</v>
      </c>
      <c r="L569" s="79" t="b">
        <v>0</v>
      </c>
    </row>
    <row r="570" spans="1:12" ht="15">
      <c r="A570" s="85" t="s">
        <v>1755</v>
      </c>
      <c r="B570" s="84" t="s">
        <v>1836</v>
      </c>
      <c r="C570" s="79">
        <v>5</v>
      </c>
      <c r="D570" s="109">
        <v>0.00635084379037935</v>
      </c>
      <c r="E570" s="109">
        <v>1.657055852857104</v>
      </c>
      <c r="F570" s="79" t="s">
        <v>1653</v>
      </c>
      <c r="G570" s="79" t="b">
        <v>0</v>
      </c>
      <c r="H570" s="79" t="b">
        <v>0</v>
      </c>
      <c r="I570" s="79" t="b">
        <v>0</v>
      </c>
      <c r="J570" s="79" t="b">
        <v>0</v>
      </c>
      <c r="K570" s="79" t="b">
        <v>0</v>
      </c>
      <c r="L570" s="79" t="b">
        <v>0</v>
      </c>
    </row>
    <row r="571" spans="1:12" ht="15">
      <c r="A571" s="85" t="s">
        <v>1836</v>
      </c>
      <c r="B571" s="84" t="s">
        <v>1837</v>
      </c>
      <c r="C571" s="79">
        <v>5</v>
      </c>
      <c r="D571" s="109">
        <v>0.00635084379037935</v>
      </c>
      <c r="E571" s="109">
        <v>1.958085848521085</v>
      </c>
      <c r="F571" s="79" t="s">
        <v>1653</v>
      </c>
      <c r="G571" s="79" t="b">
        <v>0</v>
      </c>
      <c r="H571" s="79" t="b">
        <v>0</v>
      </c>
      <c r="I571" s="79" t="b">
        <v>0</v>
      </c>
      <c r="J571" s="79" t="b">
        <v>0</v>
      </c>
      <c r="K571" s="79" t="b">
        <v>0</v>
      </c>
      <c r="L571" s="79" t="b">
        <v>0</v>
      </c>
    </row>
    <row r="572" spans="1:12" ht="15">
      <c r="A572" s="85" t="s">
        <v>1837</v>
      </c>
      <c r="B572" s="84" t="s">
        <v>1756</v>
      </c>
      <c r="C572" s="79">
        <v>5</v>
      </c>
      <c r="D572" s="109">
        <v>0.00635084379037935</v>
      </c>
      <c r="E572" s="109">
        <v>1.657055852857104</v>
      </c>
      <c r="F572" s="79" t="s">
        <v>1653</v>
      </c>
      <c r="G572" s="79" t="b">
        <v>0</v>
      </c>
      <c r="H572" s="79" t="b">
        <v>0</v>
      </c>
      <c r="I572" s="79" t="b">
        <v>0</v>
      </c>
      <c r="J572" s="79" t="b">
        <v>0</v>
      </c>
      <c r="K572" s="79" t="b">
        <v>0</v>
      </c>
      <c r="L572" s="79" t="b">
        <v>0</v>
      </c>
    </row>
    <row r="573" spans="1:12" ht="15">
      <c r="A573" s="85" t="s">
        <v>1756</v>
      </c>
      <c r="B573" s="84" t="s">
        <v>1838</v>
      </c>
      <c r="C573" s="79">
        <v>5</v>
      </c>
      <c r="D573" s="109">
        <v>0.00635084379037935</v>
      </c>
      <c r="E573" s="109">
        <v>1.657055852857104</v>
      </c>
      <c r="F573" s="79" t="s">
        <v>1653</v>
      </c>
      <c r="G573" s="79" t="b">
        <v>0</v>
      </c>
      <c r="H573" s="79" t="b">
        <v>0</v>
      </c>
      <c r="I573" s="79" t="b">
        <v>0</v>
      </c>
      <c r="J573" s="79" t="b">
        <v>0</v>
      </c>
      <c r="K573" s="79" t="b">
        <v>0</v>
      </c>
      <c r="L573" s="79" t="b">
        <v>0</v>
      </c>
    </row>
    <row r="574" spans="1:12" ht="15">
      <c r="A574" s="85" t="s">
        <v>1729</v>
      </c>
      <c r="B574" s="84" t="s">
        <v>1761</v>
      </c>
      <c r="C574" s="79">
        <v>4</v>
      </c>
      <c r="D574" s="109">
        <v>0.005898481049249104</v>
      </c>
      <c r="E574" s="109">
        <v>1.1287820756900602</v>
      </c>
      <c r="F574" s="79" t="s">
        <v>1653</v>
      </c>
      <c r="G574" s="79" t="b">
        <v>0</v>
      </c>
      <c r="H574" s="79" t="b">
        <v>0</v>
      </c>
      <c r="I574" s="79" t="b">
        <v>0</v>
      </c>
      <c r="J574" s="79" t="b">
        <v>0</v>
      </c>
      <c r="K574" s="79" t="b">
        <v>0</v>
      </c>
      <c r="L574" s="79" t="b">
        <v>0</v>
      </c>
    </row>
    <row r="575" spans="1:12" ht="15">
      <c r="A575" s="85" t="s">
        <v>1761</v>
      </c>
      <c r="B575" s="84" t="s">
        <v>1748</v>
      </c>
      <c r="C575" s="79">
        <v>4</v>
      </c>
      <c r="D575" s="109">
        <v>0.005898481049249104</v>
      </c>
      <c r="E575" s="109">
        <v>1.2256920886981166</v>
      </c>
      <c r="F575" s="79" t="s">
        <v>1653</v>
      </c>
      <c r="G575" s="79" t="b">
        <v>0</v>
      </c>
      <c r="H575" s="79" t="b">
        <v>0</v>
      </c>
      <c r="I575" s="79" t="b">
        <v>0</v>
      </c>
      <c r="J575" s="79" t="b">
        <v>0</v>
      </c>
      <c r="K575" s="79" t="b">
        <v>0</v>
      </c>
      <c r="L575" s="79" t="b">
        <v>0</v>
      </c>
    </row>
    <row r="576" spans="1:12" ht="15">
      <c r="A576" s="85" t="s">
        <v>1748</v>
      </c>
      <c r="B576" s="84" t="s">
        <v>1792</v>
      </c>
      <c r="C576" s="79">
        <v>4</v>
      </c>
      <c r="D576" s="109">
        <v>0.005898481049249104</v>
      </c>
      <c r="E576" s="109">
        <v>1.3348365581231847</v>
      </c>
      <c r="F576" s="79" t="s">
        <v>1653</v>
      </c>
      <c r="G576" s="79" t="b">
        <v>0</v>
      </c>
      <c r="H576" s="79" t="b">
        <v>0</v>
      </c>
      <c r="I576" s="79" t="b">
        <v>0</v>
      </c>
      <c r="J576" s="79" t="b">
        <v>0</v>
      </c>
      <c r="K576" s="79" t="b">
        <v>0</v>
      </c>
      <c r="L576" s="79" t="b">
        <v>0</v>
      </c>
    </row>
    <row r="577" spans="1:12" ht="15">
      <c r="A577" s="85" t="s">
        <v>1792</v>
      </c>
      <c r="B577" s="84" t="s">
        <v>1703</v>
      </c>
      <c r="C577" s="79">
        <v>4</v>
      </c>
      <c r="D577" s="109">
        <v>0.005898481049249104</v>
      </c>
      <c r="E577" s="109">
        <v>1.1129878085068283</v>
      </c>
      <c r="F577" s="79" t="s">
        <v>1653</v>
      </c>
      <c r="G577" s="79" t="b">
        <v>0</v>
      </c>
      <c r="H577" s="79" t="b">
        <v>0</v>
      </c>
      <c r="I577" s="79" t="b">
        <v>0</v>
      </c>
      <c r="J577" s="79" t="b">
        <v>0</v>
      </c>
      <c r="K577" s="79" t="b">
        <v>0</v>
      </c>
      <c r="L577" s="79" t="b">
        <v>0</v>
      </c>
    </row>
    <row r="578" spans="1:12" ht="15">
      <c r="A578" s="85" t="s">
        <v>1703</v>
      </c>
      <c r="B578" s="84" t="s">
        <v>1865</v>
      </c>
      <c r="C578" s="79">
        <v>4</v>
      </c>
      <c r="D578" s="109">
        <v>0.005898481049249104</v>
      </c>
      <c r="E578" s="109">
        <v>1.702813343417779</v>
      </c>
      <c r="F578" s="79" t="s">
        <v>1653</v>
      </c>
      <c r="G578" s="79" t="b">
        <v>0</v>
      </c>
      <c r="H578" s="79" t="b">
        <v>0</v>
      </c>
      <c r="I578" s="79" t="b">
        <v>0</v>
      </c>
      <c r="J578" s="79" t="b">
        <v>0</v>
      </c>
      <c r="K578" s="79" t="b">
        <v>0</v>
      </c>
      <c r="L578" s="79" t="b">
        <v>0</v>
      </c>
    </row>
    <row r="579" spans="1:12" ht="15">
      <c r="A579" s="85" t="s">
        <v>1865</v>
      </c>
      <c r="B579" s="84" t="s">
        <v>1866</v>
      </c>
      <c r="C579" s="79">
        <v>4</v>
      </c>
      <c r="D579" s="109">
        <v>0.005898481049249104</v>
      </c>
      <c r="E579" s="109">
        <v>2.0549958615291413</v>
      </c>
      <c r="F579" s="79" t="s">
        <v>1653</v>
      </c>
      <c r="G579" s="79" t="b">
        <v>0</v>
      </c>
      <c r="H579" s="79" t="b">
        <v>0</v>
      </c>
      <c r="I579" s="79" t="b">
        <v>0</v>
      </c>
      <c r="J579" s="79" t="b">
        <v>0</v>
      </c>
      <c r="K579" s="79" t="b">
        <v>0</v>
      </c>
      <c r="L579" s="79" t="b">
        <v>0</v>
      </c>
    </row>
    <row r="580" spans="1:12" ht="15">
      <c r="A580" s="85" t="s">
        <v>1866</v>
      </c>
      <c r="B580" s="84" t="s">
        <v>1867</v>
      </c>
      <c r="C580" s="79">
        <v>4</v>
      </c>
      <c r="D580" s="109">
        <v>0.005898481049249104</v>
      </c>
      <c r="E580" s="109">
        <v>2.0549958615291413</v>
      </c>
      <c r="F580" s="79" t="s">
        <v>1653</v>
      </c>
      <c r="G580" s="79" t="b">
        <v>0</v>
      </c>
      <c r="H580" s="79" t="b">
        <v>0</v>
      </c>
      <c r="I580" s="79" t="b">
        <v>0</v>
      </c>
      <c r="J580" s="79" t="b">
        <v>0</v>
      </c>
      <c r="K580" s="79" t="b">
        <v>0</v>
      </c>
      <c r="L580" s="79" t="b">
        <v>0</v>
      </c>
    </row>
    <row r="581" spans="1:12" ht="15">
      <c r="A581" s="85" t="s">
        <v>1867</v>
      </c>
      <c r="B581" s="84" t="s">
        <v>1793</v>
      </c>
      <c r="C581" s="79">
        <v>4</v>
      </c>
      <c r="D581" s="109">
        <v>0.005898481049249104</v>
      </c>
      <c r="E581" s="109">
        <v>1.811957812842847</v>
      </c>
      <c r="F581" s="79" t="s">
        <v>1653</v>
      </c>
      <c r="G581" s="79" t="b">
        <v>0</v>
      </c>
      <c r="H581" s="79" t="b">
        <v>0</v>
      </c>
      <c r="I581" s="79" t="b">
        <v>0</v>
      </c>
      <c r="J581" s="79" t="b">
        <v>0</v>
      </c>
      <c r="K581" s="79" t="b">
        <v>0</v>
      </c>
      <c r="L581" s="79" t="b">
        <v>0</v>
      </c>
    </row>
    <row r="582" spans="1:12" ht="15">
      <c r="A582" s="85" t="s">
        <v>1793</v>
      </c>
      <c r="B582" s="84" t="s">
        <v>1726</v>
      </c>
      <c r="C582" s="79">
        <v>4</v>
      </c>
      <c r="D582" s="109">
        <v>0.005898481049249104</v>
      </c>
      <c r="E582" s="109">
        <v>1.0917985094368903</v>
      </c>
      <c r="F582" s="79" t="s">
        <v>1653</v>
      </c>
      <c r="G582" s="79" t="b">
        <v>0</v>
      </c>
      <c r="H582" s="79" t="b">
        <v>0</v>
      </c>
      <c r="I582" s="79" t="b">
        <v>0</v>
      </c>
      <c r="J582" s="79" t="b">
        <v>0</v>
      </c>
      <c r="K582" s="79" t="b">
        <v>0</v>
      </c>
      <c r="L582" s="79" t="b">
        <v>0</v>
      </c>
    </row>
    <row r="583" spans="1:12" ht="15">
      <c r="A583" s="85" t="s">
        <v>1726</v>
      </c>
      <c r="B583" s="84" t="s">
        <v>1820</v>
      </c>
      <c r="C583" s="79">
        <v>4</v>
      </c>
      <c r="D583" s="109">
        <v>0.005898481049249104</v>
      </c>
      <c r="E583" s="109">
        <v>1.3348365581231847</v>
      </c>
      <c r="F583" s="79" t="s">
        <v>1653</v>
      </c>
      <c r="G583" s="79" t="b">
        <v>0</v>
      </c>
      <c r="H583" s="79" t="b">
        <v>0</v>
      </c>
      <c r="I583" s="79" t="b">
        <v>0</v>
      </c>
      <c r="J583" s="79" t="b">
        <v>0</v>
      </c>
      <c r="K583" s="79" t="b">
        <v>0</v>
      </c>
      <c r="L583" s="79" t="b">
        <v>0</v>
      </c>
    </row>
    <row r="584" spans="1:12" ht="15">
      <c r="A584" s="85" t="s">
        <v>1820</v>
      </c>
      <c r="B584" s="84" t="s">
        <v>1868</v>
      </c>
      <c r="C584" s="79">
        <v>4</v>
      </c>
      <c r="D584" s="109">
        <v>0.005898481049249104</v>
      </c>
      <c r="E584" s="109">
        <v>2.0549958615291413</v>
      </c>
      <c r="F584" s="79" t="s">
        <v>1653</v>
      </c>
      <c r="G584" s="79" t="b">
        <v>0</v>
      </c>
      <c r="H584" s="79" t="b">
        <v>0</v>
      </c>
      <c r="I584" s="79" t="b">
        <v>0</v>
      </c>
      <c r="J584" s="79" t="b">
        <v>0</v>
      </c>
      <c r="K584" s="79" t="b">
        <v>0</v>
      </c>
      <c r="L584" s="79" t="b">
        <v>0</v>
      </c>
    </row>
    <row r="585" spans="1:12" ht="15">
      <c r="A585" s="85" t="s">
        <v>1868</v>
      </c>
      <c r="B585" s="84" t="s">
        <v>1869</v>
      </c>
      <c r="C585" s="79">
        <v>4</v>
      </c>
      <c r="D585" s="109">
        <v>0.005898481049249104</v>
      </c>
      <c r="E585" s="109">
        <v>2.0549958615291413</v>
      </c>
      <c r="F585" s="79" t="s">
        <v>1653</v>
      </c>
      <c r="G585" s="79" t="b">
        <v>0</v>
      </c>
      <c r="H585" s="79" t="b">
        <v>0</v>
      </c>
      <c r="I585" s="79" t="b">
        <v>0</v>
      </c>
      <c r="J585" s="79" t="b">
        <v>0</v>
      </c>
      <c r="K585" s="79" t="b">
        <v>0</v>
      </c>
      <c r="L585" s="79" t="b">
        <v>0</v>
      </c>
    </row>
    <row r="586" spans="1:12" ht="15">
      <c r="A586" s="85" t="s">
        <v>1869</v>
      </c>
      <c r="B586" s="84" t="s">
        <v>1870</v>
      </c>
      <c r="C586" s="79">
        <v>4</v>
      </c>
      <c r="D586" s="109">
        <v>0.005898481049249104</v>
      </c>
      <c r="E586" s="109">
        <v>2.0549958615291413</v>
      </c>
      <c r="F586" s="79" t="s">
        <v>1653</v>
      </c>
      <c r="G586" s="79" t="b">
        <v>0</v>
      </c>
      <c r="H586" s="79" t="b">
        <v>0</v>
      </c>
      <c r="I586" s="79" t="b">
        <v>0</v>
      </c>
      <c r="J586" s="79" t="b">
        <v>0</v>
      </c>
      <c r="K586" s="79" t="b">
        <v>0</v>
      </c>
      <c r="L586" s="79" t="b">
        <v>0</v>
      </c>
    </row>
    <row r="587" spans="1:12" ht="15">
      <c r="A587" s="85" t="s">
        <v>1870</v>
      </c>
      <c r="B587" s="84" t="s">
        <v>1871</v>
      </c>
      <c r="C587" s="79">
        <v>4</v>
      </c>
      <c r="D587" s="109">
        <v>0.005898481049249104</v>
      </c>
      <c r="E587" s="109">
        <v>2.0549958615291413</v>
      </c>
      <c r="F587" s="79" t="s">
        <v>1653</v>
      </c>
      <c r="G587" s="79" t="b">
        <v>0</v>
      </c>
      <c r="H587" s="79" t="b">
        <v>0</v>
      </c>
      <c r="I587" s="79" t="b">
        <v>0</v>
      </c>
      <c r="J587" s="79" t="b">
        <v>0</v>
      </c>
      <c r="K587" s="79" t="b">
        <v>0</v>
      </c>
      <c r="L587" s="79" t="b">
        <v>0</v>
      </c>
    </row>
    <row r="588" spans="1:12" ht="15">
      <c r="A588" s="85" t="s">
        <v>1871</v>
      </c>
      <c r="B588" s="84" t="s">
        <v>1872</v>
      </c>
      <c r="C588" s="79">
        <v>4</v>
      </c>
      <c r="D588" s="109">
        <v>0.005898481049249104</v>
      </c>
      <c r="E588" s="109">
        <v>2.0549958615291413</v>
      </c>
      <c r="F588" s="79" t="s">
        <v>1653</v>
      </c>
      <c r="G588" s="79" t="b">
        <v>0</v>
      </c>
      <c r="H588" s="79" t="b">
        <v>0</v>
      </c>
      <c r="I588" s="79" t="b">
        <v>0</v>
      </c>
      <c r="J588" s="79" t="b">
        <v>0</v>
      </c>
      <c r="K588" s="79" t="b">
        <v>0</v>
      </c>
      <c r="L588" s="79" t="b">
        <v>0</v>
      </c>
    </row>
    <row r="589" spans="1:12" ht="15">
      <c r="A589" s="85" t="s">
        <v>1872</v>
      </c>
      <c r="B589" s="84" t="s">
        <v>1873</v>
      </c>
      <c r="C589" s="79">
        <v>4</v>
      </c>
      <c r="D589" s="109">
        <v>0.005898481049249104</v>
      </c>
      <c r="E589" s="109">
        <v>2.0549958615291413</v>
      </c>
      <c r="F589" s="79" t="s">
        <v>1653</v>
      </c>
      <c r="G589" s="79" t="b">
        <v>0</v>
      </c>
      <c r="H589" s="79" t="b">
        <v>0</v>
      </c>
      <c r="I589" s="79" t="b">
        <v>0</v>
      </c>
      <c r="J589" s="79" t="b">
        <v>0</v>
      </c>
      <c r="K589" s="79" t="b">
        <v>0</v>
      </c>
      <c r="L589" s="79" t="b">
        <v>0</v>
      </c>
    </row>
    <row r="590" spans="1:12" ht="15">
      <c r="A590" s="85" t="s">
        <v>1873</v>
      </c>
      <c r="B590" s="84" t="s">
        <v>1874</v>
      </c>
      <c r="C590" s="79">
        <v>4</v>
      </c>
      <c r="D590" s="109">
        <v>0.005898481049249104</v>
      </c>
      <c r="E590" s="109">
        <v>2.0549958615291413</v>
      </c>
      <c r="F590" s="79" t="s">
        <v>1653</v>
      </c>
      <c r="G590" s="79" t="b">
        <v>0</v>
      </c>
      <c r="H590" s="79" t="b">
        <v>0</v>
      </c>
      <c r="I590" s="79" t="b">
        <v>0</v>
      </c>
      <c r="J590" s="79" t="b">
        <v>0</v>
      </c>
      <c r="K590" s="79" t="b">
        <v>0</v>
      </c>
      <c r="L590" s="79" t="b">
        <v>0</v>
      </c>
    </row>
    <row r="591" spans="1:12" ht="15">
      <c r="A591" s="85" t="s">
        <v>1874</v>
      </c>
      <c r="B591" s="84" t="s">
        <v>1762</v>
      </c>
      <c r="C591" s="79">
        <v>4</v>
      </c>
      <c r="D591" s="109">
        <v>0.005898481049249104</v>
      </c>
      <c r="E591" s="109">
        <v>1.702813343417779</v>
      </c>
      <c r="F591" s="79" t="s">
        <v>1653</v>
      </c>
      <c r="G591" s="79" t="b">
        <v>0</v>
      </c>
      <c r="H591" s="79" t="b">
        <v>0</v>
      </c>
      <c r="I591" s="79" t="b">
        <v>0</v>
      </c>
      <c r="J591" s="79" t="b">
        <v>0</v>
      </c>
      <c r="K591" s="79" t="b">
        <v>0</v>
      </c>
      <c r="L591" s="79" t="b">
        <v>0</v>
      </c>
    </row>
    <row r="592" spans="1:12" ht="15">
      <c r="A592" s="85" t="s">
        <v>1762</v>
      </c>
      <c r="B592" s="84" t="s">
        <v>1875</v>
      </c>
      <c r="C592" s="79">
        <v>4</v>
      </c>
      <c r="D592" s="109">
        <v>0.005898481049249104</v>
      </c>
      <c r="E592" s="109">
        <v>1.702813343417779</v>
      </c>
      <c r="F592" s="79" t="s">
        <v>1653</v>
      </c>
      <c r="G592" s="79" t="b">
        <v>0</v>
      </c>
      <c r="H592" s="79" t="b">
        <v>0</v>
      </c>
      <c r="I592" s="79" t="b">
        <v>0</v>
      </c>
      <c r="J592" s="79" t="b">
        <v>0</v>
      </c>
      <c r="K592" s="79" t="b">
        <v>0</v>
      </c>
      <c r="L592" s="79" t="b">
        <v>0</v>
      </c>
    </row>
    <row r="593" spans="1:12" ht="15">
      <c r="A593" s="85" t="s">
        <v>1875</v>
      </c>
      <c r="B593" s="84" t="s">
        <v>1876</v>
      </c>
      <c r="C593" s="79">
        <v>4</v>
      </c>
      <c r="D593" s="109">
        <v>0.005898481049249104</v>
      </c>
      <c r="E593" s="109">
        <v>2.0549958615291413</v>
      </c>
      <c r="F593" s="79" t="s">
        <v>1653</v>
      </c>
      <c r="G593" s="79" t="b">
        <v>0</v>
      </c>
      <c r="H593" s="79" t="b">
        <v>0</v>
      </c>
      <c r="I593" s="79" t="b">
        <v>0</v>
      </c>
      <c r="J593" s="79" t="b">
        <v>0</v>
      </c>
      <c r="K593" s="79" t="b">
        <v>0</v>
      </c>
      <c r="L593" s="79" t="b">
        <v>0</v>
      </c>
    </row>
    <row r="594" spans="1:12" ht="15">
      <c r="A594" s="85" t="s">
        <v>1876</v>
      </c>
      <c r="B594" s="84" t="s">
        <v>1877</v>
      </c>
      <c r="C594" s="79">
        <v>4</v>
      </c>
      <c r="D594" s="109">
        <v>0.005898481049249104</v>
      </c>
      <c r="E594" s="109">
        <v>2.0549958615291413</v>
      </c>
      <c r="F594" s="79" t="s">
        <v>1653</v>
      </c>
      <c r="G594" s="79" t="b">
        <v>0</v>
      </c>
      <c r="H594" s="79" t="b">
        <v>0</v>
      </c>
      <c r="I594" s="79" t="b">
        <v>0</v>
      </c>
      <c r="J594" s="79" t="b">
        <v>0</v>
      </c>
      <c r="K594" s="79" t="b">
        <v>0</v>
      </c>
      <c r="L594" s="79" t="b">
        <v>0</v>
      </c>
    </row>
    <row r="595" spans="1:12" ht="15">
      <c r="A595" s="85" t="s">
        <v>1877</v>
      </c>
      <c r="B595" s="84" t="s">
        <v>1726</v>
      </c>
      <c r="C595" s="79">
        <v>4</v>
      </c>
      <c r="D595" s="109">
        <v>0.005898481049249104</v>
      </c>
      <c r="E595" s="109">
        <v>1.3348365581231847</v>
      </c>
      <c r="F595" s="79" t="s">
        <v>1653</v>
      </c>
      <c r="G595" s="79" t="b">
        <v>0</v>
      </c>
      <c r="H595" s="79" t="b">
        <v>0</v>
      </c>
      <c r="I595" s="79" t="b">
        <v>0</v>
      </c>
      <c r="J595" s="79" t="b">
        <v>0</v>
      </c>
      <c r="K595" s="79" t="b">
        <v>0</v>
      </c>
      <c r="L595" s="79" t="b">
        <v>0</v>
      </c>
    </row>
    <row r="596" spans="1:12" ht="15">
      <c r="A596" s="85" t="s">
        <v>1726</v>
      </c>
      <c r="B596" s="84" t="s">
        <v>1746</v>
      </c>
      <c r="C596" s="79">
        <v>4</v>
      </c>
      <c r="D596" s="109">
        <v>0.005898481049249104</v>
      </c>
      <c r="E596" s="109">
        <v>0.8577153034035223</v>
      </c>
      <c r="F596" s="79" t="s">
        <v>1653</v>
      </c>
      <c r="G596" s="79" t="b">
        <v>0</v>
      </c>
      <c r="H596" s="79" t="b">
        <v>0</v>
      </c>
      <c r="I596" s="79" t="b">
        <v>0</v>
      </c>
      <c r="J596" s="79" t="b">
        <v>0</v>
      </c>
      <c r="K596" s="79" t="b">
        <v>0</v>
      </c>
      <c r="L596" s="79" t="b">
        <v>0</v>
      </c>
    </row>
    <row r="597" spans="1:12" ht="15">
      <c r="A597" s="85" t="s">
        <v>1746</v>
      </c>
      <c r="B597" s="84" t="s">
        <v>1733</v>
      </c>
      <c r="C597" s="79">
        <v>4</v>
      </c>
      <c r="D597" s="109">
        <v>0.005898481049249104</v>
      </c>
      <c r="E597" s="109">
        <v>1.1007533520898167</v>
      </c>
      <c r="F597" s="79" t="s">
        <v>1653</v>
      </c>
      <c r="G597" s="79" t="b">
        <v>0</v>
      </c>
      <c r="H597" s="79" t="b">
        <v>0</v>
      </c>
      <c r="I597" s="79" t="b">
        <v>0</v>
      </c>
      <c r="J597" s="79" t="b">
        <v>0</v>
      </c>
      <c r="K597" s="79" t="b">
        <v>0</v>
      </c>
      <c r="L597" s="79" t="b">
        <v>0</v>
      </c>
    </row>
    <row r="598" spans="1:12" ht="15">
      <c r="A598" s="85" t="s">
        <v>1729</v>
      </c>
      <c r="B598" s="84" t="s">
        <v>1914</v>
      </c>
      <c r="C598" s="79">
        <v>3</v>
      </c>
      <c r="D598" s="109">
        <v>0.005214612284457714</v>
      </c>
      <c r="E598" s="109">
        <v>1.4809645938014226</v>
      </c>
      <c r="F598" s="79" t="s">
        <v>1653</v>
      </c>
      <c r="G598" s="79" t="b">
        <v>0</v>
      </c>
      <c r="H598" s="79" t="b">
        <v>0</v>
      </c>
      <c r="I598" s="79" t="b">
        <v>0</v>
      </c>
      <c r="J598" s="79" t="b">
        <v>0</v>
      </c>
      <c r="K598" s="79" t="b">
        <v>0</v>
      </c>
      <c r="L598" s="79" t="b">
        <v>0</v>
      </c>
    </row>
    <row r="599" spans="1:12" ht="15">
      <c r="A599" s="85" t="s">
        <v>1914</v>
      </c>
      <c r="B599" s="84" t="s">
        <v>1840</v>
      </c>
      <c r="C599" s="79">
        <v>3</v>
      </c>
      <c r="D599" s="109">
        <v>0.005214612284457714</v>
      </c>
      <c r="E599" s="109">
        <v>2.1799345981374416</v>
      </c>
      <c r="F599" s="79" t="s">
        <v>1653</v>
      </c>
      <c r="G599" s="79" t="b">
        <v>0</v>
      </c>
      <c r="H599" s="79" t="b">
        <v>0</v>
      </c>
      <c r="I599" s="79" t="b">
        <v>0</v>
      </c>
      <c r="J599" s="79" t="b">
        <v>0</v>
      </c>
      <c r="K599" s="79" t="b">
        <v>0</v>
      </c>
      <c r="L599" s="79" t="b">
        <v>0</v>
      </c>
    </row>
    <row r="600" spans="1:12" ht="15">
      <c r="A600" s="85" t="s">
        <v>1840</v>
      </c>
      <c r="B600" s="84" t="s">
        <v>1915</v>
      </c>
      <c r="C600" s="79">
        <v>3</v>
      </c>
      <c r="D600" s="109">
        <v>0.005214612284457714</v>
      </c>
      <c r="E600" s="109">
        <v>2.1799345981374416</v>
      </c>
      <c r="F600" s="79" t="s">
        <v>1653</v>
      </c>
      <c r="G600" s="79" t="b">
        <v>0</v>
      </c>
      <c r="H600" s="79" t="b">
        <v>0</v>
      </c>
      <c r="I600" s="79" t="b">
        <v>0</v>
      </c>
      <c r="J600" s="79" t="b">
        <v>0</v>
      </c>
      <c r="K600" s="79" t="b">
        <v>0</v>
      </c>
      <c r="L600" s="79" t="b">
        <v>0</v>
      </c>
    </row>
    <row r="601" spans="1:12" ht="15">
      <c r="A601" s="85" t="s">
        <v>1915</v>
      </c>
      <c r="B601" s="84" t="s">
        <v>1916</v>
      </c>
      <c r="C601" s="79">
        <v>3</v>
      </c>
      <c r="D601" s="109">
        <v>0.005214612284457714</v>
      </c>
      <c r="E601" s="109">
        <v>2.1799345981374416</v>
      </c>
      <c r="F601" s="79" t="s">
        <v>1653</v>
      </c>
      <c r="G601" s="79" t="b">
        <v>0</v>
      </c>
      <c r="H601" s="79" t="b">
        <v>0</v>
      </c>
      <c r="I601" s="79" t="b">
        <v>0</v>
      </c>
      <c r="J601" s="79" t="b">
        <v>0</v>
      </c>
      <c r="K601" s="79" t="b">
        <v>0</v>
      </c>
      <c r="L601" s="79" t="b">
        <v>0</v>
      </c>
    </row>
    <row r="602" spans="1:12" ht="15">
      <c r="A602" s="85" t="s">
        <v>1916</v>
      </c>
      <c r="B602" s="84" t="s">
        <v>1917</v>
      </c>
      <c r="C602" s="79">
        <v>3</v>
      </c>
      <c r="D602" s="109">
        <v>0.005214612284457714</v>
      </c>
      <c r="E602" s="109">
        <v>2.1799345981374416</v>
      </c>
      <c r="F602" s="79" t="s">
        <v>1653</v>
      </c>
      <c r="G602" s="79" t="b">
        <v>0</v>
      </c>
      <c r="H602" s="79" t="b">
        <v>0</v>
      </c>
      <c r="I602" s="79" t="b">
        <v>0</v>
      </c>
      <c r="J602" s="79" t="b">
        <v>0</v>
      </c>
      <c r="K602" s="79" t="b">
        <v>0</v>
      </c>
      <c r="L602" s="79" t="b">
        <v>0</v>
      </c>
    </row>
    <row r="603" spans="1:12" ht="15">
      <c r="A603" s="85" t="s">
        <v>1917</v>
      </c>
      <c r="B603" s="84" t="s">
        <v>1918</v>
      </c>
      <c r="C603" s="79">
        <v>3</v>
      </c>
      <c r="D603" s="109">
        <v>0.005214612284457714</v>
      </c>
      <c r="E603" s="109">
        <v>2.1799345981374416</v>
      </c>
      <c r="F603" s="79" t="s">
        <v>1653</v>
      </c>
      <c r="G603" s="79" t="b">
        <v>0</v>
      </c>
      <c r="H603" s="79" t="b">
        <v>0</v>
      </c>
      <c r="I603" s="79" t="b">
        <v>0</v>
      </c>
      <c r="J603" s="79" t="b">
        <v>0</v>
      </c>
      <c r="K603" s="79" t="b">
        <v>0</v>
      </c>
      <c r="L603" s="79" t="b">
        <v>0</v>
      </c>
    </row>
    <row r="604" spans="1:12" ht="15">
      <c r="A604" s="85" t="s">
        <v>1918</v>
      </c>
      <c r="B604" s="84" t="s">
        <v>1919</v>
      </c>
      <c r="C604" s="79">
        <v>3</v>
      </c>
      <c r="D604" s="109">
        <v>0.005214612284457714</v>
      </c>
      <c r="E604" s="109">
        <v>2.1799345981374416</v>
      </c>
      <c r="F604" s="79" t="s">
        <v>1653</v>
      </c>
      <c r="G604" s="79" t="b">
        <v>0</v>
      </c>
      <c r="H604" s="79" t="b">
        <v>0</v>
      </c>
      <c r="I604" s="79" t="b">
        <v>0</v>
      </c>
      <c r="J604" s="79" t="b">
        <v>0</v>
      </c>
      <c r="K604" s="79" t="b">
        <v>0</v>
      </c>
      <c r="L604" s="79" t="b">
        <v>0</v>
      </c>
    </row>
    <row r="605" spans="1:12" ht="15">
      <c r="A605" s="85" t="s">
        <v>1919</v>
      </c>
      <c r="B605" s="84" t="s">
        <v>1920</v>
      </c>
      <c r="C605" s="79">
        <v>3</v>
      </c>
      <c r="D605" s="109">
        <v>0.005214612284457714</v>
      </c>
      <c r="E605" s="109">
        <v>2.1799345981374416</v>
      </c>
      <c r="F605" s="79" t="s">
        <v>1653</v>
      </c>
      <c r="G605" s="79" t="b">
        <v>0</v>
      </c>
      <c r="H605" s="79" t="b">
        <v>0</v>
      </c>
      <c r="I605" s="79" t="b">
        <v>0</v>
      </c>
      <c r="J605" s="79" t="b">
        <v>0</v>
      </c>
      <c r="K605" s="79" t="b">
        <v>0</v>
      </c>
      <c r="L605" s="79" t="b">
        <v>0</v>
      </c>
    </row>
    <row r="606" spans="1:12" ht="15">
      <c r="A606" s="85" t="s">
        <v>1920</v>
      </c>
      <c r="B606" s="84" t="s">
        <v>1792</v>
      </c>
      <c r="C606" s="79">
        <v>3</v>
      </c>
      <c r="D606" s="109">
        <v>0.005214612284457714</v>
      </c>
      <c r="E606" s="109">
        <v>1.811957812842847</v>
      </c>
      <c r="F606" s="79" t="s">
        <v>1653</v>
      </c>
      <c r="G606" s="79" t="b">
        <v>0</v>
      </c>
      <c r="H606" s="79" t="b">
        <v>0</v>
      </c>
      <c r="I606" s="79" t="b">
        <v>0</v>
      </c>
      <c r="J606" s="79" t="b">
        <v>0</v>
      </c>
      <c r="K606" s="79" t="b">
        <v>0</v>
      </c>
      <c r="L606" s="79" t="b">
        <v>0</v>
      </c>
    </row>
    <row r="607" spans="1:12" ht="15">
      <c r="A607" s="85" t="s">
        <v>1792</v>
      </c>
      <c r="B607" s="84" t="s">
        <v>1793</v>
      </c>
      <c r="C607" s="79">
        <v>3</v>
      </c>
      <c r="D607" s="109">
        <v>0.005214612284457714</v>
      </c>
      <c r="E607" s="109">
        <v>1.4439810275482527</v>
      </c>
      <c r="F607" s="79" t="s">
        <v>1653</v>
      </c>
      <c r="G607" s="79" t="b">
        <v>0</v>
      </c>
      <c r="H607" s="79" t="b">
        <v>0</v>
      </c>
      <c r="I607" s="79" t="b">
        <v>0</v>
      </c>
      <c r="J607" s="79" t="b">
        <v>0</v>
      </c>
      <c r="K607" s="79" t="b">
        <v>0</v>
      </c>
      <c r="L607" s="79" t="b">
        <v>0</v>
      </c>
    </row>
    <row r="608" spans="1:12" ht="15">
      <c r="A608" s="85" t="s">
        <v>1793</v>
      </c>
      <c r="B608" s="84" t="s">
        <v>1921</v>
      </c>
      <c r="C608" s="79">
        <v>3</v>
      </c>
      <c r="D608" s="109">
        <v>0.005214612284457714</v>
      </c>
      <c r="E608" s="109">
        <v>1.811957812842847</v>
      </c>
      <c r="F608" s="79" t="s">
        <v>1653</v>
      </c>
      <c r="G608" s="79" t="b">
        <v>0</v>
      </c>
      <c r="H608" s="79" t="b">
        <v>0</v>
      </c>
      <c r="I608" s="79" t="b">
        <v>0</v>
      </c>
      <c r="J608" s="79" t="b">
        <v>0</v>
      </c>
      <c r="K608" s="79" t="b">
        <v>0</v>
      </c>
      <c r="L608" s="79" t="b">
        <v>0</v>
      </c>
    </row>
    <row r="609" spans="1:12" ht="15">
      <c r="A609" s="85" t="s">
        <v>1921</v>
      </c>
      <c r="B609" s="84" t="s">
        <v>1922</v>
      </c>
      <c r="C609" s="79">
        <v>3</v>
      </c>
      <c r="D609" s="109">
        <v>0.005214612284457714</v>
      </c>
      <c r="E609" s="109">
        <v>2.1799345981374416</v>
      </c>
      <c r="F609" s="79" t="s">
        <v>1653</v>
      </c>
      <c r="G609" s="79" t="b">
        <v>0</v>
      </c>
      <c r="H609" s="79" t="b">
        <v>0</v>
      </c>
      <c r="I609" s="79" t="b">
        <v>0</v>
      </c>
      <c r="J609" s="79" t="b">
        <v>0</v>
      </c>
      <c r="K609" s="79" t="b">
        <v>0</v>
      </c>
      <c r="L609" s="79" t="b">
        <v>0</v>
      </c>
    </row>
    <row r="610" spans="1:12" ht="15">
      <c r="A610" s="85" t="s">
        <v>1922</v>
      </c>
      <c r="B610" s="84" t="s">
        <v>1923</v>
      </c>
      <c r="C610" s="79">
        <v>3</v>
      </c>
      <c r="D610" s="109">
        <v>0.005214612284457714</v>
      </c>
      <c r="E610" s="109">
        <v>2.1799345981374416</v>
      </c>
      <c r="F610" s="79" t="s">
        <v>1653</v>
      </c>
      <c r="G610" s="79" t="b">
        <v>0</v>
      </c>
      <c r="H610" s="79" t="b">
        <v>0</v>
      </c>
      <c r="I610" s="79" t="b">
        <v>0</v>
      </c>
      <c r="J610" s="79" t="b">
        <v>0</v>
      </c>
      <c r="K610" s="79" t="b">
        <v>0</v>
      </c>
      <c r="L610" s="79" t="b">
        <v>0</v>
      </c>
    </row>
    <row r="611" spans="1:12" ht="15">
      <c r="A611" s="85" t="s">
        <v>1923</v>
      </c>
      <c r="B611" s="84" t="s">
        <v>1924</v>
      </c>
      <c r="C611" s="79">
        <v>3</v>
      </c>
      <c r="D611" s="109">
        <v>0.005214612284457714</v>
      </c>
      <c r="E611" s="109">
        <v>2.1799345981374416</v>
      </c>
      <c r="F611" s="79" t="s">
        <v>1653</v>
      </c>
      <c r="G611" s="79" t="b">
        <v>0</v>
      </c>
      <c r="H611" s="79" t="b">
        <v>0</v>
      </c>
      <c r="I611" s="79" t="b">
        <v>0</v>
      </c>
      <c r="J611" s="79" t="b">
        <v>0</v>
      </c>
      <c r="K611" s="79" t="b">
        <v>0</v>
      </c>
      <c r="L611" s="79" t="b">
        <v>0</v>
      </c>
    </row>
    <row r="612" spans="1:12" ht="15">
      <c r="A612" s="85" t="s">
        <v>1924</v>
      </c>
      <c r="B612" s="84" t="s">
        <v>1925</v>
      </c>
      <c r="C612" s="79">
        <v>3</v>
      </c>
      <c r="D612" s="109">
        <v>0.005214612284457714</v>
      </c>
      <c r="E612" s="109">
        <v>2.1799345981374416</v>
      </c>
      <c r="F612" s="79" t="s">
        <v>1653</v>
      </c>
      <c r="G612" s="79" t="b">
        <v>0</v>
      </c>
      <c r="H612" s="79" t="b">
        <v>0</v>
      </c>
      <c r="I612" s="79" t="b">
        <v>0</v>
      </c>
      <c r="J612" s="79" t="b">
        <v>0</v>
      </c>
      <c r="K612" s="79" t="b">
        <v>0</v>
      </c>
      <c r="L612" s="79" t="b">
        <v>0</v>
      </c>
    </row>
    <row r="613" spans="1:12" ht="15">
      <c r="A613" s="85" t="s">
        <v>1925</v>
      </c>
      <c r="B613" s="84" t="s">
        <v>1746</v>
      </c>
      <c r="C613" s="79">
        <v>3</v>
      </c>
      <c r="D613" s="109">
        <v>0.005214612284457714</v>
      </c>
      <c r="E613" s="109">
        <v>1.577874606809479</v>
      </c>
      <c r="F613" s="79" t="s">
        <v>1653</v>
      </c>
      <c r="G613" s="79" t="b">
        <v>0</v>
      </c>
      <c r="H613" s="79" t="b">
        <v>0</v>
      </c>
      <c r="I613" s="79" t="b">
        <v>0</v>
      </c>
      <c r="J613" s="79" t="b">
        <v>0</v>
      </c>
      <c r="K613" s="79" t="b">
        <v>0</v>
      </c>
      <c r="L613" s="79" t="b">
        <v>0</v>
      </c>
    </row>
    <row r="614" spans="1:12" ht="15">
      <c r="A614" s="85" t="s">
        <v>1746</v>
      </c>
      <c r="B614" s="84" t="s">
        <v>1926</v>
      </c>
      <c r="C614" s="79">
        <v>3</v>
      </c>
      <c r="D614" s="109">
        <v>0.005214612284457714</v>
      </c>
      <c r="E614" s="109">
        <v>1.577874606809479</v>
      </c>
      <c r="F614" s="79" t="s">
        <v>1653</v>
      </c>
      <c r="G614" s="79" t="b">
        <v>0</v>
      </c>
      <c r="H614" s="79" t="b">
        <v>0</v>
      </c>
      <c r="I614" s="79" t="b">
        <v>0</v>
      </c>
      <c r="J614" s="79" t="b">
        <v>0</v>
      </c>
      <c r="K614" s="79" t="b">
        <v>0</v>
      </c>
      <c r="L614" s="79" t="b">
        <v>0</v>
      </c>
    </row>
    <row r="615" spans="1:12" ht="15">
      <c r="A615" s="85" t="s">
        <v>1926</v>
      </c>
      <c r="B615" s="84" t="s">
        <v>1927</v>
      </c>
      <c r="C615" s="79">
        <v>3</v>
      </c>
      <c r="D615" s="109">
        <v>0.005214612284457714</v>
      </c>
      <c r="E615" s="109">
        <v>2.1799345981374416</v>
      </c>
      <c r="F615" s="79" t="s">
        <v>1653</v>
      </c>
      <c r="G615" s="79" t="b">
        <v>0</v>
      </c>
      <c r="H615" s="79" t="b">
        <v>0</v>
      </c>
      <c r="I615" s="79" t="b">
        <v>0</v>
      </c>
      <c r="J615" s="79" t="b">
        <v>0</v>
      </c>
      <c r="K615" s="79" t="b">
        <v>0</v>
      </c>
      <c r="L615" s="79" t="b">
        <v>0</v>
      </c>
    </row>
    <row r="616" spans="1:12" ht="15">
      <c r="A616" s="85" t="s">
        <v>1927</v>
      </c>
      <c r="B616" s="84" t="s">
        <v>1928</v>
      </c>
      <c r="C616" s="79">
        <v>3</v>
      </c>
      <c r="D616" s="109">
        <v>0.005214612284457714</v>
      </c>
      <c r="E616" s="109">
        <v>2.1799345981374416</v>
      </c>
      <c r="F616" s="79" t="s">
        <v>1653</v>
      </c>
      <c r="G616" s="79" t="b">
        <v>0</v>
      </c>
      <c r="H616" s="79" t="b">
        <v>0</v>
      </c>
      <c r="I616" s="79" t="b">
        <v>0</v>
      </c>
      <c r="J616" s="79" t="b">
        <v>0</v>
      </c>
      <c r="K616" s="79" t="b">
        <v>0</v>
      </c>
      <c r="L616" s="79" t="b">
        <v>0</v>
      </c>
    </row>
    <row r="617" spans="1:12" ht="15">
      <c r="A617" s="85" t="s">
        <v>1928</v>
      </c>
      <c r="B617" s="84" t="s">
        <v>1768</v>
      </c>
      <c r="C617" s="79">
        <v>3</v>
      </c>
      <c r="D617" s="109">
        <v>0.005214612284457714</v>
      </c>
      <c r="E617" s="109">
        <v>2.1799345981374416</v>
      </c>
      <c r="F617" s="79" t="s">
        <v>1653</v>
      </c>
      <c r="G617" s="79" t="b">
        <v>0</v>
      </c>
      <c r="H617" s="79" t="b">
        <v>0</v>
      </c>
      <c r="I617" s="79" t="b">
        <v>0</v>
      </c>
      <c r="J617" s="79" t="b">
        <v>0</v>
      </c>
      <c r="K617" s="79" t="b">
        <v>0</v>
      </c>
      <c r="L617" s="79" t="b">
        <v>0</v>
      </c>
    </row>
    <row r="618" spans="1:12" ht="15">
      <c r="A618" s="85" t="s">
        <v>1768</v>
      </c>
      <c r="B618" s="84" t="s">
        <v>1703</v>
      </c>
      <c r="C618" s="79">
        <v>3</v>
      </c>
      <c r="D618" s="109">
        <v>0.005214612284457714</v>
      </c>
      <c r="E618" s="109">
        <v>0.9300571249208416</v>
      </c>
      <c r="F618" s="79" t="s">
        <v>1653</v>
      </c>
      <c r="G618" s="79" t="b">
        <v>0</v>
      </c>
      <c r="H618" s="79" t="b">
        <v>0</v>
      </c>
      <c r="I618" s="79" t="b">
        <v>0</v>
      </c>
      <c r="J618" s="79" t="b">
        <v>0</v>
      </c>
      <c r="K618" s="79" t="b">
        <v>0</v>
      </c>
      <c r="L618" s="79" t="b">
        <v>0</v>
      </c>
    </row>
    <row r="619" spans="1:12" ht="15">
      <c r="A619" s="85" t="s">
        <v>1965</v>
      </c>
      <c r="B619" s="84" t="s">
        <v>1888</v>
      </c>
      <c r="C619" s="79">
        <v>2</v>
      </c>
      <c r="D619" s="109">
        <v>0.009211171193596842</v>
      </c>
      <c r="E619" s="109">
        <v>1.765916793966632</v>
      </c>
      <c r="F619" s="79" t="s">
        <v>1654</v>
      </c>
      <c r="G619" s="79" t="b">
        <v>0</v>
      </c>
      <c r="H619" s="79" t="b">
        <v>0</v>
      </c>
      <c r="I619" s="79" t="b">
        <v>0</v>
      </c>
      <c r="J619" s="79" t="b">
        <v>0</v>
      </c>
      <c r="K619" s="79" t="b">
        <v>0</v>
      </c>
      <c r="L619" s="79" t="b">
        <v>0</v>
      </c>
    </row>
    <row r="620" spans="1:12" ht="15">
      <c r="A620" s="85" t="s">
        <v>1966</v>
      </c>
      <c r="B620" s="84" t="s">
        <v>1967</v>
      </c>
      <c r="C620" s="79">
        <v>2</v>
      </c>
      <c r="D620" s="109">
        <v>0.01223387832614519</v>
      </c>
      <c r="E620" s="109">
        <v>1.5563025007672873</v>
      </c>
      <c r="F620" s="79" t="s">
        <v>1655</v>
      </c>
      <c r="G620" s="79" t="b">
        <v>0</v>
      </c>
      <c r="H620" s="79" t="b">
        <v>1</v>
      </c>
      <c r="I620" s="79" t="b">
        <v>0</v>
      </c>
      <c r="J620" s="79" t="b">
        <v>0</v>
      </c>
      <c r="K620" s="79" t="b">
        <v>0</v>
      </c>
      <c r="L620" s="79" t="b">
        <v>0</v>
      </c>
    </row>
    <row r="621" spans="1:12" ht="15">
      <c r="A621" s="85" t="s">
        <v>1967</v>
      </c>
      <c r="B621" s="84" t="s">
        <v>368</v>
      </c>
      <c r="C621" s="79">
        <v>2</v>
      </c>
      <c r="D621" s="109">
        <v>0.01223387832614519</v>
      </c>
      <c r="E621" s="109">
        <v>1.5563025007672873</v>
      </c>
      <c r="F621" s="79" t="s">
        <v>1655</v>
      </c>
      <c r="G621" s="79" t="b">
        <v>0</v>
      </c>
      <c r="H621" s="79" t="b">
        <v>0</v>
      </c>
      <c r="I621" s="79" t="b">
        <v>0</v>
      </c>
      <c r="J621" s="79" t="b">
        <v>0</v>
      </c>
      <c r="K621" s="79" t="b">
        <v>0</v>
      </c>
      <c r="L621" s="79" t="b">
        <v>0</v>
      </c>
    </row>
    <row r="622" spans="1:12" ht="15">
      <c r="A622" s="85" t="s">
        <v>368</v>
      </c>
      <c r="B622" s="84" t="s">
        <v>363</v>
      </c>
      <c r="C622" s="79">
        <v>2</v>
      </c>
      <c r="D622" s="109">
        <v>0.01223387832614519</v>
      </c>
      <c r="E622" s="109">
        <v>1.255272505103306</v>
      </c>
      <c r="F622" s="79" t="s">
        <v>1655</v>
      </c>
      <c r="G622" s="79" t="b">
        <v>0</v>
      </c>
      <c r="H622" s="79" t="b">
        <v>0</v>
      </c>
      <c r="I622" s="79" t="b">
        <v>0</v>
      </c>
      <c r="J622" s="79" t="b">
        <v>0</v>
      </c>
      <c r="K622" s="79" t="b">
        <v>0</v>
      </c>
      <c r="L622" s="79" t="b">
        <v>0</v>
      </c>
    </row>
    <row r="623" spans="1:12" ht="15">
      <c r="A623" s="85" t="s">
        <v>363</v>
      </c>
      <c r="B623" s="84" t="s">
        <v>1707</v>
      </c>
      <c r="C623" s="79">
        <v>2</v>
      </c>
      <c r="D623" s="109">
        <v>0.01223387832614519</v>
      </c>
      <c r="E623" s="109">
        <v>1.255272505103306</v>
      </c>
      <c r="F623" s="79" t="s">
        <v>1655</v>
      </c>
      <c r="G623" s="79" t="b">
        <v>0</v>
      </c>
      <c r="H623" s="79" t="b">
        <v>0</v>
      </c>
      <c r="I623" s="79" t="b">
        <v>0</v>
      </c>
      <c r="J623" s="79" t="b">
        <v>0</v>
      </c>
      <c r="K623" s="79" t="b">
        <v>0</v>
      </c>
      <c r="L623" s="79" t="b">
        <v>0</v>
      </c>
    </row>
    <row r="624" spans="1:12" ht="15">
      <c r="A624" s="85" t="s">
        <v>1707</v>
      </c>
      <c r="B624" s="84" t="s">
        <v>1730</v>
      </c>
      <c r="C624" s="79">
        <v>2</v>
      </c>
      <c r="D624" s="109">
        <v>0.01223387832614519</v>
      </c>
      <c r="E624" s="109">
        <v>1.5563025007672873</v>
      </c>
      <c r="F624" s="79" t="s">
        <v>1655</v>
      </c>
      <c r="G624" s="79" t="b">
        <v>0</v>
      </c>
      <c r="H624" s="79" t="b">
        <v>0</v>
      </c>
      <c r="I624" s="79" t="b">
        <v>0</v>
      </c>
      <c r="J624" s="79" t="b">
        <v>0</v>
      </c>
      <c r="K624" s="79" t="b">
        <v>0</v>
      </c>
      <c r="L624" s="79" t="b">
        <v>0</v>
      </c>
    </row>
    <row r="625" spans="1:12" ht="15">
      <c r="A625" s="85" t="s">
        <v>1730</v>
      </c>
      <c r="B625" s="84" t="s">
        <v>1968</v>
      </c>
      <c r="C625" s="79">
        <v>2</v>
      </c>
      <c r="D625" s="109">
        <v>0.01223387832614519</v>
      </c>
      <c r="E625" s="109">
        <v>1.5563025007672873</v>
      </c>
      <c r="F625" s="79" t="s">
        <v>1655</v>
      </c>
      <c r="G625" s="79" t="b">
        <v>0</v>
      </c>
      <c r="H625" s="79" t="b">
        <v>0</v>
      </c>
      <c r="I625" s="79" t="b">
        <v>0</v>
      </c>
      <c r="J625" s="79" t="b">
        <v>0</v>
      </c>
      <c r="K625" s="79" t="b">
        <v>0</v>
      </c>
      <c r="L625" s="79" t="b">
        <v>0</v>
      </c>
    </row>
    <row r="626" spans="1:12" ht="15">
      <c r="A626" s="85" t="s">
        <v>1968</v>
      </c>
      <c r="B626" s="84" t="s">
        <v>1747</v>
      </c>
      <c r="C626" s="79">
        <v>2</v>
      </c>
      <c r="D626" s="109">
        <v>0.01223387832614519</v>
      </c>
      <c r="E626" s="109">
        <v>1.5563025007672873</v>
      </c>
      <c r="F626" s="79" t="s">
        <v>1655</v>
      </c>
      <c r="G626" s="79" t="b">
        <v>0</v>
      </c>
      <c r="H626" s="79" t="b">
        <v>0</v>
      </c>
      <c r="I626" s="79" t="b">
        <v>0</v>
      </c>
      <c r="J626" s="79" t="b">
        <v>0</v>
      </c>
      <c r="K626" s="79" t="b">
        <v>0</v>
      </c>
      <c r="L626" s="79" t="b">
        <v>0</v>
      </c>
    </row>
    <row r="627" spans="1:12" ht="15">
      <c r="A627" s="85" t="s">
        <v>1747</v>
      </c>
      <c r="B627" s="84" t="s">
        <v>1733</v>
      </c>
      <c r="C627" s="79">
        <v>2</v>
      </c>
      <c r="D627" s="109">
        <v>0.01223387832614519</v>
      </c>
      <c r="E627" s="109">
        <v>1.255272505103306</v>
      </c>
      <c r="F627" s="79" t="s">
        <v>1655</v>
      </c>
      <c r="G627" s="79" t="b">
        <v>0</v>
      </c>
      <c r="H627" s="79" t="b">
        <v>0</v>
      </c>
      <c r="I627" s="79" t="b">
        <v>0</v>
      </c>
      <c r="J627" s="79" t="b">
        <v>0</v>
      </c>
      <c r="K627" s="79" t="b">
        <v>0</v>
      </c>
      <c r="L627" s="79" t="b">
        <v>0</v>
      </c>
    </row>
    <row r="628" spans="1:12" ht="15">
      <c r="A628" s="85" t="s">
        <v>1733</v>
      </c>
      <c r="B628" s="84" t="s">
        <v>1969</v>
      </c>
      <c r="C628" s="79">
        <v>2</v>
      </c>
      <c r="D628" s="109">
        <v>0.01223387832614519</v>
      </c>
      <c r="E628" s="109">
        <v>1.5563025007672873</v>
      </c>
      <c r="F628" s="79" t="s">
        <v>1655</v>
      </c>
      <c r="G628" s="79" t="b">
        <v>0</v>
      </c>
      <c r="H628" s="79" t="b">
        <v>0</v>
      </c>
      <c r="I628" s="79" t="b">
        <v>0</v>
      </c>
      <c r="J628" s="79" t="b">
        <v>0</v>
      </c>
      <c r="K628" s="79" t="b">
        <v>0</v>
      </c>
      <c r="L628" s="79" t="b">
        <v>0</v>
      </c>
    </row>
    <row r="629" spans="1:12" ht="15">
      <c r="A629" s="85" t="s">
        <v>1969</v>
      </c>
      <c r="B629" s="84" t="s">
        <v>1970</v>
      </c>
      <c r="C629" s="79">
        <v>2</v>
      </c>
      <c r="D629" s="109">
        <v>0.01223387832614519</v>
      </c>
      <c r="E629" s="109">
        <v>1.5563025007672873</v>
      </c>
      <c r="F629" s="79" t="s">
        <v>1655</v>
      </c>
      <c r="G629" s="79" t="b">
        <v>0</v>
      </c>
      <c r="H629" s="79" t="b">
        <v>0</v>
      </c>
      <c r="I629" s="79" t="b">
        <v>0</v>
      </c>
      <c r="J629" s="79" t="b">
        <v>0</v>
      </c>
      <c r="K629" s="79" t="b">
        <v>0</v>
      </c>
      <c r="L629" s="79" t="b">
        <v>0</v>
      </c>
    </row>
    <row r="630" spans="1:12" ht="15">
      <c r="A630" s="85" t="s">
        <v>1970</v>
      </c>
      <c r="B630" s="84" t="s">
        <v>1971</v>
      </c>
      <c r="C630" s="79">
        <v>2</v>
      </c>
      <c r="D630" s="109">
        <v>0.01223387832614519</v>
      </c>
      <c r="E630" s="109">
        <v>1.5563025007672873</v>
      </c>
      <c r="F630" s="79" t="s">
        <v>1655</v>
      </c>
      <c r="G630" s="79" t="b">
        <v>0</v>
      </c>
      <c r="H630" s="79" t="b">
        <v>0</v>
      </c>
      <c r="I630" s="79" t="b">
        <v>0</v>
      </c>
      <c r="J630" s="79" t="b">
        <v>0</v>
      </c>
      <c r="K630" s="79" t="b">
        <v>0</v>
      </c>
      <c r="L630" s="79" t="b">
        <v>0</v>
      </c>
    </row>
    <row r="631" spans="1:12" ht="15">
      <c r="A631" s="85" t="s">
        <v>1971</v>
      </c>
      <c r="B631" s="84" t="s">
        <v>1972</v>
      </c>
      <c r="C631" s="79">
        <v>2</v>
      </c>
      <c r="D631" s="109">
        <v>0.01223387832614519</v>
      </c>
      <c r="E631" s="109">
        <v>1.5563025007672873</v>
      </c>
      <c r="F631" s="79" t="s">
        <v>1655</v>
      </c>
      <c r="G631" s="79" t="b">
        <v>0</v>
      </c>
      <c r="H631" s="79" t="b">
        <v>0</v>
      </c>
      <c r="I631" s="79" t="b">
        <v>0</v>
      </c>
      <c r="J631" s="79" t="b">
        <v>0</v>
      </c>
      <c r="K631" s="79" t="b">
        <v>0</v>
      </c>
      <c r="L631" s="79" t="b">
        <v>0</v>
      </c>
    </row>
    <row r="632" spans="1:12" ht="15">
      <c r="A632" s="85" t="s">
        <v>1972</v>
      </c>
      <c r="B632" s="84" t="s">
        <v>1703</v>
      </c>
      <c r="C632" s="79">
        <v>2</v>
      </c>
      <c r="D632" s="109">
        <v>0.01223387832614519</v>
      </c>
      <c r="E632" s="109">
        <v>1.0791812460476249</v>
      </c>
      <c r="F632" s="79" t="s">
        <v>1655</v>
      </c>
      <c r="G632" s="79" t="b">
        <v>0</v>
      </c>
      <c r="H632" s="79" t="b">
        <v>0</v>
      </c>
      <c r="I632" s="79" t="b">
        <v>0</v>
      </c>
      <c r="J632" s="79" t="b">
        <v>0</v>
      </c>
      <c r="K632" s="79" t="b">
        <v>0</v>
      </c>
      <c r="L632" s="79" t="b">
        <v>0</v>
      </c>
    </row>
    <row r="633" spans="1:12" ht="15">
      <c r="A633" s="85" t="s">
        <v>1703</v>
      </c>
      <c r="B633" s="84" t="s">
        <v>1973</v>
      </c>
      <c r="C633" s="79">
        <v>2</v>
      </c>
      <c r="D633" s="109">
        <v>0.01223387832614519</v>
      </c>
      <c r="E633" s="109">
        <v>1.0791812460476249</v>
      </c>
      <c r="F633" s="79" t="s">
        <v>1655</v>
      </c>
      <c r="G633" s="79" t="b">
        <v>0</v>
      </c>
      <c r="H633" s="79" t="b">
        <v>0</v>
      </c>
      <c r="I633" s="79" t="b">
        <v>0</v>
      </c>
      <c r="J633" s="79" t="b">
        <v>0</v>
      </c>
      <c r="K633" s="79" t="b">
        <v>0</v>
      </c>
      <c r="L633" s="79" t="b">
        <v>0</v>
      </c>
    </row>
    <row r="634" spans="1:12" ht="15">
      <c r="A634" s="85" t="s">
        <v>1973</v>
      </c>
      <c r="B634" s="84" t="s">
        <v>1974</v>
      </c>
      <c r="C634" s="79">
        <v>2</v>
      </c>
      <c r="D634" s="109">
        <v>0.01223387832614519</v>
      </c>
      <c r="E634" s="109">
        <v>1.5563025007672873</v>
      </c>
      <c r="F634" s="79" t="s">
        <v>1655</v>
      </c>
      <c r="G634" s="79" t="b">
        <v>0</v>
      </c>
      <c r="H634" s="79" t="b">
        <v>0</v>
      </c>
      <c r="I634" s="79" t="b">
        <v>0</v>
      </c>
      <c r="J634" s="79" t="b">
        <v>0</v>
      </c>
      <c r="K634" s="79" t="b">
        <v>0</v>
      </c>
      <c r="L634" s="79" t="b">
        <v>0</v>
      </c>
    </row>
    <row r="635" spans="1:12" ht="15">
      <c r="A635" s="85" t="s">
        <v>1974</v>
      </c>
      <c r="B635" s="84" t="s">
        <v>1759</v>
      </c>
      <c r="C635" s="79">
        <v>2</v>
      </c>
      <c r="D635" s="109">
        <v>0.01223387832614519</v>
      </c>
      <c r="E635" s="109">
        <v>1.5563025007672873</v>
      </c>
      <c r="F635" s="79" t="s">
        <v>1655</v>
      </c>
      <c r="G635" s="79" t="b">
        <v>0</v>
      </c>
      <c r="H635" s="79" t="b">
        <v>0</v>
      </c>
      <c r="I635" s="79" t="b">
        <v>0</v>
      </c>
      <c r="J635" s="79" t="b">
        <v>0</v>
      </c>
      <c r="K635" s="79" t="b">
        <v>0</v>
      </c>
      <c r="L635" s="79" t="b">
        <v>0</v>
      </c>
    </row>
    <row r="636" spans="1:12" ht="15">
      <c r="A636" s="85" t="s">
        <v>1759</v>
      </c>
      <c r="B636" s="84" t="s">
        <v>1819</v>
      </c>
      <c r="C636" s="79">
        <v>2</v>
      </c>
      <c r="D636" s="109">
        <v>0.01223387832614519</v>
      </c>
      <c r="E636" s="109">
        <v>1.5563025007672873</v>
      </c>
      <c r="F636" s="79" t="s">
        <v>1655</v>
      </c>
      <c r="G636" s="79" t="b">
        <v>0</v>
      </c>
      <c r="H636" s="79" t="b">
        <v>0</v>
      </c>
      <c r="I636" s="79" t="b">
        <v>0</v>
      </c>
      <c r="J636" s="79" t="b">
        <v>0</v>
      </c>
      <c r="K636" s="79" t="b">
        <v>0</v>
      </c>
      <c r="L636" s="79" t="b">
        <v>0</v>
      </c>
    </row>
    <row r="637" spans="1:12" ht="15">
      <c r="A637" s="85" t="s">
        <v>1747</v>
      </c>
      <c r="B637" s="84" t="s">
        <v>1734</v>
      </c>
      <c r="C637" s="79">
        <v>2</v>
      </c>
      <c r="D637" s="109">
        <v>0.01223387832614519</v>
      </c>
      <c r="E637" s="109">
        <v>1.255272505103306</v>
      </c>
      <c r="F637" s="79" t="s">
        <v>1655</v>
      </c>
      <c r="G637" s="79" t="b">
        <v>0</v>
      </c>
      <c r="H637" s="79" t="b">
        <v>0</v>
      </c>
      <c r="I637" s="79" t="b">
        <v>0</v>
      </c>
      <c r="J637" s="79" t="b">
        <v>0</v>
      </c>
      <c r="K637" s="79" t="b">
        <v>0</v>
      </c>
      <c r="L637" s="79" t="b">
        <v>0</v>
      </c>
    </row>
    <row r="638" spans="1:12" ht="15">
      <c r="A638" s="85" t="s">
        <v>1734</v>
      </c>
      <c r="B638" s="84" t="s">
        <v>1729</v>
      </c>
      <c r="C638" s="79">
        <v>2</v>
      </c>
      <c r="D638" s="109">
        <v>0.01223387832614519</v>
      </c>
      <c r="E638" s="109">
        <v>1.5563025007672873</v>
      </c>
      <c r="F638" s="79" t="s">
        <v>1655</v>
      </c>
      <c r="G638" s="79" t="b">
        <v>0</v>
      </c>
      <c r="H638" s="79" t="b">
        <v>0</v>
      </c>
      <c r="I638" s="79" t="b">
        <v>0</v>
      </c>
      <c r="J638" s="79" t="b">
        <v>0</v>
      </c>
      <c r="K638" s="79" t="b">
        <v>0</v>
      </c>
      <c r="L638" s="79" t="b">
        <v>0</v>
      </c>
    </row>
    <row r="639" spans="1:12" ht="15">
      <c r="A639" s="85" t="s">
        <v>1729</v>
      </c>
      <c r="B639" s="84" t="s">
        <v>1724</v>
      </c>
      <c r="C639" s="79">
        <v>2</v>
      </c>
      <c r="D639" s="109">
        <v>0.01223387832614519</v>
      </c>
      <c r="E639" s="109">
        <v>1.5563025007672873</v>
      </c>
      <c r="F639" s="79" t="s">
        <v>1655</v>
      </c>
      <c r="G639" s="79" t="b">
        <v>0</v>
      </c>
      <c r="H639" s="79" t="b">
        <v>0</v>
      </c>
      <c r="I639" s="79" t="b">
        <v>0</v>
      </c>
      <c r="J639" s="79" t="b">
        <v>0</v>
      </c>
      <c r="K639" s="79" t="b">
        <v>0</v>
      </c>
      <c r="L639" s="79" t="b">
        <v>0</v>
      </c>
    </row>
    <row r="640" spans="1:12" ht="15">
      <c r="A640" s="85" t="s">
        <v>1724</v>
      </c>
      <c r="B640" s="84" t="s">
        <v>1752</v>
      </c>
      <c r="C640" s="79">
        <v>2</v>
      </c>
      <c r="D640" s="109">
        <v>0.01223387832614519</v>
      </c>
      <c r="E640" s="109">
        <v>1.5563025007672873</v>
      </c>
      <c r="F640" s="79" t="s">
        <v>1655</v>
      </c>
      <c r="G640" s="79" t="b">
        <v>0</v>
      </c>
      <c r="H640" s="79" t="b">
        <v>0</v>
      </c>
      <c r="I640" s="79" t="b">
        <v>0</v>
      </c>
      <c r="J640" s="79" t="b">
        <v>0</v>
      </c>
      <c r="K640" s="79" t="b">
        <v>0</v>
      </c>
      <c r="L640" s="79" t="b">
        <v>0</v>
      </c>
    </row>
    <row r="641" spans="1:12" ht="15">
      <c r="A641" s="85" t="s">
        <v>1752</v>
      </c>
      <c r="B641" s="84" t="s">
        <v>1703</v>
      </c>
      <c r="C641" s="79">
        <v>2</v>
      </c>
      <c r="D641" s="109">
        <v>0.01223387832614519</v>
      </c>
      <c r="E641" s="109">
        <v>1.0791812460476249</v>
      </c>
      <c r="F641" s="79" t="s">
        <v>1655</v>
      </c>
      <c r="G641" s="79" t="b">
        <v>0</v>
      </c>
      <c r="H641" s="79" t="b">
        <v>0</v>
      </c>
      <c r="I641" s="79" t="b">
        <v>0</v>
      </c>
      <c r="J641" s="79" t="b">
        <v>0</v>
      </c>
      <c r="K641" s="79" t="b">
        <v>0</v>
      </c>
      <c r="L641" s="79" t="b">
        <v>0</v>
      </c>
    </row>
    <row r="642" spans="1:12" ht="15">
      <c r="A642" s="85" t="s">
        <v>1703</v>
      </c>
      <c r="B642" s="84" t="s">
        <v>2022</v>
      </c>
      <c r="C642" s="79">
        <v>2</v>
      </c>
      <c r="D642" s="109">
        <v>0.01223387832614519</v>
      </c>
      <c r="E642" s="109">
        <v>1.0791812460476249</v>
      </c>
      <c r="F642" s="79" t="s">
        <v>1655</v>
      </c>
      <c r="G642" s="79" t="b">
        <v>0</v>
      </c>
      <c r="H642" s="79" t="b">
        <v>0</v>
      </c>
      <c r="I642" s="79" t="b">
        <v>0</v>
      </c>
      <c r="J642" s="79" t="b">
        <v>0</v>
      </c>
      <c r="K642" s="79" t="b">
        <v>0</v>
      </c>
      <c r="L642" s="79" t="b">
        <v>0</v>
      </c>
    </row>
    <row r="643" spans="1:12" ht="15">
      <c r="A643" s="85" t="s">
        <v>2023</v>
      </c>
      <c r="B643" s="84" t="s">
        <v>1732</v>
      </c>
      <c r="C643" s="79">
        <v>2</v>
      </c>
      <c r="D643" s="109">
        <v>0.01223387832614519</v>
      </c>
      <c r="E643" s="109">
        <v>1.5563025007672873</v>
      </c>
      <c r="F643" s="79" t="s">
        <v>1655</v>
      </c>
      <c r="G643" s="79" t="b">
        <v>0</v>
      </c>
      <c r="H643" s="79" t="b">
        <v>0</v>
      </c>
      <c r="I643" s="79" t="b">
        <v>0</v>
      </c>
      <c r="J643" s="79" t="b">
        <v>0</v>
      </c>
      <c r="K643" s="79" t="b">
        <v>0</v>
      </c>
      <c r="L643" s="79" t="b">
        <v>0</v>
      </c>
    </row>
    <row r="644" spans="1:12" ht="15">
      <c r="A644" s="85" t="s">
        <v>1732</v>
      </c>
      <c r="B644" s="84" t="s">
        <v>1703</v>
      </c>
      <c r="C644" s="79">
        <v>2</v>
      </c>
      <c r="D644" s="109">
        <v>0.01223387832614519</v>
      </c>
      <c r="E644" s="109">
        <v>1.0791812460476249</v>
      </c>
      <c r="F644" s="79" t="s">
        <v>1655</v>
      </c>
      <c r="G644" s="79" t="b">
        <v>0</v>
      </c>
      <c r="H644" s="79" t="b">
        <v>0</v>
      </c>
      <c r="I644" s="79" t="b">
        <v>0</v>
      </c>
      <c r="J644" s="79" t="b">
        <v>0</v>
      </c>
      <c r="K644" s="79" t="b">
        <v>0</v>
      </c>
      <c r="L644" s="79" t="b">
        <v>0</v>
      </c>
    </row>
    <row r="645" spans="1:12" ht="15">
      <c r="A645" s="85" t="s">
        <v>1703</v>
      </c>
      <c r="B645" s="84" t="s">
        <v>2024</v>
      </c>
      <c r="C645" s="79">
        <v>2</v>
      </c>
      <c r="D645" s="109">
        <v>0.01223387832614519</v>
      </c>
      <c r="E645" s="109">
        <v>1.0791812460476249</v>
      </c>
      <c r="F645" s="79" t="s">
        <v>1655</v>
      </c>
      <c r="G645" s="79" t="b">
        <v>0</v>
      </c>
      <c r="H645" s="79" t="b">
        <v>0</v>
      </c>
      <c r="I645" s="79" t="b">
        <v>0</v>
      </c>
      <c r="J645" s="79" t="b">
        <v>0</v>
      </c>
      <c r="K645" s="79" t="b">
        <v>0</v>
      </c>
      <c r="L645" s="79" t="b">
        <v>0</v>
      </c>
    </row>
    <row r="646" spans="1:12" ht="15">
      <c r="A646" s="85" t="s">
        <v>2024</v>
      </c>
      <c r="B646" s="84" t="s">
        <v>2025</v>
      </c>
      <c r="C646" s="79">
        <v>2</v>
      </c>
      <c r="D646" s="109">
        <v>0.01223387832614519</v>
      </c>
      <c r="E646" s="109">
        <v>1.5563025007672873</v>
      </c>
      <c r="F646" s="79" t="s">
        <v>1655</v>
      </c>
      <c r="G646" s="79" t="b">
        <v>0</v>
      </c>
      <c r="H646" s="79" t="b">
        <v>0</v>
      </c>
      <c r="I646" s="79" t="b">
        <v>0</v>
      </c>
      <c r="J646" s="79" t="b">
        <v>0</v>
      </c>
      <c r="K646" s="79" t="b">
        <v>0</v>
      </c>
      <c r="L646" s="79" t="b">
        <v>0</v>
      </c>
    </row>
    <row r="647" spans="1:12" ht="15">
      <c r="A647" s="85" t="s">
        <v>2025</v>
      </c>
      <c r="B647" s="84" t="s">
        <v>363</v>
      </c>
      <c r="C647" s="79">
        <v>2</v>
      </c>
      <c r="D647" s="109">
        <v>0.01223387832614519</v>
      </c>
      <c r="E647" s="109">
        <v>1.255272505103306</v>
      </c>
      <c r="F647" s="79" t="s">
        <v>1655</v>
      </c>
      <c r="G647" s="79" t="b">
        <v>0</v>
      </c>
      <c r="H647" s="79" t="b">
        <v>0</v>
      </c>
      <c r="I647" s="79" t="b">
        <v>0</v>
      </c>
      <c r="J647" s="79" t="b">
        <v>0</v>
      </c>
      <c r="K647" s="79" t="b">
        <v>0</v>
      </c>
      <c r="L647" s="79" t="b">
        <v>0</v>
      </c>
    </row>
    <row r="648" spans="1:12" ht="15">
      <c r="A648" s="85" t="s">
        <v>363</v>
      </c>
      <c r="B648" s="84" t="s">
        <v>2026</v>
      </c>
      <c r="C648" s="79">
        <v>2</v>
      </c>
      <c r="D648" s="109">
        <v>0.01223387832614519</v>
      </c>
      <c r="E648" s="109">
        <v>1.255272505103306</v>
      </c>
      <c r="F648" s="79" t="s">
        <v>1655</v>
      </c>
      <c r="G648" s="79" t="b">
        <v>0</v>
      </c>
      <c r="H648" s="79" t="b">
        <v>0</v>
      </c>
      <c r="I648" s="79" t="b">
        <v>0</v>
      </c>
      <c r="J648" s="79" t="b">
        <v>0</v>
      </c>
      <c r="K648" s="79" t="b">
        <v>0</v>
      </c>
      <c r="L648" s="79" t="b">
        <v>0</v>
      </c>
    </row>
    <row r="649" spans="1:12" ht="15">
      <c r="A649" s="85" t="s">
        <v>2026</v>
      </c>
      <c r="B649" s="84" t="s">
        <v>1757</v>
      </c>
      <c r="C649" s="79">
        <v>2</v>
      </c>
      <c r="D649" s="109">
        <v>0.01223387832614519</v>
      </c>
      <c r="E649" s="109">
        <v>1.5563025007672873</v>
      </c>
      <c r="F649" s="79" t="s">
        <v>1655</v>
      </c>
      <c r="G649" s="79" t="b">
        <v>0</v>
      </c>
      <c r="H649" s="79" t="b">
        <v>0</v>
      </c>
      <c r="I649" s="79" t="b">
        <v>0</v>
      </c>
      <c r="J649" s="79" t="b">
        <v>0</v>
      </c>
      <c r="K649" s="79" t="b">
        <v>0</v>
      </c>
      <c r="L649" s="79" t="b">
        <v>0</v>
      </c>
    </row>
    <row r="650" spans="1:12" ht="15">
      <c r="A650" s="85" t="s">
        <v>1757</v>
      </c>
      <c r="B650" s="84" t="s">
        <v>1840</v>
      </c>
      <c r="C650" s="79">
        <v>2</v>
      </c>
      <c r="D650" s="109">
        <v>0.01223387832614519</v>
      </c>
      <c r="E650" s="109">
        <v>1.5563025007672873</v>
      </c>
      <c r="F650" s="79" t="s">
        <v>1655</v>
      </c>
      <c r="G650" s="79" t="b">
        <v>0</v>
      </c>
      <c r="H650" s="79" t="b">
        <v>0</v>
      </c>
      <c r="I650" s="79" t="b">
        <v>0</v>
      </c>
      <c r="J650" s="79" t="b">
        <v>0</v>
      </c>
      <c r="K650" s="79" t="b">
        <v>0</v>
      </c>
      <c r="L650" s="79" t="b">
        <v>0</v>
      </c>
    </row>
    <row r="651" spans="1:12" ht="15">
      <c r="A651" s="85" t="s">
        <v>1840</v>
      </c>
      <c r="B651" s="84" t="s">
        <v>2027</v>
      </c>
      <c r="C651" s="79">
        <v>2</v>
      </c>
      <c r="D651" s="109">
        <v>0.01223387832614519</v>
      </c>
      <c r="E651" s="109">
        <v>1.5563025007672873</v>
      </c>
      <c r="F651" s="79" t="s">
        <v>1655</v>
      </c>
      <c r="G651" s="79" t="b">
        <v>0</v>
      </c>
      <c r="H651" s="79" t="b">
        <v>0</v>
      </c>
      <c r="I651" s="79" t="b">
        <v>0</v>
      </c>
      <c r="J651" s="79" t="b">
        <v>0</v>
      </c>
      <c r="K651" s="79" t="b">
        <v>0</v>
      </c>
      <c r="L651" s="79" t="b">
        <v>0</v>
      </c>
    </row>
    <row r="652" spans="1:12" ht="15">
      <c r="A652" s="85" t="s">
        <v>2027</v>
      </c>
      <c r="B652" s="84" t="s">
        <v>2028</v>
      </c>
      <c r="C652" s="79">
        <v>2</v>
      </c>
      <c r="D652" s="109">
        <v>0.01223387832614519</v>
      </c>
      <c r="E652" s="109">
        <v>1.5563025007672873</v>
      </c>
      <c r="F652" s="79" t="s">
        <v>1655</v>
      </c>
      <c r="G652" s="79" t="b">
        <v>0</v>
      </c>
      <c r="H652" s="79" t="b">
        <v>0</v>
      </c>
      <c r="I652" s="79" t="b">
        <v>0</v>
      </c>
      <c r="J652" s="79" t="b">
        <v>0</v>
      </c>
      <c r="K652" s="79" t="b">
        <v>0</v>
      </c>
      <c r="L652" s="79" t="b">
        <v>0</v>
      </c>
    </row>
    <row r="653" spans="1:12" ht="15">
      <c r="A653" s="85" t="s">
        <v>2028</v>
      </c>
      <c r="B653" s="84" t="s">
        <v>2029</v>
      </c>
      <c r="C653" s="79">
        <v>2</v>
      </c>
      <c r="D653" s="109">
        <v>0.01223387832614519</v>
      </c>
      <c r="E653" s="109">
        <v>1.5563025007672873</v>
      </c>
      <c r="F653" s="79" t="s">
        <v>1655</v>
      </c>
      <c r="G653" s="79" t="b">
        <v>0</v>
      </c>
      <c r="H653" s="79" t="b">
        <v>0</v>
      </c>
      <c r="I653" s="79" t="b">
        <v>0</v>
      </c>
      <c r="J653" s="79" t="b">
        <v>0</v>
      </c>
      <c r="K653" s="79" t="b">
        <v>0</v>
      </c>
      <c r="L653" s="79" t="b">
        <v>0</v>
      </c>
    </row>
    <row r="654" spans="1:12" ht="15">
      <c r="A654" s="85" t="s">
        <v>2029</v>
      </c>
      <c r="B654" s="84" t="s">
        <v>2030</v>
      </c>
      <c r="C654" s="79">
        <v>2</v>
      </c>
      <c r="D654" s="109">
        <v>0.01223387832614519</v>
      </c>
      <c r="E654" s="109">
        <v>1.5563025007672873</v>
      </c>
      <c r="F654" s="79" t="s">
        <v>1655</v>
      </c>
      <c r="G654" s="79" t="b">
        <v>0</v>
      </c>
      <c r="H654" s="79" t="b">
        <v>0</v>
      </c>
      <c r="I654" s="79" t="b">
        <v>0</v>
      </c>
      <c r="J654" s="79" t="b">
        <v>0</v>
      </c>
      <c r="K654" s="79" t="b">
        <v>0</v>
      </c>
      <c r="L654" s="79" t="b">
        <v>0</v>
      </c>
    </row>
    <row r="655" spans="1:12" ht="15">
      <c r="A655" s="85" t="s">
        <v>2030</v>
      </c>
      <c r="B655" s="84" t="s">
        <v>362</v>
      </c>
      <c r="C655" s="79">
        <v>2</v>
      </c>
      <c r="D655" s="109">
        <v>0.01223387832614519</v>
      </c>
      <c r="E655" s="109">
        <v>1.5563025007672873</v>
      </c>
      <c r="F655" s="79" t="s">
        <v>1655</v>
      </c>
      <c r="G655" s="79" t="b">
        <v>0</v>
      </c>
      <c r="H655" s="79" t="b">
        <v>0</v>
      </c>
      <c r="I655" s="79" t="b">
        <v>0</v>
      </c>
      <c r="J655" s="79" t="b">
        <v>0</v>
      </c>
      <c r="K655" s="79" t="b">
        <v>0</v>
      </c>
      <c r="L655" s="79" t="b">
        <v>0</v>
      </c>
    </row>
    <row r="656" spans="1:12" ht="15">
      <c r="A656" s="85" t="s">
        <v>1795</v>
      </c>
      <c r="B656" s="84" t="s">
        <v>219</v>
      </c>
      <c r="C656" s="79">
        <v>7</v>
      </c>
      <c r="D656" s="109">
        <v>0</v>
      </c>
      <c r="E656" s="109">
        <v>1.2304489213782739</v>
      </c>
      <c r="F656" s="79" t="s">
        <v>1656</v>
      </c>
      <c r="G656" s="79" t="b">
        <v>0</v>
      </c>
      <c r="H656" s="79" t="b">
        <v>0</v>
      </c>
      <c r="I656" s="79" t="b">
        <v>0</v>
      </c>
      <c r="J656" s="79" t="b">
        <v>0</v>
      </c>
      <c r="K656" s="79" t="b">
        <v>0</v>
      </c>
      <c r="L656" s="79" t="b">
        <v>0</v>
      </c>
    </row>
    <row r="657" spans="1:12" ht="15">
      <c r="A657" s="85" t="s">
        <v>219</v>
      </c>
      <c r="B657" s="84" t="s">
        <v>1796</v>
      </c>
      <c r="C657" s="79">
        <v>7</v>
      </c>
      <c r="D657" s="109">
        <v>0</v>
      </c>
      <c r="E657" s="109">
        <v>1.2304489213782739</v>
      </c>
      <c r="F657" s="79" t="s">
        <v>1656</v>
      </c>
      <c r="G657" s="79" t="b">
        <v>0</v>
      </c>
      <c r="H657" s="79" t="b">
        <v>0</v>
      </c>
      <c r="I657" s="79" t="b">
        <v>0</v>
      </c>
      <c r="J657" s="79" t="b">
        <v>0</v>
      </c>
      <c r="K657" s="79" t="b">
        <v>0</v>
      </c>
      <c r="L657" s="79" t="b">
        <v>0</v>
      </c>
    </row>
    <row r="658" spans="1:12" ht="15">
      <c r="A658" s="85" t="s">
        <v>1796</v>
      </c>
      <c r="B658" s="84" t="s">
        <v>1797</v>
      </c>
      <c r="C658" s="79">
        <v>7</v>
      </c>
      <c r="D658" s="109">
        <v>0</v>
      </c>
      <c r="E658" s="109">
        <v>1.2304489213782739</v>
      </c>
      <c r="F658" s="79" t="s">
        <v>1656</v>
      </c>
      <c r="G658" s="79" t="b">
        <v>0</v>
      </c>
      <c r="H658" s="79" t="b">
        <v>0</v>
      </c>
      <c r="I658" s="79" t="b">
        <v>0</v>
      </c>
      <c r="J658" s="79" t="b">
        <v>0</v>
      </c>
      <c r="K658" s="79" t="b">
        <v>0</v>
      </c>
      <c r="L658" s="79" t="b">
        <v>0</v>
      </c>
    </row>
    <row r="659" spans="1:12" ht="15">
      <c r="A659" s="85" t="s">
        <v>1797</v>
      </c>
      <c r="B659" s="84" t="s">
        <v>1798</v>
      </c>
      <c r="C659" s="79">
        <v>7</v>
      </c>
      <c r="D659" s="109">
        <v>0</v>
      </c>
      <c r="E659" s="109">
        <v>1.2304489213782739</v>
      </c>
      <c r="F659" s="79" t="s">
        <v>1656</v>
      </c>
      <c r="G659" s="79" t="b">
        <v>0</v>
      </c>
      <c r="H659" s="79" t="b">
        <v>0</v>
      </c>
      <c r="I659" s="79" t="b">
        <v>0</v>
      </c>
      <c r="J659" s="79" t="b">
        <v>0</v>
      </c>
      <c r="K659" s="79" t="b">
        <v>0</v>
      </c>
      <c r="L659" s="79" t="b">
        <v>0</v>
      </c>
    </row>
    <row r="660" spans="1:12" ht="15">
      <c r="A660" s="85" t="s">
        <v>1798</v>
      </c>
      <c r="B660" s="84" t="s">
        <v>1799</v>
      </c>
      <c r="C660" s="79">
        <v>7</v>
      </c>
      <c r="D660" s="109">
        <v>0</v>
      </c>
      <c r="E660" s="109">
        <v>1.2304489213782739</v>
      </c>
      <c r="F660" s="79" t="s">
        <v>1656</v>
      </c>
      <c r="G660" s="79" t="b">
        <v>0</v>
      </c>
      <c r="H660" s="79" t="b">
        <v>0</v>
      </c>
      <c r="I660" s="79" t="b">
        <v>0</v>
      </c>
      <c r="J660" s="79" t="b">
        <v>0</v>
      </c>
      <c r="K660" s="79" t="b">
        <v>0</v>
      </c>
      <c r="L660" s="79" t="b">
        <v>0</v>
      </c>
    </row>
    <row r="661" spans="1:12" ht="15">
      <c r="A661" s="85" t="s">
        <v>1799</v>
      </c>
      <c r="B661" s="84" t="s">
        <v>1800</v>
      </c>
      <c r="C661" s="79">
        <v>7</v>
      </c>
      <c r="D661" s="109">
        <v>0</v>
      </c>
      <c r="E661" s="109">
        <v>1.2304489213782739</v>
      </c>
      <c r="F661" s="79" t="s">
        <v>1656</v>
      </c>
      <c r="G661" s="79" t="b">
        <v>0</v>
      </c>
      <c r="H661" s="79" t="b">
        <v>0</v>
      </c>
      <c r="I661" s="79" t="b">
        <v>0</v>
      </c>
      <c r="J661" s="79" t="b">
        <v>0</v>
      </c>
      <c r="K661" s="79" t="b">
        <v>0</v>
      </c>
      <c r="L661" s="79" t="b">
        <v>0</v>
      </c>
    </row>
    <row r="662" spans="1:12" ht="15">
      <c r="A662" s="85" t="s">
        <v>1800</v>
      </c>
      <c r="B662" s="84" t="s">
        <v>220</v>
      </c>
      <c r="C662" s="79">
        <v>7</v>
      </c>
      <c r="D662" s="109">
        <v>0</v>
      </c>
      <c r="E662" s="109">
        <v>1.2304489213782739</v>
      </c>
      <c r="F662" s="79" t="s">
        <v>1656</v>
      </c>
      <c r="G662" s="79" t="b">
        <v>0</v>
      </c>
      <c r="H662" s="79" t="b">
        <v>0</v>
      </c>
      <c r="I662" s="79" t="b">
        <v>0</v>
      </c>
      <c r="J662" s="79" t="b">
        <v>0</v>
      </c>
      <c r="K662" s="79" t="b">
        <v>0</v>
      </c>
      <c r="L662" s="79" t="b">
        <v>0</v>
      </c>
    </row>
    <row r="663" spans="1:12" ht="15">
      <c r="A663" s="85" t="s">
        <v>220</v>
      </c>
      <c r="B663" s="84" t="s">
        <v>358</v>
      </c>
      <c r="C663" s="79">
        <v>7</v>
      </c>
      <c r="D663" s="109">
        <v>0</v>
      </c>
      <c r="E663" s="109">
        <v>1.2304489213782739</v>
      </c>
      <c r="F663" s="79" t="s">
        <v>1656</v>
      </c>
      <c r="G663" s="79" t="b">
        <v>0</v>
      </c>
      <c r="H663" s="79" t="b">
        <v>0</v>
      </c>
      <c r="I663" s="79" t="b">
        <v>0</v>
      </c>
      <c r="J663" s="79" t="b">
        <v>0</v>
      </c>
      <c r="K663" s="79" t="b">
        <v>0</v>
      </c>
      <c r="L663" s="79" t="b">
        <v>0</v>
      </c>
    </row>
    <row r="664" spans="1:12" ht="15">
      <c r="A664" s="85" t="s">
        <v>358</v>
      </c>
      <c r="B664" s="84" t="s">
        <v>221</v>
      </c>
      <c r="C664" s="79">
        <v>7</v>
      </c>
      <c r="D664" s="109">
        <v>0</v>
      </c>
      <c r="E664" s="109">
        <v>1.2304489213782739</v>
      </c>
      <c r="F664" s="79" t="s">
        <v>1656</v>
      </c>
      <c r="G664" s="79" t="b">
        <v>0</v>
      </c>
      <c r="H664" s="79" t="b">
        <v>0</v>
      </c>
      <c r="I664" s="79" t="b">
        <v>0</v>
      </c>
      <c r="J664" s="79" t="b">
        <v>0</v>
      </c>
      <c r="K664" s="79" t="b">
        <v>0</v>
      </c>
      <c r="L664" s="79" t="b">
        <v>0</v>
      </c>
    </row>
    <row r="665" spans="1:12" ht="15">
      <c r="A665" s="85" t="s">
        <v>221</v>
      </c>
      <c r="B665" s="84" t="s">
        <v>1801</v>
      </c>
      <c r="C665" s="79">
        <v>7</v>
      </c>
      <c r="D665" s="109">
        <v>0</v>
      </c>
      <c r="E665" s="109">
        <v>1.2304489213782739</v>
      </c>
      <c r="F665" s="79" t="s">
        <v>1656</v>
      </c>
      <c r="G665" s="79" t="b">
        <v>0</v>
      </c>
      <c r="H665" s="79" t="b">
        <v>0</v>
      </c>
      <c r="I665" s="79" t="b">
        <v>0</v>
      </c>
      <c r="J665" s="79" t="b">
        <v>0</v>
      </c>
      <c r="K665" s="79" t="b">
        <v>0</v>
      </c>
      <c r="L665" s="79" t="b">
        <v>0</v>
      </c>
    </row>
    <row r="666" spans="1:12" ht="15">
      <c r="A666" s="85" t="s">
        <v>1801</v>
      </c>
      <c r="B666" s="84" t="s">
        <v>1802</v>
      </c>
      <c r="C666" s="79">
        <v>7</v>
      </c>
      <c r="D666" s="109">
        <v>0</v>
      </c>
      <c r="E666" s="109">
        <v>1.2304489213782739</v>
      </c>
      <c r="F666" s="79" t="s">
        <v>1656</v>
      </c>
      <c r="G666" s="79" t="b">
        <v>0</v>
      </c>
      <c r="H666" s="79" t="b">
        <v>0</v>
      </c>
      <c r="I666" s="79" t="b">
        <v>0</v>
      </c>
      <c r="J666" s="79" t="b">
        <v>0</v>
      </c>
      <c r="K666" s="79" t="b">
        <v>0</v>
      </c>
      <c r="L666" s="79" t="b">
        <v>0</v>
      </c>
    </row>
    <row r="667" spans="1:12" ht="15">
      <c r="A667" s="85" t="s">
        <v>1802</v>
      </c>
      <c r="B667" s="84" t="s">
        <v>1744</v>
      </c>
      <c r="C667" s="79">
        <v>7</v>
      </c>
      <c r="D667" s="109">
        <v>0</v>
      </c>
      <c r="E667" s="109">
        <v>0.9294189257142927</v>
      </c>
      <c r="F667" s="79" t="s">
        <v>1656</v>
      </c>
      <c r="G667" s="79" t="b">
        <v>0</v>
      </c>
      <c r="H667" s="79" t="b">
        <v>0</v>
      </c>
      <c r="I667" s="79" t="b">
        <v>0</v>
      </c>
      <c r="J667" s="79" t="b">
        <v>0</v>
      </c>
      <c r="K667" s="79" t="b">
        <v>0</v>
      </c>
      <c r="L667" s="79" t="b">
        <v>0</v>
      </c>
    </row>
    <row r="668" spans="1:12" ht="15">
      <c r="A668" s="85" t="s">
        <v>1744</v>
      </c>
      <c r="B668" s="84" t="s">
        <v>1803</v>
      </c>
      <c r="C668" s="79">
        <v>7</v>
      </c>
      <c r="D668" s="109">
        <v>0</v>
      </c>
      <c r="E668" s="109">
        <v>0.9294189257142927</v>
      </c>
      <c r="F668" s="79" t="s">
        <v>1656</v>
      </c>
      <c r="G668" s="79" t="b">
        <v>0</v>
      </c>
      <c r="H668" s="79" t="b">
        <v>0</v>
      </c>
      <c r="I668" s="79" t="b">
        <v>0</v>
      </c>
      <c r="J668" s="79" t="b">
        <v>0</v>
      </c>
      <c r="K668" s="79" t="b">
        <v>0</v>
      </c>
      <c r="L668" s="79" t="b">
        <v>0</v>
      </c>
    </row>
    <row r="669" spans="1:12" ht="15">
      <c r="A669" s="85" t="s">
        <v>1803</v>
      </c>
      <c r="B669" s="84" t="s">
        <v>1751</v>
      </c>
      <c r="C669" s="79">
        <v>7</v>
      </c>
      <c r="D669" s="109">
        <v>0</v>
      </c>
      <c r="E669" s="109">
        <v>1.2304489213782739</v>
      </c>
      <c r="F669" s="79" t="s">
        <v>1656</v>
      </c>
      <c r="G669" s="79" t="b">
        <v>0</v>
      </c>
      <c r="H669" s="79" t="b">
        <v>0</v>
      </c>
      <c r="I669" s="79" t="b">
        <v>0</v>
      </c>
      <c r="J669" s="79" t="b">
        <v>0</v>
      </c>
      <c r="K669" s="79" t="b">
        <v>0</v>
      </c>
      <c r="L669" s="79" t="b">
        <v>0</v>
      </c>
    </row>
    <row r="670" spans="1:12" ht="15">
      <c r="A670" s="85" t="s">
        <v>1751</v>
      </c>
      <c r="B670" s="84" t="s">
        <v>1703</v>
      </c>
      <c r="C670" s="79">
        <v>7</v>
      </c>
      <c r="D670" s="109">
        <v>0</v>
      </c>
      <c r="E670" s="109">
        <v>1.2304489213782739</v>
      </c>
      <c r="F670" s="79" t="s">
        <v>1656</v>
      </c>
      <c r="G670" s="79" t="b">
        <v>0</v>
      </c>
      <c r="H670" s="79" t="b">
        <v>0</v>
      </c>
      <c r="I670" s="79" t="b">
        <v>0</v>
      </c>
      <c r="J670" s="79" t="b">
        <v>0</v>
      </c>
      <c r="K670" s="79" t="b">
        <v>0</v>
      </c>
      <c r="L670" s="79" t="b">
        <v>0</v>
      </c>
    </row>
    <row r="671" spans="1:12" ht="15">
      <c r="A671" s="85" t="s">
        <v>1703</v>
      </c>
      <c r="B671" s="84" t="s">
        <v>1744</v>
      </c>
      <c r="C671" s="79">
        <v>7</v>
      </c>
      <c r="D671" s="109">
        <v>0</v>
      </c>
      <c r="E671" s="109">
        <v>0.9294189257142927</v>
      </c>
      <c r="F671" s="79" t="s">
        <v>1656</v>
      </c>
      <c r="G671" s="79" t="b">
        <v>0</v>
      </c>
      <c r="H671" s="79" t="b">
        <v>0</v>
      </c>
      <c r="I671" s="79" t="b">
        <v>0</v>
      </c>
      <c r="J671" s="79" t="b">
        <v>0</v>
      </c>
      <c r="K671" s="79" t="b">
        <v>0</v>
      </c>
      <c r="L671" s="79" t="b">
        <v>0</v>
      </c>
    </row>
    <row r="672" spans="1:12" ht="15">
      <c r="A672" s="85" t="s">
        <v>1744</v>
      </c>
      <c r="B672" s="84" t="s">
        <v>1804</v>
      </c>
      <c r="C672" s="79">
        <v>7</v>
      </c>
      <c r="D672" s="109">
        <v>0</v>
      </c>
      <c r="E672" s="109">
        <v>0.9294189257142927</v>
      </c>
      <c r="F672" s="79" t="s">
        <v>1656</v>
      </c>
      <c r="G672" s="79" t="b">
        <v>0</v>
      </c>
      <c r="H672" s="79" t="b">
        <v>0</v>
      </c>
      <c r="I672" s="79" t="b">
        <v>0</v>
      </c>
      <c r="J672" s="79" t="b">
        <v>0</v>
      </c>
      <c r="K672" s="79" t="b">
        <v>0</v>
      </c>
      <c r="L672" s="79" t="b">
        <v>0</v>
      </c>
    </row>
    <row r="673" spans="1:12" ht="15">
      <c r="A673" s="85" t="s">
        <v>1764</v>
      </c>
      <c r="B673" s="84" t="s">
        <v>1765</v>
      </c>
      <c r="C673" s="79">
        <v>7</v>
      </c>
      <c r="D673" s="109">
        <v>0.00596883817168341</v>
      </c>
      <c r="E673" s="109">
        <v>1.1144650274229004</v>
      </c>
      <c r="F673" s="79" t="s">
        <v>1657</v>
      </c>
      <c r="G673" s="79" t="b">
        <v>0</v>
      </c>
      <c r="H673" s="79" t="b">
        <v>0</v>
      </c>
      <c r="I673" s="79" t="b">
        <v>0</v>
      </c>
      <c r="J673" s="79" t="b">
        <v>0</v>
      </c>
      <c r="K673" s="79" t="b">
        <v>0</v>
      </c>
      <c r="L673" s="79" t="b">
        <v>0</v>
      </c>
    </row>
    <row r="674" spans="1:12" ht="15">
      <c r="A674" s="85" t="s">
        <v>1805</v>
      </c>
      <c r="B674" s="84" t="s">
        <v>1752</v>
      </c>
      <c r="C674" s="79">
        <v>6</v>
      </c>
      <c r="D674" s="109">
        <v>0.008254277768235058</v>
      </c>
      <c r="E674" s="109">
        <v>1.2304489213782739</v>
      </c>
      <c r="F674" s="79" t="s">
        <v>1657</v>
      </c>
      <c r="G674" s="79" t="b">
        <v>0</v>
      </c>
      <c r="H674" s="79" t="b">
        <v>0</v>
      </c>
      <c r="I674" s="79" t="b">
        <v>0</v>
      </c>
      <c r="J674" s="79" t="b">
        <v>0</v>
      </c>
      <c r="K674" s="79" t="b">
        <v>0</v>
      </c>
      <c r="L674" s="79" t="b">
        <v>0</v>
      </c>
    </row>
    <row r="675" spans="1:12" ht="15">
      <c r="A675" s="85" t="s">
        <v>1752</v>
      </c>
      <c r="B675" s="84" t="s">
        <v>1703</v>
      </c>
      <c r="C675" s="79">
        <v>5</v>
      </c>
      <c r="D675" s="109">
        <v>0.009971582230597893</v>
      </c>
      <c r="E675" s="109">
        <v>0.9751764162749679</v>
      </c>
      <c r="F675" s="79" t="s">
        <v>1657</v>
      </c>
      <c r="G675" s="79" t="b">
        <v>0</v>
      </c>
      <c r="H675" s="79" t="b">
        <v>0</v>
      </c>
      <c r="I675" s="79" t="b">
        <v>0</v>
      </c>
      <c r="J675" s="79" t="b">
        <v>0</v>
      </c>
      <c r="K675" s="79" t="b">
        <v>0</v>
      </c>
      <c r="L675" s="79" t="b">
        <v>0</v>
      </c>
    </row>
    <row r="676" spans="1:12" ht="15">
      <c r="A676" s="85" t="s">
        <v>1703</v>
      </c>
      <c r="B676" s="84" t="s">
        <v>1782</v>
      </c>
      <c r="C676" s="79">
        <v>5</v>
      </c>
      <c r="D676" s="109">
        <v>0.009971582230597893</v>
      </c>
      <c r="E676" s="109">
        <v>1.084320885700036</v>
      </c>
      <c r="F676" s="79" t="s">
        <v>1657</v>
      </c>
      <c r="G676" s="79" t="b">
        <v>0</v>
      </c>
      <c r="H676" s="79" t="b">
        <v>0</v>
      </c>
      <c r="I676" s="79" t="b">
        <v>0</v>
      </c>
      <c r="J676" s="79" t="b">
        <v>0</v>
      </c>
      <c r="K676" s="79" t="b">
        <v>0</v>
      </c>
      <c r="L676" s="79" t="b">
        <v>0</v>
      </c>
    </row>
    <row r="677" spans="1:12" ht="15">
      <c r="A677" s="85" t="s">
        <v>1858</v>
      </c>
      <c r="B677" s="84" t="s">
        <v>1859</v>
      </c>
      <c r="C677" s="79">
        <v>4</v>
      </c>
      <c r="D677" s="109">
        <v>0.011005703690980077</v>
      </c>
      <c r="E677" s="109">
        <v>1.4734869700645683</v>
      </c>
      <c r="F677" s="79" t="s">
        <v>1657</v>
      </c>
      <c r="G677" s="79" t="b">
        <v>0</v>
      </c>
      <c r="H677" s="79" t="b">
        <v>0</v>
      </c>
      <c r="I677" s="79" t="b">
        <v>0</v>
      </c>
      <c r="J677" s="79" t="b">
        <v>0</v>
      </c>
      <c r="K677" s="79" t="b">
        <v>0</v>
      </c>
      <c r="L677" s="79" t="b">
        <v>0</v>
      </c>
    </row>
    <row r="678" spans="1:12" ht="15">
      <c r="A678" s="85" t="s">
        <v>1859</v>
      </c>
      <c r="B678" s="84" t="s">
        <v>1766</v>
      </c>
      <c r="C678" s="79">
        <v>4</v>
      </c>
      <c r="D678" s="109">
        <v>0.011005703690980077</v>
      </c>
      <c r="E678" s="109">
        <v>1.4734869700645683</v>
      </c>
      <c r="F678" s="79" t="s">
        <v>1657</v>
      </c>
      <c r="G678" s="79" t="b">
        <v>0</v>
      </c>
      <c r="H678" s="79" t="b">
        <v>0</v>
      </c>
      <c r="I678" s="79" t="b">
        <v>0</v>
      </c>
      <c r="J678" s="79" t="b">
        <v>0</v>
      </c>
      <c r="K678" s="79" t="b">
        <v>0</v>
      </c>
      <c r="L678" s="79" t="b">
        <v>0</v>
      </c>
    </row>
    <row r="679" spans="1:12" ht="15">
      <c r="A679" s="85" t="s">
        <v>1766</v>
      </c>
      <c r="B679" s="84" t="s">
        <v>1860</v>
      </c>
      <c r="C679" s="79">
        <v>4</v>
      </c>
      <c r="D679" s="109">
        <v>0.011005703690980077</v>
      </c>
      <c r="E679" s="109">
        <v>1.3765769570565118</v>
      </c>
      <c r="F679" s="79" t="s">
        <v>1657</v>
      </c>
      <c r="G679" s="79" t="b">
        <v>0</v>
      </c>
      <c r="H679" s="79" t="b">
        <v>0</v>
      </c>
      <c r="I679" s="79" t="b">
        <v>0</v>
      </c>
      <c r="J679" s="79" t="b">
        <v>0</v>
      </c>
      <c r="K679" s="79" t="b">
        <v>0</v>
      </c>
      <c r="L679" s="79" t="b">
        <v>0</v>
      </c>
    </row>
    <row r="680" spans="1:12" ht="15">
      <c r="A680" s="85" t="s">
        <v>1860</v>
      </c>
      <c r="B680" s="84" t="s">
        <v>1861</v>
      </c>
      <c r="C680" s="79">
        <v>4</v>
      </c>
      <c r="D680" s="109">
        <v>0.011005703690980077</v>
      </c>
      <c r="E680" s="109">
        <v>1.4734869700645683</v>
      </c>
      <c r="F680" s="79" t="s">
        <v>1657</v>
      </c>
      <c r="G680" s="79" t="b">
        <v>0</v>
      </c>
      <c r="H680" s="79" t="b">
        <v>0</v>
      </c>
      <c r="I680" s="79" t="b">
        <v>0</v>
      </c>
      <c r="J680" s="79" t="b">
        <v>0</v>
      </c>
      <c r="K680" s="79" t="b">
        <v>0</v>
      </c>
      <c r="L680" s="79" t="b">
        <v>0</v>
      </c>
    </row>
    <row r="681" spans="1:12" ht="15">
      <c r="A681" s="85" t="s">
        <v>1861</v>
      </c>
      <c r="B681" s="84" t="s">
        <v>376</v>
      </c>
      <c r="C681" s="79">
        <v>4</v>
      </c>
      <c r="D681" s="109">
        <v>0.011005703690980077</v>
      </c>
      <c r="E681" s="109">
        <v>1.2973957110088872</v>
      </c>
      <c r="F681" s="79" t="s">
        <v>1657</v>
      </c>
      <c r="G681" s="79" t="b">
        <v>0</v>
      </c>
      <c r="H681" s="79" t="b">
        <v>0</v>
      </c>
      <c r="I681" s="79" t="b">
        <v>0</v>
      </c>
      <c r="J681" s="79" t="b">
        <v>0</v>
      </c>
      <c r="K681" s="79" t="b">
        <v>0</v>
      </c>
      <c r="L681" s="79" t="b">
        <v>0</v>
      </c>
    </row>
    <row r="682" spans="1:12" ht="15">
      <c r="A682" s="85" t="s">
        <v>376</v>
      </c>
      <c r="B682" s="84" t="s">
        <v>1749</v>
      </c>
      <c r="C682" s="79">
        <v>4</v>
      </c>
      <c r="D682" s="109">
        <v>0.011005703690980077</v>
      </c>
      <c r="E682" s="109">
        <v>0.996365715344906</v>
      </c>
      <c r="F682" s="79" t="s">
        <v>1657</v>
      </c>
      <c r="G682" s="79" t="b">
        <v>0</v>
      </c>
      <c r="H682" s="79" t="b">
        <v>0</v>
      </c>
      <c r="I682" s="79" t="b">
        <v>0</v>
      </c>
      <c r="J682" s="79" t="b">
        <v>0</v>
      </c>
      <c r="K682" s="79" t="b">
        <v>0</v>
      </c>
      <c r="L682" s="79" t="b">
        <v>0</v>
      </c>
    </row>
    <row r="683" spans="1:12" ht="15">
      <c r="A683" s="85" t="s">
        <v>1749</v>
      </c>
      <c r="B683" s="84" t="s">
        <v>1862</v>
      </c>
      <c r="C683" s="79">
        <v>4</v>
      </c>
      <c r="D683" s="109">
        <v>0.011005703690980077</v>
      </c>
      <c r="E683" s="109">
        <v>1.1213044519532058</v>
      </c>
      <c r="F683" s="79" t="s">
        <v>1657</v>
      </c>
      <c r="G683" s="79" t="b">
        <v>0</v>
      </c>
      <c r="H683" s="79" t="b">
        <v>0</v>
      </c>
      <c r="I683" s="79" t="b">
        <v>0</v>
      </c>
      <c r="J683" s="79" t="b">
        <v>0</v>
      </c>
      <c r="K683" s="79" t="b">
        <v>0</v>
      </c>
      <c r="L683" s="79" t="b">
        <v>0</v>
      </c>
    </row>
    <row r="684" spans="1:12" ht="15">
      <c r="A684" s="85" t="s">
        <v>1862</v>
      </c>
      <c r="B684" s="84" t="s">
        <v>1783</v>
      </c>
      <c r="C684" s="79">
        <v>4</v>
      </c>
      <c r="D684" s="109">
        <v>0.011005703690980077</v>
      </c>
      <c r="E684" s="109">
        <v>1.2304489213782739</v>
      </c>
      <c r="F684" s="79" t="s">
        <v>1657</v>
      </c>
      <c r="G684" s="79" t="b">
        <v>0</v>
      </c>
      <c r="H684" s="79" t="b">
        <v>0</v>
      </c>
      <c r="I684" s="79" t="b">
        <v>0</v>
      </c>
      <c r="J684" s="79" t="b">
        <v>0</v>
      </c>
      <c r="K684" s="79" t="b">
        <v>0</v>
      </c>
      <c r="L684" s="79" t="b">
        <v>0</v>
      </c>
    </row>
    <row r="685" spans="1:12" ht="15">
      <c r="A685" s="85" t="s">
        <v>1783</v>
      </c>
      <c r="B685" s="84" t="s">
        <v>1805</v>
      </c>
      <c r="C685" s="79">
        <v>4</v>
      </c>
      <c r="D685" s="109">
        <v>0.011005703690980077</v>
      </c>
      <c r="E685" s="109">
        <v>1.1213044519532058</v>
      </c>
      <c r="F685" s="79" t="s">
        <v>1657</v>
      </c>
      <c r="G685" s="79" t="b">
        <v>0</v>
      </c>
      <c r="H685" s="79" t="b">
        <v>0</v>
      </c>
      <c r="I685" s="79" t="b">
        <v>0</v>
      </c>
      <c r="J685" s="79" t="b">
        <v>0</v>
      </c>
      <c r="K685" s="79" t="b">
        <v>0</v>
      </c>
      <c r="L685" s="79" t="b">
        <v>0</v>
      </c>
    </row>
    <row r="686" spans="1:12" ht="15">
      <c r="A686" s="85" t="s">
        <v>1782</v>
      </c>
      <c r="B686" s="84" t="s">
        <v>1764</v>
      </c>
      <c r="C686" s="79">
        <v>4</v>
      </c>
      <c r="D686" s="109">
        <v>0.011005703690980077</v>
      </c>
      <c r="E686" s="109">
        <v>0.9294189257142927</v>
      </c>
      <c r="F686" s="79" t="s">
        <v>1657</v>
      </c>
      <c r="G686" s="79" t="b">
        <v>0</v>
      </c>
      <c r="H686" s="79" t="b">
        <v>0</v>
      </c>
      <c r="I686" s="79" t="b">
        <v>0</v>
      </c>
      <c r="J686" s="79" t="b">
        <v>0</v>
      </c>
      <c r="K686" s="79" t="b">
        <v>0</v>
      </c>
      <c r="L686" s="79" t="b">
        <v>0</v>
      </c>
    </row>
    <row r="687" spans="1:12" ht="15">
      <c r="A687" s="85" t="s">
        <v>1765</v>
      </c>
      <c r="B687" s="84" t="s">
        <v>1703</v>
      </c>
      <c r="C687" s="79">
        <v>3</v>
      </c>
      <c r="D687" s="109">
        <v>0.011182529407492089</v>
      </c>
      <c r="E687" s="109">
        <v>0.996365715344906</v>
      </c>
      <c r="F687" s="79" t="s">
        <v>1657</v>
      </c>
      <c r="G687" s="79" t="b">
        <v>0</v>
      </c>
      <c r="H687" s="79" t="b">
        <v>0</v>
      </c>
      <c r="I687" s="79" t="b">
        <v>0</v>
      </c>
      <c r="J687" s="79" t="b">
        <v>0</v>
      </c>
      <c r="K687" s="79" t="b">
        <v>0</v>
      </c>
      <c r="L687" s="79" t="b">
        <v>0</v>
      </c>
    </row>
    <row r="688" spans="1:12" ht="15">
      <c r="A688" s="85" t="s">
        <v>1752</v>
      </c>
      <c r="B688" s="84" t="s">
        <v>1782</v>
      </c>
      <c r="C688" s="79">
        <v>2</v>
      </c>
      <c r="D688" s="109">
        <v>0.010206445527739746</v>
      </c>
      <c r="E688" s="109">
        <v>0.6863808770279982</v>
      </c>
      <c r="F688" s="79" t="s">
        <v>1657</v>
      </c>
      <c r="G688" s="79" t="b">
        <v>0</v>
      </c>
      <c r="H688" s="79" t="b">
        <v>0</v>
      </c>
      <c r="I688" s="79" t="b">
        <v>0</v>
      </c>
      <c r="J688" s="79" t="b">
        <v>0</v>
      </c>
      <c r="K688" s="79" t="b">
        <v>0</v>
      </c>
      <c r="L688" s="79" t="b">
        <v>0</v>
      </c>
    </row>
    <row r="689" spans="1:12" ht="15">
      <c r="A689" s="85" t="s">
        <v>1782</v>
      </c>
      <c r="B689" s="84" t="s">
        <v>1955</v>
      </c>
      <c r="C689" s="79">
        <v>2</v>
      </c>
      <c r="D689" s="109">
        <v>0.010206445527739746</v>
      </c>
      <c r="E689" s="109">
        <v>1.2304489213782739</v>
      </c>
      <c r="F689" s="79" t="s">
        <v>1657</v>
      </c>
      <c r="G689" s="79" t="b">
        <v>0</v>
      </c>
      <c r="H689" s="79" t="b">
        <v>0</v>
      </c>
      <c r="I689" s="79" t="b">
        <v>0</v>
      </c>
      <c r="J689" s="79" t="b">
        <v>0</v>
      </c>
      <c r="K689" s="79" t="b">
        <v>0</v>
      </c>
      <c r="L689" s="79" t="b">
        <v>0</v>
      </c>
    </row>
    <row r="690" spans="1:12" ht="15">
      <c r="A690" s="85" t="s">
        <v>1955</v>
      </c>
      <c r="B690" s="84" t="s">
        <v>1956</v>
      </c>
      <c r="C690" s="79">
        <v>2</v>
      </c>
      <c r="D690" s="109">
        <v>0.010206445527739746</v>
      </c>
      <c r="E690" s="109">
        <v>1.7745169657285496</v>
      </c>
      <c r="F690" s="79" t="s">
        <v>1657</v>
      </c>
      <c r="G690" s="79" t="b">
        <v>0</v>
      </c>
      <c r="H690" s="79" t="b">
        <v>0</v>
      </c>
      <c r="I690" s="79" t="b">
        <v>0</v>
      </c>
      <c r="J690" s="79" t="b">
        <v>0</v>
      </c>
      <c r="K690" s="79" t="b">
        <v>0</v>
      </c>
      <c r="L690" s="79" t="b">
        <v>0</v>
      </c>
    </row>
    <row r="691" spans="1:12" ht="15">
      <c r="A691" s="85" t="s">
        <v>1956</v>
      </c>
      <c r="B691" s="84" t="s">
        <v>1764</v>
      </c>
      <c r="C691" s="79">
        <v>2</v>
      </c>
      <c r="D691" s="109">
        <v>0.010206445527739746</v>
      </c>
      <c r="E691" s="109">
        <v>1.1724569744005873</v>
      </c>
      <c r="F691" s="79" t="s">
        <v>1657</v>
      </c>
      <c r="G691" s="79" t="b">
        <v>0</v>
      </c>
      <c r="H691" s="79" t="b">
        <v>0</v>
      </c>
      <c r="I691" s="79" t="b">
        <v>0</v>
      </c>
      <c r="J691" s="79" t="b">
        <v>0</v>
      </c>
      <c r="K691" s="79" t="b">
        <v>0</v>
      </c>
      <c r="L691" s="79" t="b">
        <v>0</v>
      </c>
    </row>
    <row r="692" spans="1:12" ht="15">
      <c r="A692" s="85" t="s">
        <v>1703</v>
      </c>
      <c r="B692" s="84" t="s">
        <v>1764</v>
      </c>
      <c r="C692" s="79">
        <v>2</v>
      </c>
      <c r="D692" s="109">
        <v>0.010206445527739746</v>
      </c>
      <c r="E692" s="109">
        <v>0.6283889300503115</v>
      </c>
      <c r="F692" s="79" t="s">
        <v>1657</v>
      </c>
      <c r="G692" s="79" t="b">
        <v>0</v>
      </c>
      <c r="H692" s="79" t="b">
        <v>0</v>
      </c>
      <c r="I692" s="79" t="b">
        <v>0</v>
      </c>
      <c r="J692" s="79" t="b">
        <v>0</v>
      </c>
      <c r="K692" s="79" t="b">
        <v>0</v>
      </c>
      <c r="L692" s="79" t="b">
        <v>0</v>
      </c>
    </row>
    <row r="693" spans="1:12" ht="15">
      <c r="A693" s="85" t="s">
        <v>1806</v>
      </c>
      <c r="B693" s="84" t="s">
        <v>1807</v>
      </c>
      <c r="C693" s="79">
        <v>6</v>
      </c>
      <c r="D693" s="109">
        <v>0</v>
      </c>
      <c r="E693" s="109">
        <v>1.255272505103306</v>
      </c>
      <c r="F693" s="79" t="s">
        <v>1658</v>
      </c>
      <c r="G693" s="79" t="b">
        <v>0</v>
      </c>
      <c r="H693" s="79" t="b">
        <v>0</v>
      </c>
      <c r="I693" s="79" t="b">
        <v>0</v>
      </c>
      <c r="J693" s="79" t="b">
        <v>0</v>
      </c>
      <c r="K693" s="79" t="b">
        <v>0</v>
      </c>
      <c r="L693" s="79" t="b">
        <v>0</v>
      </c>
    </row>
    <row r="694" spans="1:12" ht="15">
      <c r="A694" s="85" t="s">
        <v>1807</v>
      </c>
      <c r="B694" s="84" t="s">
        <v>1745</v>
      </c>
      <c r="C694" s="79">
        <v>6</v>
      </c>
      <c r="D694" s="109">
        <v>0</v>
      </c>
      <c r="E694" s="109">
        <v>0.9542425094393249</v>
      </c>
      <c r="F694" s="79" t="s">
        <v>1658</v>
      </c>
      <c r="G694" s="79" t="b">
        <v>0</v>
      </c>
      <c r="H694" s="79" t="b">
        <v>0</v>
      </c>
      <c r="I694" s="79" t="b">
        <v>0</v>
      </c>
      <c r="J694" s="79" t="b">
        <v>0</v>
      </c>
      <c r="K694" s="79" t="b">
        <v>0</v>
      </c>
      <c r="L694" s="79" t="b">
        <v>0</v>
      </c>
    </row>
    <row r="695" spans="1:12" ht="15">
      <c r="A695" s="85" t="s">
        <v>1745</v>
      </c>
      <c r="B695" s="84" t="s">
        <v>1808</v>
      </c>
      <c r="C695" s="79">
        <v>6</v>
      </c>
      <c r="D695" s="109">
        <v>0</v>
      </c>
      <c r="E695" s="109">
        <v>0.9542425094393249</v>
      </c>
      <c r="F695" s="79" t="s">
        <v>1658</v>
      </c>
      <c r="G695" s="79" t="b">
        <v>0</v>
      </c>
      <c r="H695" s="79" t="b">
        <v>0</v>
      </c>
      <c r="I695" s="79" t="b">
        <v>0</v>
      </c>
      <c r="J695" s="79" t="b">
        <v>0</v>
      </c>
      <c r="K695" s="79" t="b">
        <v>0</v>
      </c>
      <c r="L695" s="79" t="b">
        <v>0</v>
      </c>
    </row>
    <row r="696" spans="1:12" ht="15">
      <c r="A696" s="85" t="s">
        <v>1808</v>
      </c>
      <c r="B696" s="84" t="s">
        <v>1809</v>
      </c>
      <c r="C696" s="79">
        <v>6</v>
      </c>
      <c r="D696" s="109">
        <v>0</v>
      </c>
      <c r="E696" s="109">
        <v>1.255272505103306</v>
      </c>
      <c r="F696" s="79" t="s">
        <v>1658</v>
      </c>
      <c r="G696" s="79" t="b">
        <v>0</v>
      </c>
      <c r="H696" s="79" t="b">
        <v>0</v>
      </c>
      <c r="I696" s="79" t="b">
        <v>0</v>
      </c>
      <c r="J696" s="79" t="b">
        <v>0</v>
      </c>
      <c r="K696" s="79" t="b">
        <v>0</v>
      </c>
      <c r="L696" s="79" t="b">
        <v>0</v>
      </c>
    </row>
    <row r="697" spans="1:12" ht="15">
      <c r="A697" s="85" t="s">
        <v>1809</v>
      </c>
      <c r="B697" s="84" t="s">
        <v>1727</v>
      </c>
      <c r="C697" s="79">
        <v>6</v>
      </c>
      <c r="D697" s="109">
        <v>0</v>
      </c>
      <c r="E697" s="109">
        <v>1.255272505103306</v>
      </c>
      <c r="F697" s="79" t="s">
        <v>1658</v>
      </c>
      <c r="G697" s="79" t="b">
        <v>0</v>
      </c>
      <c r="H697" s="79" t="b">
        <v>0</v>
      </c>
      <c r="I697" s="79" t="b">
        <v>0</v>
      </c>
      <c r="J697" s="79" t="b">
        <v>0</v>
      </c>
      <c r="K697" s="79" t="b">
        <v>0</v>
      </c>
      <c r="L697" s="79" t="b">
        <v>0</v>
      </c>
    </row>
    <row r="698" spans="1:12" ht="15">
      <c r="A698" s="85" t="s">
        <v>1727</v>
      </c>
      <c r="B698" s="84" t="s">
        <v>1810</v>
      </c>
      <c r="C698" s="79">
        <v>6</v>
      </c>
      <c r="D698" s="109">
        <v>0</v>
      </c>
      <c r="E698" s="109">
        <v>1.255272505103306</v>
      </c>
      <c r="F698" s="79" t="s">
        <v>1658</v>
      </c>
      <c r="G698" s="79" t="b">
        <v>0</v>
      </c>
      <c r="H698" s="79" t="b">
        <v>0</v>
      </c>
      <c r="I698" s="79" t="b">
        <v>0</v>
      </c>
      <c r="J698" s="79" t="b">
        <v>0</v>
      </c>
      <c r="K698" s="79" t="b">
        <v>0</v>
      </c>
      <c r="L698" s="79" t="b">
        <v>0</v>
      </c>
    </row>
    <row r="699" spans="1:12" ht="15">
      <c r="A699" s="85" t="s">
        <v>1810</v>
      </c>
      <c r="B699" s="84" t="s">
        <v>1811</v>
      </c>
      <c r="C699" s="79">
        <v>6</v>
      </c>
      <c r="D699" s="109">
        <v>0</v>
      </c>
      <c r="E699" s="109">
        <v>1.255272505103306</v>
      </c>
      <c r="F699" s="79" t="s">
        <v>1658</v>
      </c>
      <c r="G699" s="79" t="b">
        <v>0</v>
      </c>
      <c r="H699" s="79" t="b">
        <v>0</v>
      </c>
      <c r="I699" s="79" t="b">
        <v>0</v>
      </c>
      <c r="J699" s="79" t="b">
        <v>0</v>
      </c>
      <c r="K699" s="79" t="b">
        <v>0</v>
      </c>
      <c r="L699" s="79" t="b">
        <v>0</v>
      </c>
    </row>
    <row r="700" spans="1:12" ht="15">
      <c r="A700" s="85" t="s">
        <v>1811</v>
      </c>
      <c r="B700" s="84" t="s">
        <v>1812</v>
      </c>
      <c r="C700" s="79">
        <v>6</v>
      </c>
      <c r="D700" s="109">
        <v>0</v>
      </c>
      <c r="E700" s="109">
        <v>1.255272505103306</v>
      </c>
      <c r="F700" s="79" t="s">
        <v>1658</v>
      </c>
      <c r="G700" s="79" t="b">
        <v>0</v>
      </c>
      <c r="H700" s="79" t="b">
        <v>0</v>
      </c>
      <c r="I700" s="79" t="b">
        <v>0</v>
      </c>
      <c r="J700" s="79" t="b">
        <v>0</v>
      </c>
      <c r="K700" s="79" t="b">
        <v>0</v>
      </c>
      <c r="L700" s="79" t="b">
        <v>0</v>
      </c>
    </row>
    <row r="701" spans="1:12" ht="15">
      <c r="A701" s="85" t="s">
        <v>1812</v>
      </c>
      <c r="B701" s="84" t="s">
        <v>1728</v>
      </c>
      <c r="C701" s="79">
        <v>6</v>
      </c>
      <c r="D701" s="109">
        <v>0</v>
      </c>
      <c r="E701" s="109">
        <v>1.255272505103306</v>
      </c>
      <c r="F701" s="79" t="s">
        <v>1658</v>
      </c>
      <c r="G701" s="79" t="b">
        <v>0</v>
      </c>
      <c r="H701" s="79" t="b">
        <v>0</v>
      </c>
      <c r="I701" s="79" t="b">
        <v>0</v>
      </c>
      <c r="J701" s="79" t="b">
        <v>0</v>
      </c>
      <c r="K701" s="79" t="b">
        <v>0</v>
      </c>
      <c r="L701" s="79" t="b">
        <v>0</v>
      </c>
    </row>
    <row r="702" spans="1:12" ht="15">
      <c r="A702" s="85" t="s">
        <v>1728</v>
      </c>
      <c r="B702" s="84" t="s">
        <v>1813</v>
      </c>
      <c r="C702" s="79">
        <v>6</v>
      </c>
      <c r="D702" s="109">
        <v>0</v>
      </c>
      <c r="E702" s="109">
        <v>1.255272505103306</v>
      </c>
      <c r="F702" s="79" t="s">
        <v>1658</v>
      </c>
      <c r="G702" s="79" t="b">
        <v>0</v>
      </c>
      <c r="H702" s="79" t="b">
        <v>0</v>
      </c>
      <c r="I702" s="79" t="b">
        <v>0</v>
      </c>
      <c r="J702" s="79" t="b">
        <v>0</v>
      </c>
      <c r="K702" s="79" t="b">
        <v>0</v>
      </c>
      <c r="L702" s="79" t="b">
        <v>0</v>
      </c>
    </row>
    <row r="703" spans="1:12" ht="15">
      <c r="A703" s="85" t="s">
        <v>1813</v>
      </c>
      <c r="B703" s="84" t="s">
        <v>1814</v>
      </c>
      <c r="C703" s="79">
        <v>6</v>
      </c>
      <c r="D703" s="109">
        <v>0</v>
      </c>
      <c r="E703" s="109">
        <v>1.255272505103306</v>
      </c>
      <c r="F703" s="79" t="s">
        <v>1658</v>
      </c>
      <c r="G703" s="79" t="b">
        <v>0</v>
      </c>
      <c r="H703" s="79" t="b">
        <v>0</v>
      </c>
      <c r="I703" s="79" t="b">
        <v>0</v>
      </c>
      <c r="J703" s="79" t="b">
        <v>0</v>
      </c>
      <c r="K703" s="79" t="b">
        <v>0</v>
      </c>
      <c r="L703" s="79" t="b">
        <v>0</v>
      </c>
    </row>
    <row r="704" spans="1:12" ht="15">
      <c r="A704" s="85" t="s">
        <v>1814</v>
      </c>
      <c r="B704" s="84" t="s">
        <v>1745</v>
      </c>
      <c r="C704" s="79">
        <v>6</v>
      </c>
      <c r="D704" s="109">
        <v>0</v>
      </c>
      <c r="E704" s="109">
        <v>0.9542425094393249</v>
      </c>
      <c r="F704" s="79" t="s">
        <v>1658</v>
      </c>
      <c r="G704" s="79" t="b">
        <v>0</v>
      </c>
      <c r="H704" s="79" t="b">
        <v>0</v>
      </c>
      <c r="I704" s="79" t="b">
        <v>0</v>
      </c>
      <c r="J704" s="79" t="b">
        <v>0</v>
      </c>
      <c r="K704" s="79" t="b">
        <v>0</v>
      </c>
      <c r="L704" s="79" t="b">
        <v>0</v>
      </c>
    </row>
    <row r="705" spans="1:12" ht="15">
      <c r="A705" s="85" t="s">
        <v>1745</v>
      </c>
      <c r="B705" s="84" t="s">
        <v>1815</v>
      </c>
      <c r="C705" s="79">
        <v>6</v>
      </c>
      <c r="D705" s="109">
        <v>0</v>
      </c>
      <c r="E705" s="109">
        <v>0.9542425094393249</v>
      </c>
      <c r="F705" s="79" t="s">
        <v>1658</v>
      </c>
      <c r="G705" s="79" t="b">
        <v>0</v>
      </c>
      <c r="H705" s="79" t="b">
        <v>0</v>
      </c>
      <c r="I705" s="79" t="b">
        <v>0</v>
      </c>
      <c r="J705" s="79" t="b">
        <v>0</v>
      </c>
      <c r="K705" s="79" t="b">
        <v>0</v>
      </c>
      <c r="L705" s="79" t="b">
        <v>0</v>
      </c>
    </row>
    <row r="706" spans="1:12" ht="15">
      <c r="A706" s="85" t="s">
        <v>1815</v>
      </c>
      <c r="B706" s="84" t="s">
        <v>1750</v>
      </c>
      <c r="C706" s="79">
        <v>6</v>
      </c>
      <c r="D706" s="109">
        <v>0</v>
      </c>
      <c r="E706" s="109">
        <v>1.255272505103306</v>
      </c>
      <c r="F706" s="79" t="s">
        <v>1658</v>
      </c>
      <c r="G706" s="79" t="b">
        <v>0</v>
      </c>
      <c r="H706" s="79" t="b">
        <v>0</v>
      </c>
      <c r="I706" s="79" t="b">
        <v>0</v>
      </c>
      <c r="J706" s="79" t="b">
        <v>0</v>
      </c>
      <c r="K706" s="79" t="b">
        <v>0</v>
      </c>
      <c r="L706" s="79" t="b">
        <v>0</v>
      </c>
    </row>
    <row r="707" spans="1:12" ht="15">
      <c r="A707" s="85" t="s">
        <v>1750</v>
      </c>
      <c r="B707" s="84" t="s">
        <v>1816</v>
      </c>
      <c r="C707" s="79">
        <v>6</v>
      </c>
      <c r="D707" s="109">
        <v>0</v>
      </c>
      <c r="E707" s="109">
        <v>1.255272505103306</v>
      </c>
      <c r="F707" s="79" t="s">
        <v>1658</v>
      </c>
      <c r="G707" s="79" t="b">
        <v>0</v>
      </c>
      <c r="H707" s="79" t="b">
        <v>0</v>
      </c>
      <c r="I707" s="79" t="b">
        <v>0</v>
      </c>
      <c r="J707" s="79" t="b">
        <v>0</v>
      </c>
      <c r="K707" s="79" t="b">
        <v>0</v>
      </c>
      <c r="L707" s="79" t="b">
        <v>0</v>
      </c>
    </row>
    <row r="708" spans="1:12" ht="15">
      <c r="A708" s="85" t="s">
        <v>1816</v>
      </c>
      <c r="B708" s="84" t="s">
        <v>1703</v>
      </c>
      <c r="C708" s="79">
        <v>6</v>
      </c>
      <c r="D708" s="109">
        <v>0</v>
      </c>
      <c r="E708" s="109">
        <v>1.255272505103306</v>
      </c>
      <c r="F708" s="79" t="s">
        <v>1658</v>
      </c>
      <c r="G708" s="79" t="b">
        <v>0</v>
      </c>
      <c r="H708" s="79" t="b">
        <v>0</v>
      </c>
      <c r="I708" s="79" t="b">
        <v>0</v>
      </c>
      <c r="J708" s="79" t="b">
        <v>0</v>
      </c>
      <c r="K708" s="79" t="b">
        <v>0</v>
      </c>
      <c r="L708" s="79" t="b">
        <v>0</v>
      </c>
    </row>
    <row r="709" spans="1:12" ht="15">
      <c r="A709" s="85" t="s">
        <v>1703</v>
      </c>
      <c r="B709" s="84" t="s">
        <v>1706</v>
      </c>
      <c r="C709" s="79">
        <v>6</v>
      </c>
      <c r="D709" s="109">
        <v>0</v>
      </c>
      <c r="E709" s="109">
        <v>1.255272505103306</v>
      </c>
      <c r="F709" s="79" t="s">
        <v>1658</v>
      </c>
      <c r="G709" s="79" t="b">
        <v>0</v>
      </c>
      <c r="H709" s="79" t="b">
        <v>0</v>
      </c>
      <c r="I709" s="79" t="b">
        <v>0</v>
      </c>
      <c r="J709" s="79" t="b">
        <v>0</v>
      </c>
      <c r="K709" s="79" t="b">
        <v>0</v>
      </c>
      <c r="L709" s="79" t="b">
        <v>0</v>
      </c>
    </row>
    <row r="710" spans="1:12" ht="15">
      <c r="A710" s="85" t="s">
        <v>1706</v>
      </c>
      <c r="B710" s="84" t="s">
        <v>1753</v>
      </c>
      <c r="C710" s="79">
        <v>6</v>
      </c>
      <c r="D710" s="109">
        <v>0</v>
      </c>
      <c r="E710" s="109">
        <v>1.255272505103306</v>
      </c>
      <c r="F710" s="79" t="s">
        <v>1658</v>
      </c>
      <c r="G710" s="79" t="b">
        <v>0</v>
      </c>
      <c r="H710" s="79" t="b">
        <v>0</v>
      </c>
      <c r="I710" s="79" t="b">
        <v>0</v>
      </c>
      <c r="J710" s="79" t="b">
        <v>0</v>
      </c>
      <c r="K710" s="79" t="b">
        <v>0</v>
      </c>
      <c r="L710" s="79" t="b">
        <v>0</v>
      </c>
    </row>
    <row r="711" spans="1:12" ht="15">
      <c r="A711" s="85" t="s">
        <v>1842</v>
      </c>
      <c r="B711" s="84" t="s">
        <v>1724</v>
      </c>
      <c r="C711" s="79">
        <v>5</v>
      </c>
      <c r="D711" s="109">
        <v>0.0031173718916387722</v>
      </c>
      <c r="E711" s="109">
        <v>1.3838153659804313</v>
      </c>
      <c r="F711" s="79" t="s">
        <v>1660</v>
      </c>
      <c r="G711" s="79" t="b">
        <v>0</v>
      </c>
      <c r="H711" s="79" t="b">
        <v>0</v>
      </c>
      <c r="I711" s="79" t="b">
        <v>0</v>
      </c>
      <c r="J711" s="79" t="b">
        <v>0</v>
      </c>
      <c r="K711" s="79" t="b">
        <v>0</v>
      </c>
      <c r="L711" s="79" t="b">
        <v>0</v>
      </c>
    </row>
    <row r="712" spans="1:12" ht="15">
      <c r="A712" s="85" t="s">
        <v>1724</v>
      </c>
      <c r="B712" s="84" t="s">
        <v>1843</v>
      </c>
      <c r="C712" s="79">
        <v>5</v>
      </c>
      <c r="D712" s="109">
        <v>0.0031173718916387722</v>
      </c>
      <c r="E712" s="109">
        <v>1.3838153659804313</v>
      </c>
      <c r="F712" s="79" t="s">
        <v>1660</v>
      </c>
      <c r="G712" s="79" t="b">
        <v>0</v>
      </c>
      <c r="H712" s="79" t="b">
        <v>0</v>
      </c>
      <c r="I712" s="79" t="b">
        <v>0</v>
      </c>
      <c r="J712" s="79" t="b">
        <v>0</v>
      </c>
      <c r="K712" s="79" t="b">
        <v>0</v>
      </c>
      <c r="L712" s="79" t="b">
        <v>0</v>
      </c>
    </row>
    <row r="713" spans="1:12" ht="15">
      <c r="A713" s="85" t="s">
        <v>1843</v>
      </c>
      <c r="B713" s="84" t="s">
        <v>1818</v>
      </c>
      <c r="C713" s="79">
        <v>5</v>
      </c>
      <c r="D713" s="109">
        <v>0.0031173718916387722</v>
      </c>
      <c r="E713" s="109">
        <v>1.3838153659804313</v>
      </c>
      <c r="F713" s="79" t="s">
        <v>1660</v>
      </c>
      <c r="G713" s="79" t="b">
        <v>0</v>
      </c>
      <c r="H713" s="79" t="b">
        <v>0</v>
      </c>
      <c r="I713" s="79" t="b">
        <v>0</v>
      </c>
      <c r="J713" s="79" t="b">
        <v>0</v>
      </c>
      <c r="K713" s="79" t="b">
        <v>0</v>
      </c>
      <c r="L713" s="79" t="b">
        <v>0</v>
      </c>
    </row>
    <row r="714" spans="1:12" ht="15">
      <c r="A714" s="85" t="s">
        <v>1818</v>
      </c>
      <c r="B714" s="84" t="s">
        <v>1844</v>
      </c>
      <c r="C714" s="79">
        <v>5</v>
      </c>
      <c r="D714" s="109">
        <v>0.0031173718916387722</v>
      </c>
      <c r="E714" s="109">
        <v>1.3838153659804313</v>
      </c>
      <c r="F714" s="79" t="s">
        <v>1660</v>
      </c>
      <c r="G714" s="79" t="b">
        <v>0</v>
      </c>
      <c r="H714" s="79" t="b">
        <v>0</v>
      </c>
      <c r="I714" s="79" t="b">
        <v>0</v>
      </c>
      <c r="J714" s="79" t="b">
        <v>0</v>
      </c>
      <c r="K714" s="79" t="b">
        <v>0</v>
      </c>
      <c r="L714" s="79" t="b">
        <v>0</v>
      </c>
    </row>
    <row r="715" spans="1:12" ht="15">
      <c r="A715" s="85" t="s">
        <v>1844</v>
      </c>
      <c r="B715" s="84" t="s">
        <v>1750</v>
      </c>
      <c r="C715" s="79">
        <v>5</v>
      </c>
      <c r="D715" s="109">
        <v>0.0031173718916387722</v>
      </c>
      <c r="E715" s="109">
        <v>1.3838153659804313</v>
      </c>
      <c r="F715" s="79" t="s">
        <v>1660</v>
      </c>
      <c r="G715" s="79" t="b">
        <v>0</v>
      </c>
      <c r="H715" s="79" t="b">
        <v>0</v>
      </c>
      <c r="I715" s="79" t="b">
        <v>0</v>
      </c>
      <c r="J715" s="79" t="b">
        <v>0</v>
      </c>
      <c r="K715" s="79" t="b">
        <v>0</v>
      </c>
      <c r="L715" s="79" t="b">
        <v>0</v>
      </c>
    </row>
    <row r="716" spans="1:12" ht="15">
      <c r="A716" s="85" t="s">
        <v>1750</v>
      </c>
      <c r="B716" s="84" t="s">
        <v>1759</v>
      </c>
      <c r="C716" s="79">
        <v>5</v>
      </c>
      <c r="D716" s="109">
        <v>0.0031173718916387722</v>
      </c>
      <c r="E716" s="109">
        <v>1.3838153659804313</v>
      </c>
      <c r="F716" s="79" t="s">
        <v>1660</v>
      </c>
      <c r="G716" s="79" t="b">
        <v>0</v>
      </c>
      <c r="H716" s="79" t="b">
        <v>0</v>
      </c>
      <c r="I716" s="79" t="b">
        <v>0</v>
      </c>
      <c r="J716" s="79" t="b">
        <v>0</v>
      </c>
      <c r="K716" s="79" t="b">
        <v>0</v>
      </c>
      <c r="L716" s="79" t="b">
        <v>0</v>
      </c>
    </row>
    <row r="717" spans="1:12" ht="15">
      <c r="A717" s="85" t="s">
        <v>1759</v>
      </c>
      <c r="B717" s="84" t="s">
        <v>1845</v>
      </c>
      <c r="C717" s="79">
        <v>5</v>
      </c>
      <c r="D717" s="109">
        <v>0.0031173718916387722</v>
      </c>
      <c r="E717" s="109">
        <v>1.3838153659804313</v>
      </c>
      <c r="F717" s="79" t="s">
        <v>1660</v>
      </c>
      <c r="G717" s="79" t="b">
        <v>0</v>
      </c>
      <c r="H717" s="79" t="b">
        <v>0</v>
      </c>
      <c r="I717" s="79" t="b">
        <v>0</v>
      </c>
      <c r="J717" s="79" t="b">
        <v>0</v>
      </c>
      <c r="K717" s="79" t="b">
        <v>0</v>
      </c>
      <c r="L717" s="79" t="b">
        <v>0</v>
      </c>
    </row>
    <row r="718" spans="1:12" ht="15">
      <c r="A718" s="85" t="s">
        <v>1845</v>
      </c>
      <c r="B718" s="84" t="s">
        <v>1846</v>
      </c>
      <c r="C718" s="79">
        <v>5</v>
      </c>
      <c r="D718" s="109">
        <v>0.0031173718916387722</v>
      </c>
      <c r="E718" s="109">
        <v>1.3838153659804313</v>
      </c>
      <c r="F718" s="79" t="s">
        <v>1660</v>
      </c>
      <c r="G718" s="79" t="b">
        <v>0</v>
      </c>
      <c r="H718" s="79" t="b">
        <v>0</v>
      </c>
      <c r="I718" s="79" t="b">
        <v>0</v>
      </c>
      <c r="J718" s="79" t="b">
        <v>0</v>
      </c>
      <c r="K718" s="79" t="b">
        <v>0</v>
      </c>
      <c r="L718" s="79" t="b">
        <v>0</v>
      </c>
    </row>
    <row r="719" spans="1:12" ht="15">
      <c r="A719" s="85" t="s">
        <v>1846</v>
      </c>
      <c r="B719" s="84" t="s">
        <v>1847</v>
      </c>
      <c r="C719" s="79">
        <v>5</v>
      </c>
      <c r="D719" s="109">
        <v>0.0031173718916387722</v>
      </c>
      <c r="E719" s="109">
        <v>1.3838153659804313</v>
      </c>
      <c r="F719" s="79" t="s">
        <v>1660</v>
      </c>
      <c r="G719" s="79" t="b">
        <v>0</v>
      </c>
      <c r="H719" s="79" t="b">
        <v>0</v>
      </c>
      <c r="I719" s="79" t="b">
        <v>0</v>
      </c>
      <c r="J719" s="79" t="b">
        <v>0</v>
      </c>
      <c r="K719" s="79" t="b">
        <v>0</v>
      </c>
      <c r="L719" s="79" t="b">
        <v>0</v>
      </c>
    </row>
    <row r="720" spans="1:12" ht="15">
      <c r="A720" s="85" t="s">
        <v>1847</v>
      </c>
      <c r="B720" s="84" t="s">
        <v>1848</v>
      </c>
      <c r="C720" s="79">
        <v>5</v>
      </c>
      <c r="D720" s="109">
        <v>0.0031173718916387722</v>
      </c>
      <c r="E720" s="109">
        <v>1.3838153659804313</v>
      </c>
      <c r="F720" s="79" t="s">
        <v>1660</v>
      </c>
      <c r="G720" s="79" t="b">
        <v>0</v>
      </c>
      <c r="H720" s="79" t="b">
        <v>0</v>
      </c>
      <c r="I720" s="79" t="b">
        <v>0</v>
      </c>
      <c r="J720" s="79" t="b">
        <v>0</v>
      </c>
      <c r="K720" s="79" t="b">
        <v>0</v>
      </c>
      <c r="L720" s="79" t="b">
        <v>0</v>
      </c>
    </row>
    <row r="721" spans="1:12" ht="15">
      <c r="A721" s="85" t="s">
        <v>1848</v>
      </c>
      <c r="B721" s="84" t="s">
        <v>1728</v>
      </c>
      <c r="C721" s="79">
        <v>5</v>
      </c>
      <c r="D721" s="109">
        <v>0.0031173718916387722</v>
      </c>
      <c r="E721" s="109">
        <v>1.3838153659804313</v>
      </c>
      <c r="F721" s="79" t="s">
        <v>1660</v>
      </c>
      <c r="G721" s="79" t="b">
        <v>0</v>
      </c>
      <c r="H721" s="79" t="b">
        <v>0</v>
      </c>
      <c r="I721" s="79" t="b">
        <v>0</v>
      </c>
      <c r="J721" s="79" t="b">
        <v>0</v>
      </c>
      <c r="K721" s="79" t="b">
        <v>0</v>
      </c>
      <c r="L721" s="79" t="b">
        <v>0</v>
      </c>
    </row>
    <row r="722" spans="1:12" ht="15">
      <c r="A722" s="85" t="s">
        <v>1728</v>
      </c>
      <c r="B722" s="84" t="s">
        <v>1849</v>
      </c>
      <c r="C722" s="79">
        <v>5</v>
      </c>
      <c r="D722" s="109">
        <v>0.0031173718916387722</v>
      </c>
      <c r="E722" s="109">
        <v>1.3838153659804313</v>
      </c>
      <c r="F722" s="79" t="s">
        <v>1660</v>
      </c>
      <c r="G722" s="79" t="b">
        <v>0</v>
      </c>
      <c r="H722" s="79" t="b">
        <v>0</v>
      </c>
      <c r="I722" s="79" t="b">
        <v>0</v>
      </c>
      <c r="J722" s="79" t="b">
        <v>0</v>
      </c>
      <c r="K722" s="79" t="b">
        <v>0</v>
      </c>
      <c r="L722" s="79" t="b">
        <v>0</v>
      </c>
    </row>
    <row r="723" spans="1:12" ht="15">
      <c r="A723" s="85" t="s">
        <v>1849</v>
      </c>
      <c r="B723" s="84" t="s">
        <v>1850</v>
      </c>
      <c r="C723" s="79">
        <v>5</v>
      </c>
      <c r="D723" s="109">
        <v>0.0031173718916387722</v>
      </c>
      <c r="E723" s="109">
        <v>1.3838153659804313</v>
      </c>
      <c r="F723" s="79" t="s">
        <v>1660</v>
      </c>
      <c r="G723" s="79" t="b">
        <v>0</v>
      </c>
      <c r="H723" s="79" t="b">
        <v>0</v>
      </c>
      <c r="I723" s="79" t="b">
        <v>0</v>
      </c>
      <c r="J723" s="79" t="b">
        <v>0</v>
      </c>
      <c r="K723" s="79" t="b">
        <v>0</v>
      </c>
      <c r="L723" s="79" t="b">
        <v>0</v>
      </c>
    </row>
    <row r="724" spans="1:12" ht="15">
      <c r="A724" s="85" t="s">
        <v>1850</v>
      </c>
      <c r="B724" s="84" t="s">
        <v>1851</v>
      </c>
      <c r="C724" s="79">
        <v>5</v>
      </c>
      <c r="D724" s="109">
        <v>0.0031173718916387722</v>
      </c>
      <c r="E724" s="109">
        <v>1.3838153659804313</v>
      </c>
      <c r="F724" s="79" t="s">
        <v>1660</v>
      </c>
      <c r="G724" s="79" t="b">
        <v>0</v>
      </c>
      <c r="H724" s="79" t="b">
        <v>0</v>
      </c>
      <c r="I724" s="79" t="b">
        <v>0</v>
      </c>
      <c r="J724" s="79" t="b">
        <v>0</v>
      </c>
      <c r="K724" s="79" t="b">
        <v>0</v>
      </c>
      <c r="L724" s="79" t="b">
        <v>0</v>
      </c>
    </row>
    <row r="725" spans="1:12" ht="15">
      <c r="A725" s="85" t="s">
        <v>1851</v>
      </c>
      <c r="B725" s="84" t="s">
        <v>1852</v>
      </c>
      <c r="C725" s="79">
        <v>5</v>
      </c>
      <c r="D725" s="109">
        <v>0.0031173718916387722</v>
      </c>
      <c r="E725" s="109">
        <v>1.3838153659804313</v>
      </c>
      <c r="F725" s="79" t="s">
        <v>1660</v>
      </c>
      <c r="G725" s="79" t="b">
        <v>0</v>
      </c>
      <c r="H725" s="79" t="b">
        <v>0</v>
      </c>
      <c r="I725" s="79" t="b">
        <v>0</v>
      </c>
      <c r="J725" s="79" t="b">
        <v>0</v>
      </c>
      <c r="K725" s="79" t="b">
        <v>0</v>
      </c>
      <c r="L725" s="79" t="b">
        <v>0</v>
      </c>
    </row>
    <row r="726" spans="1:12" ht="15">
      <c r="A726" s="85" t="s">
        <v>1852</v>
      </c>
      <c r="B726" s="84" t="s">
        <v>1853</v>
      </c>
      <c r="C726" s="79">
        <v>5</v>
      </c>
      <c r="D726" s="109">
        <v>0.0031173718916387722</v>
      </c>
      <c r="E726" s="109">
        <v>1.3838153659804313</v>
      </c>
      <c r="F726" s="79" t="s">
        <v>1660</v>
      </c>
      <c r="G726" s="79" t="b">
        <v>0</v>
      </c>
      <c r="H726" s="79" t="b">
        <v>0</v>
      </c>
      <c r="I726" s="79" t="b">
        <v>0</v>
      </c>
      <c r="J726" s="79" t="b">
        <v>0</v>
      </c>
      <c r="K726" s="79" t="b">
        <v>0</v>
      </c>
      <c r="L726" s="79" t="b">
        <v>0</v>
      </c>
    </row>
    <row r="727" spans="1:12" ht="15">
      <c r="A727" s="85" t="s">
        <v>1853</v>
      </c>
      <c r="B727" s="84" t="s">
        <v>1854</v>
      </c>
      <c r="C727" s="79">
        <v>5</v>
      </c>
      <c r="D727" s="109">
        <v>0.0031173718916387722</v>
      </c>
      <c r="E727" s="109">
        <v>1.3838153659804313</v>
      </c>
      <c r="F727" s="79" t="s">
        <v>1660</v>
      </c>
      <c r="G727" s="79" t="b">
        <v>0</v>
      </c>
      <c r="H727" s="79" t="b">
        <v>0</v>
      </c>
      <c r="I727" s="79" t="b">
        <v>0</v>
      </c>
      <c r="J727" s="79" t="b">
        <v>0</v>
      </c>
      <c r="K727" s="79" t="b">
        <v>0</v>
      </c>
      <c r="L727" s="79" t="b">
        <v>0</v>
      </c>
    </row>
    <row r="728" spans="1:12" ht="15">
      <c r="A728" s="85" t="s">
        <v>1854</v>
      </c>
      <c r="B728" s="84" t="s">
        <v>1855</v>
      </c>
      <c r="C728" s="79">
        <v>5</v>
      </c>
      <c r="D728" s="109">
        <v>0.0031173718916387722</v>
      </c>
      <c r="E728" s="109">
        <v>1.3838153659804313</v>
      </c>
      <c r="F728" s="79" t="s">
        <v>1660</v>
      </c>
      <c r="G728" s="79" t="b">
        <v>0</v>
      </c>
      <c r="H728" s="79" t="b">
        <v>0</v>
      </c>
      <c r="I728" s="79" t="b">
        <v>0</v>
      </c>
      <c r="J728" s="79" t="b">
        <v>0</v>
      </c>
      <c r="K728" s="79" t="b">
        <v>0</v>
      </c>
      <c r="L728" s="79" t="b">
        <v>0</v>
      </c>
    </row>
    <row r="729" spans="1:12" ht="15">
      <c r="A729" s="85" t="s">
        <v>1855</v>
      </c>
      <c r="B729" s="84" t="s">
        <v>1856</v>
      </c>
      <c r="C729" s="79">
        <v>5</v>
      </c>
      <c r="D729" s="109">
        <v>0.0031173718916387722</v>
      </c>
      <c r="E729" s="109">
        <v>1.3838153659804313</v>
      </c>
      <c r="F729" s="79" t="s">
        <v>1660</v>
      </c>
      <c r="G729" s="79" t="b">
        <v>0</v>
      </c>
      <c r="H729" s="79" t="b">
        <v>0</v>
      </c>
      <c r="I729" s="79" t="b">
        <v>0</v>
      </c>
      <c r="J729" s="79" t="b">
        <v>0</v>
      </c>
      <c r="K729" s="79" t="b">
        <v>0</v>
      </c>
      <c r="L729" s="79" t="b">
        <v>0</v>
      </c>
    </row>
    <row r="730" spans="1:12" ht="15">
      <c r="A730" s="85" t="s">
        <v>1856</v>
      </c>
      <c r="B730" s="84" t="s">
        <v>1734</v>
      </c>
      <c r="C730" s="79">
        <v>5</v>
      </c>
      <c r="D730" s="109">
        <v>0.0031173718916387722</v>
      </c>
      <c r="E730" s="109">
        <v>1.3838153659804313</v>
      </c>
      <c r="F730" s="79" t="s">
        <v>1660</v>
      </c>
      <c r="G730" s="79" t="b">
        <v>0</v>
      </c>
      <c r="H730" s="79" t="b">
        <v>0</v>
      </c>
      <c r="I730" s="79" t="b">
        <v>0</v>
      </c>
      <c r="J730" s="79" t="b">
        <v>0</v>
      </c>
      <c r="K730" s="79" t="b">
        <v>0</v>
      </c>
      <c r="L730" s="79" t="b">
        <v>0</v>
      </c>
    </row>
    <row r="731" spans="1:12" ht="15">
      <c r="A731" s="85" t="s">
        <v>1734</v>
      </c>
      <c r="B731" s="84" t="s">
        <v>1703</v>
      </c>
      <c r="C731" s="79">
        <v>5</v>
      </c>
      <c r="D731" s="109">
        <v>0.0031173718916387722</v>
      </c>
      <c r="E731" s="109">
        <v>1.3046341199328064</v>
      </c>
      <c r="F731" s="79" t="s">
        <v>1660</v>
      </c>
      <c r="G731" s="79" t="b">
        <v>0</v>
      </c>
      <c r="H731" s="79" t="b">
        <v>0</v>
      </c>
      <c r="I731" s="79" t="b">
        <v>0</v>
      </c>
      <c r="J731" s="79" t="b">
        <v>0</v>
      </c>
      <c r="K731" s="79" t="b">
        <v>0</v>
      </c>
      <c r="L731" s="79" t="b">
        <v>0</v>
      </c>
    </row>
    <row r="732" spans="1:12" ht="15">
      <c r="A732" s="85" t="s">
        <v>1730</v>
      </c>
      <c r="B732" s="84" t="s">
        <v>1763</v>
      </c>
      <c r="C732" s="79">
        <v>9</v>
      </c>
      <c r="D732" s="109">
        <v>0.00754184212952021</v>
      </c>
      <c r="E732" s="109">
        <v>1.0142404391146103</v>
      </c>
      <c r="F732" s="79" t="s">
        <v>1661</v>
      </c>
      <c r="G732" s="79" t="b">
        <v>0</v>
      </c>
      <c r="H732" s="79" t="b">
        <v>0</v>
      </c>
      <c r="I732" s="79" t="b">
        <v>0</v>
      </c>
      <c r="J732" s="79" t="b">
        <v>0</v>
      </c>
      <c r="K732" s="79" t="b">
        <v>0</v>
      </c>
      <c r="L732" s="79" t="b">
        <v>0</v>
      </c>
    </row>
    <row r="733" spans="1:12" ht="15">
      <c r="A733" s="85" t="s">
        <v>1794</v>
      </c>
      <c r="B733" s="84" t="s">
        <v>1881</v>
      </c>
      <c r="C733" s="79">
        <v>4</v>
      </c>
      <c r="D733" s="109">
        <v>0.01689741130116395</v>
      </c>
      <c r="E733" s="109">
        <v>1.1233849085396783</v>
      </c>
      <c r="F733" s="79" t="s">
        <v>1661</v>
      </c>
      <c r="G733" s="79" t="b">
        <v>0</v>
      </c>
      <c r="H733" s="79" t="b">
        <v>0</v>
      </c>
      <c r="I733" s="79" t="b">
        <v>0</v>
      </c>
      <c r="J733" s="79" t="b">
        <v>0</v>
      </c>
      <c r="K733" s="79" t="b">
        <v>0</v>
      </c>
      <c r="L733" s="79" t="b">
        <v>0</v>
      </c>
    </row>
    <row r="734" spans="1:12" ht="15">
      <c r="A734" s="85" t="s">
        <v>1881</v>
      </c>
      <c r="B734" s="84" t="s">
        <v>1769</v>
      </c>
      <c r="C734" s="79">
        <v>4</v>
      </c>
      <c r="D734" s="109">
        <v>0.01689741130116395</v>
      </c>
      <c r="E734" s="109">
        <v>1.0653929615619915</v>
      </c>
      <c r="F734" s="79" t="s">
        <v>1661</v>
      </c>
      <c r="G734" s="79" t="b">
        <v>0</v>
      </c>
      <c r="H734" s="79" t="b">
        <v>0</v>
      </c>
      <c r="I734" s="79" t="b">
        <v>0</v>
      </c>
      <c r="J734" s="79" t="b">
        <v>0</v>
      </c>
      <c r="K734" s="79" t="b">
        <v>0</v>
      </c>
      <c r="L734" s="79" t="b">
        <v>0</v>
      </c>
    </row>
    <row r="735" spans="1:12" ht="15">
      <c r="A735" s="85" t="s">
        <v>1769</v>
      </c>
      <c r="B735" s="84" t="s">
        <v>1730</v>
      </c>
      <c r="C735" s="79">
        <v>4</v>
      </c>
      <c r="D735" s="109">
        <v>0.01689741130116395</v>
      </c>
      <c r="E735" s="109">
        <v>0.7132104434506291</v>
      </c>
      <c r="F735" s="79" t="s">
        <v>1661</v>
      </c>
      <c r="G735" s="79" t="b">
        <v>0</v>
      </c>
      <c r="H735" s="79" t="b">
        <v>0</v>
      </c>
      <c r="I735" s="79" t="b">
        <v>0</v>
      </c>
      <c r="J735" s="79" t="b">
        <v>0</v>
      </c>
      <c r="K735" s="79" t="b">
        <v>0</v>
      </c>
      <c r="L735" s="79" t="b">
        <v>0</v>
      </c>
    </row>
    <row r="736" spans="1:12" ht="15">
      <c r="A736" s="85" t="s">
        <v>1763</v>
      </c>
      <c r="B736" s="84" t="s">
        <v>1882</v>
      </c>
      <c r="C736" s="79">
        <v>4</v>
      </c>
      <c r="D736" s="109">
        <v>0.01689741130116395</v>
      </c>
      <c r="E736" s="109">
        <v>1.1233849085396783</v>
      </c>
      <c r="F736" s="79" t="s">
        <v>1661</v>
      </c>
      <c r="G736" s="79" t="b">
        <v>0</v>
      </c>
      <c r="H736" s="79" t="b">
        <v>0</v>
      </c>
      <c r="I736" s="79" t="b">
        <v>0</v>
      </c>
      <c r="J736" s="79" t="b">
        <v>0</v>
      </c>
      <c r="K736" s="79" t="b">
        <v>0</v>
      </c>
      <c r="L736" s="79" t="b">
        <v>0</v>
      </c>
    </row>
    <row r="737" spans="1:12" ht="15">
      <c r="A737" s="85" t="s">
        <v>1882</v>
      </c>
      <c r="B737" s="84" t="s">
        <v>1883</v>
      </c>
      <c r="C737" s="79">
        <v>4</v>
      </c>
      <c r="D737" s="109">
        <v>0.01689741130116395</v>
      </c>
      <c r="E737" s="109">
        <v>1.3664229572259727</v>
      </c>
      <c r="F737" s="79" t="s">
        <v>1661</v>
      </c>
      <c r="G737" s="79" t="b">
        <v>0</v>
      </c>
      <c r="H737" s="79" t="b">
        <v>0</v>
      </c>
      <c r="I737" s="79" t="b">
        <v>0</v>
      </c>
      <c r="J737" s="79" t="b">
        <v>0</v>
      </c>
      <c r="K737" s="79" t="b">
        <v>0</v>
      </c>
      <c r="L737" s="79" t="b">
        <v>0</v>
      </c>
    </row>
    <row r="738" spans="1:12" ht="15">
      <c r="A738" s="85" t="s">
        <v>1883</v>
      </c>
      <c r="B738" s="84" t="s">
        <v>1769</v>
      </c>
      <c r="C738" s="79">
        <v>4</v>
      </c>
      <c r="D738" s="109">
        <v>0.01689741130116395</v>
      </c>
      <c r="E738" s="109">
        <v>1.0653929615619915</v>
      </c>
      <c r="F738" s="79" t="s">
        <v>1661</v>
      </c>
      <c r="G738" s="79" t="b">
        <v>0</v>
      </c>
      <c r="H738" s="79" t="b">
        <v>0</v>
      </c>
      <c r="I738" s="79" t="b">
        <v>0</v>
      </c>
      <c r="J738" s="79" t="b">
        <v>0</v>
      </c>
      <c r="K738" s="79" t="b">
        <v>0</v>
      </c>
      <c r="L738" s="79" t="b">
        <v>0</v>
      </c>
    </row>
    <row r="739" spans="1:12" ht="15">
      <c r="A739" s="85" t="s">
        <v>1769</v>
      </c>
      <c r="B739" s="84" t="s">
        <v>1703</v>
      </c>
      <c r="C739" s="79">
        <v>4</v>
      </c>
      <c r="D739" s="109">
        <v>0.01689741130116395</v>
      </c>
      <c r="E739" s="109">
        <v>0.6260602677317288</v>
      </c>
      <c r="F739" s="79" t="s">
        <v>1661</v>
      </c>
      <c r="G739" s="79" t="b">
        <v>0</v>
      </c>
      <c r="H739" s="79" t="b">
        <v>0</v>
      </c>
      <c r="I739" s="79" t="b">
        <v>0</v>
      </c>
      <c r="J739" s="79" t="b">
        <v>0</v>
      </c>
      <c r="K739" s="79" t="b">
        <v>0</v>
      </c>
      <c r="L739" s="79" t="b">
        <v>0</v>
      </c>
    </row>
    <row r="740" spans="1:12" ht="15">
      <c r="A740" s="85" t="s">
        <v>1908</v>
      </c>
      <c r="B740" s="84" t="s">
        <v>1909</v>
      </c>
      <c r="C740" s="79">
        <v>3</v>
      </c>
      <c r="D740" s="109">
        <v>0.016277060493420075</v>
      </c>
      <c r="E740" s="109">
        <v>1.4913616938342726</v>
      </c>
      <c r="F740" s="79" t="s">
        <v>1661</v>
      </c>
      <c r="G740" s="79" t="b">
        <v>0</v>
      </c>
      <c r="H740" s="79" t="b">
        <v>0</v>
      </c>
      <c r="I740" s="79" t="b">
        <v>0</v>
      </c>
      <c r="J740" s="79" t="b">
        <v>0</v>
      </c>
      <c r="K740" s="79" t="b">
        <v>0</v>
      </c>
      <c r="L740" s="79" t="b">
        <v>0</v>
      </c>
    </row>
    <row r="741" spans="1:12" ht="15">
      <c r="A741" s="85" t="s">
        <v>1909</v>
      </c>
      <c r="B741" s="84" t="s">
        <v>1910</v>
      </c>
      <c r="C741" s="79">
        <v>3</v>
      </c>
      <c r="D741" s="109">
        <v>0.016277060493420075</v>
      </c>
      <c r="E741" s="109">
        <v>1.4913616938342726</v>
      </c>
      <c r="F741" s="79" t="s">
        <v>1661</v>
      </c>
      <c r="G741" s="79" t="b">
        <v>0</v>
      </c>
      <c r="H741" s="79" t="b">
        <v>0</v>
      </c>
      <c r="I741" s="79" t="b">
        <v>0</v>
      </c>
      <c r="J741" s="79" t="b">
        <v>0</v>
      </c>
      <c r="K741" s="79" t="b">
        <v>0</v>
      </c>
      <c r="L741" s="79" t="b">
        <v>0</v>
      </c>
    </row>
    <row r="742" spans="1:12" ht="15">
      <c r="A742" s="85" t="s">
        <v>1910</v>
      </c>
      <c r="B742" s="84" t="s">
        <v>1817</v>
      </c>
      <c r="C742" s="79">
        <v>3</v>
      </c>
      <c r="D742" s="109">
        <v>0.016277060493420075</v>
      </c>
      <c r="E742" s="109">
        <v>1.4913616938342726</v>
      </c>
      <c r="F742" s="79" t="s">
        <v>1661</v>
      </c>
      <c r="G742" s="79" t="b">
        <v>0</v>
      </c>
      <c r="H742" s="79" t="b">
        <v>0</v>
      </c>
      <c r="I742" s="79" t="b">
        <v>0</v>
      </c>
      <c r="J742" s="79" t="b">
        <v>0</v>
      </c>
      <c r="K742" s="79" t="b">
        <v>0</v>
      </c>
      <c r="L742" s="79" t="b">
        <v>0</v>
      </c>
    </row>
    <row r="743" spans="1:12" ht="15">
      <c r="A743" s="85" t="s">
        <v>1817</v>
      </c>
      <c r="B743" s="84" t="s">
        <v>1730</v>
      </c>
      <c r="C743" s="79">
        <v>3</v>
      </c>
      <c r="D743" s="109">
        <v>0.016277060493420075</v>
      </c>
      <c r="E743" s="109">
        <v>1.0142404391146103</v>
      </c>
      <c r="F743" s="79" t="s">
        <v>1661</v>
      </c>
      <c r="G743" s="79" t="b">
        <v>0</v>
      </c>
      <c r="H743" s="79" t="b">
        <v>0</v>
      </c>
      <c r="I743" s="79" t="b">
        <v>0</v>
      </c>
      <c r="J743" s="79" t="b">
        <v>0</v>
      </c>
      <c r="K743" s="79" t="b">
        <v>0</v>
      </c>
      <c r="L743" s="79" t="b">
        <v>0</v>
      </c>
    </row>
    <row r="744" spans="1:12" ht="15">
      <c r="A744" s="85" t="s">
        <v>1763</v>
      </c>
      <c r="B744" s="84" t="s">
        <v>1911</v>
      </c>
      <c r="C744" s="79">
        <v>3</v>
      </c>
      <c r="D744" s="109">
        <v>0.016277060493420075</v>
      </c>
      <c r="E744" s="109">
        <v>1.1233849085396783</v>
      </c>
      <c r="F744" s="79" t="s">
        <v>1661</v>
      </c>
      <c r="G744" s="79" t="b">
        <v>0</v>
      </c>
      <c r="H744" s="79" t="b">
        <v>0</v>
      </c>
      <c r="I744" s="79" t="b">
        <v>0</v>
      </c>
      <c r="J744" s="79" t="b">
        <v>0</v>
      </c>
      <c r="K744" s="79" t="b">
        <v>0</v>
      </c>
      <c r="L744" s="79" t="b">
        <v>0</v>
      </c>
    </row>
    <row r="745" spans="1:12" ht="15">
      <c r="A745" s="85" t="s">
        <v>1911</v>
      </c>
      <c r="B745" s="84" t="s">
        <v>1703</v>
      </c>
      <c r="C745" s="79">
        <v>3</v>
      </c>
      <c r="D745" s="109">
        <v>0.016277060493420075</v>
      </c>
      <c r="E745" s="109">
        <v>0.9270902633957101</v>
      </c>
      <c r="F745" s="79" t="s">
        <v>1661</v>
      </c>
      <c r="G745" s="79" t="b">
        <v>0</v>
      </c>
      <c r="H745" s="79" t="b">
        <v>0</v>
      </c>
      <c r="I745" s="79" t="b">
        <v>0</v>
      </c>
      <c r="J745" s="79" t="b">
        <v>0</v>
      </c>
      <c r="K745" s="79" t="b">
        <v>0</v>
      </c>
      <c r="L745" s="79" t="b">
        <v>0</v>
      </c>
    </row>
    <row r="746" spans="1:12" ht="15">
      <c r="A746" s="85" t="s">
        <v>1703</v>
      </c>
      <c r="B746" s="84" t="s">
        <v>1794</v>
      </c>
      <c r="C746" s="79">
        <v>3</v>
      </c>
      <c r="D746" s="109">
        <v>0.016277060493420075</v>
      </c>
      <c r="E746" s="109">
        <v>1.1233849085396783</v>
      </c>
      <c r="F746" s="79" t="s">
        <v>1661</v>
      </c>
      <c r="G746" s="79" t="b">
        <v>0</v>
      </c>
      <c r="H746" s="79" t="b">
        <v>0</v>
      </c>
      <c r="I746" s="79" t="b">
        <v>0</v>
      </c>
      <c r="J746" s="79" t="b">
        <v>0</v>
      </c>
      <c r="K746" s="79" t="b">
        <v>0</v>
      </c>
      <c r="L746" s="79" t="b">
        <v>0</v>
      </c>
    </row>
    <row r="747" spans="1:12" ht="15">
      <c r="A747" s="85" t="s">
        <v>1794</v>
      </c>
      <c r="B747" s="84" t="s">
        <v>1912</v>
      </c>
      <c r="C747" s="79">
        <v>3</v>
      </c>
      <c r="D747" s="109">
        <v>0.016277060493420075</v>
      </c>
      <c r="E747" s="109">
        <v>1.1233849085396783</v>
      </c>
      <c r="F747" s="79" t="s">
        <v>1661</v>
      </c>
      <c r="G747" s="79" t="b">
        <v>0</v>
      </c>
      <c r="H747" s="79" t="b">
        <v>0</v>
      </c>
      <c r="I747" s="79" t="b">
        <v>0</v>
      </c>
      <c r="J747" s="79" t="b">
        <v>0</v>
      </c>
      <c r="K747" s="79" t="b">
        <v>0</v>
      </c>
      <c r="L747" s="79" t="b">
        <v>0</v>
      </c>
    </row>
    <row r="748" spans="1:12" ht="15">
      <c r="A748" s="85" t="s">
        <v>1987</v>
      </c>
      <c r="B748" s="84" t="s">
        <v>1988</v>
      </c>
      <c r="C748" s="79">
        <v>2</v>
      </c>
      <c r="D748" s="109">
        <v>0.01423774402873546</v>
      </c>
      <c r="E748" s="109">
        <v>1.6674529528899538</v>
      </c>
      <c r="F748" s="79" t="s">
        <v>1661</v>
      </c>
      <c r="G748" s="79" t="b">
        <v>0</v>
      </c>
      <c r="H748" s="79" t="b">
        <v>0</v>
      </c>
      <c r="I748" s="79" t="b">
        <v>0</v>
      </c>
      <c r="J748" s="79" t="b">
        <v>0</v>
      </c>
      <c r="K748" s="79" t="b">
        <v>0</v>
      </c>
      <c r="L748" s="79" t="b">
        <v>0</v>
      </c>
    </row>
    <row r="749" spans="1:12" ht="15">
      <c r="A749" s="85" t="s">
        <v>1988</v>
      </c>
      <c r="B749" s="84" t="s">
        <v>1703</v>
      </c>
      <c r="C749" s="79">
        <v>2</v>
      </c>
      <c r="D749" s="109">
        <v>0.01423774402873546</v>
      </c>
      <c r="E749" s="109">
        <v>0.92709026339571</v>
      </c>
      <c r="F749" s="79" t="s">
        <v>1661</v>
      </c>
      <c r="G749" s="79" t="b">
        <v>0</v>
      </c>
      <c r="H749" s="79" t="b">
        <v>0</v>
      </c>
      <c r="I749" s="79" t="b">
        <v>0</v>
      </c>
      <c r="J749" s="79" t="b">
        <v>0</v>
      </c>
      <c r="K749" s="79" t="b">
        <v>0</v>
      </c>
      <c r="L749" s="79" t="b">
        <v>0</v>
      </c>
    </row>
    <row r="750" spans="1:12" ht="15">
      <c r="A750" s="85" t="s">
        <v>1703</v>
      </c>
      <c r="B750" s="84" t="s">
        <v>1705</v>
      </c>
      <c r="C750" s="79">
        <v>2</v>
      </c>
      <c r="D750" s="109">
        <v>0.01423774402873546</v>
      </c>
      <c r="E750" s="109">
        <v>1.1233849085396783</v>
      </c>
      <c r="F750" s="79" t="s">
        <v>1661</v>
      </c>
      <c r="G750" s="79" t="b">
        <v>0</v>
      </c>
      <c r="H750" s="79" t="b">
        <v>0</v>
      </c>
      <c r="I750" s="79" t="b">
        <v>0</v>
      </c>
      <c r="J750" s="79" t="b">
        <v>0</v>
      </c>
      <c r="K750" s="79" t="b">
        <v>0</v>
      </c>
      <c r="L750" s="79" t="b">
        <v>0</v>
      </c>
    </row>
    <row r="751" spans="1:12" ht="15">
      <c r="A751" s="85" t="s">
        <v>1705</v>
      </c>
      <c r="B751" s="84" t="s">
        <v>1989</v>
      </c>
      <c r="C751" s="79">
        <v>2</v>
      </c>
      <c r="D751" s="109">
        <v>0.01423774402873546</v>
      </c>
      <c r="E751" s="109">
        <v>1.6674529528899538</v>
      </c>
      <c r="F751" s="79" t="s">
        <v>1661</v>
      </c>
      <c r="G751" s="79" t="b">
        <v>0</v>
      </c>
      <c r="H751" s="79" t="b">
        <v>0</v>
      </c>
      <c r="I751" s="79" t="b">
        <v>0</v>
      </c>
      <c r="J751" s="79" t="b">
        <v>0</v>
      </c>
      <c r="K751" s="79" t="b">
        <v>0</v>
      </c>
      <c r="L751" s="79" t="b">
        <v>0</v>
      </c>
    </row>
    <row r="752" spans="1:12" ht="15">
      <c r="A752" s="85" t="s">
        <v>1989</v>
      </c>
      <c r="B752" s="84" t="s">
        <v>1990</v>
      </c>
      <c r="C752" s="79">
        <v>2</v>
      </c>
      <c r="D752" s="109">
        <v>0.01423774402873546</v>
      </c>
      <c r="E752" s="109">
        <v>1.6674529528899538</v>
      </c>
      <c r="F752" s="79" t="s">
        <v>1661</v>
      </c>
      <c r="G752" s="79" t="b">
        <v>0</v>
      </c>
      <c r="H752" s="79" t="b">
        <v>0</v>
      </c>
      <c r="I752" s="79" t="b">
        <v>0</v>
      </c>
      <c r="J752" s="79" t="b">
        <v>0</v>
      </c>
      <c r="K752" s="79" t="b">
        <v>0</v>
      </c>
      <c r="L752" s="79" t="b">
        <v>0</v>
      </c>
    </row>
    <row r="753" spans="1:12" ht="15">
      <c r="A753" s="85" t="s">
        <v>1990</v>
      </c>
      <c r="B753" s="84" t="s">
        <v>1991</v>
      </c>
      <c r="C753" s="79">
        <v>2</v>
      </c>
      <c r="D753" s="109">
        <v>0.01423774402873546</v>
      </c>
      <c r="E753" s="109">
        <v>1.6674529528899538</v>
      </c>
      <c r="F753" s="79" t="s">
        <v>1661</v>
      </c>
      <c r="G753" s="79" t="b">
        <v>0</v>
      </c>
      <c r="H753" s="79" t="b">
        <v>0</v>
      </c>
      <c r="I753" s="79" t="b">
        <v>0</v>
      </c>
      <c r="J753" s="79" t="b">
        <v>0</v>
      </c>
      <c r="K753" s="79" t="b">
        <v>0</v>
      </c>
      <c r="L753" s="79" t="b">
        <v>0</v>
      </c>
    </row>
    <row r="754" spans="1:12" ht="15">
      <c r="A754" s="85" t="s">
        <v>1991</v>
      </c>
      <c r="B754" s="84" t="s">
        <v>1992</v>
      </c>
      <c r="C754" s="79">
        <v>2</v>
      </c>
      <c r="D754" s="109">
        <v>0.01423774402873546</v>
      </c>
      <c r="E754" s="109">
        <v>1.6674529528899538</v>
      </c>
      <c r="F754" s="79" t="s">
        <v>1661</v>
      </c>
      <c r="G754" s="79" t="b">
        <v>0</v>
      </c>
      <c r="H754" s="79" t="b">
        <v>0</v>
      </c>
      <c r="I754" s="79" t="b">
        <v>0</v>
      </c>
      <c r="J754" s="79" t="b">
        <v>0</v>
      </c>
      <c r="K754" s="79" t="b">
        <v>0</v>
      </c>
      <c r="L754" s="79" t="b">
        <v>0</v>
      </c>
    </row>
    <row r="755" spans="1:12" ht="15">
      <c r="A755" s="85" t="s">
        <v>1993</v>
      </c>
      <c r="B755" s="84" t="s">
        <v>1994</v>
      </c>
      <c r="C755" s="79">
        <v>2</v>
      </c>
      <c r="D755" s="109">
        <v>0.01423774402873546</v>
      </c>
      <c r="E755" s="109">
        <v>1.6674529528899538</v>
      </c>
      <c r="F755" s="79" t="s">
        <v>1661</v>
      </c>
      <c r="G755" s="79" t="b">
        <v>0</v>
      </c>
      <c r="H755" s="79" t="b">
        <v>0</v>
      </c>
      <c r="I755" s="79" t="b">
        <v>0</v>
      </c>
      <c r="J755" s="79" t="b">
        <v>0</v>
      </c>
      <c r="K755" s="79" t="b">
        <v>0</v>
      </c>
      <c r="L755" s="79" t="b">
        <v>0</v>
      </c>
    </row>
    <row r="756" spans="1:12" ht="15">
      <c r="A756" s="85" t="s">
        <v>1994</v>
      </c>
      <c r="B756" s="84" t="s">
        <v>1913</v>
      </c>
      <c r="C756" s="79">
        <v>2</v>
      </c>
      <c r="D756" s="109">
        <v>0.01423774402873546</v>
      </c>
      <c r="E756" s="109">
        <v>1.6674529528899538</v>
      </c>
      <c r="F756" s="79" t="s">
        <v>1661</v>
      </c>
      <c r="G756" s="79" t="b">
        <v>0</v>
      </c>
      <c r="H756" s="79" t="b">
        <v>0</v>
      </c>
      <c r="I756" s="79" t="b">
        <v>0</v>
      </c>
      <c r="J756" s="79" t="b">
        <v>0</v>
      </c>
      <c r="K756" s="79" t="b">
        <v>0</v>
      </c>
      <c r="L756" s="79" t="b">
        <v>0</v>
      </c>
    </row>
    <row r="757" spans="1:12" ht="15">
      <c r="A757" s="85" t="s">
        <v>1913</v>
      </c>
      <c r="B757" s="84" t="s">
        <v>1995</v>
      </c>
      <c r="C757" s="79">
        <v>2</v>
      </c>
      <c r="D757" s="109">
        <v>0.01423774402873546</v>
      </c>
      <c r="E757" s="109">
        <v>1.6674529528899538</v>
      </c>
      <c r="F757" s="79" t="s">
        <v>1661</v>
      </c>
      <c r="G757" s="79" t="b">
        <v>0</v>
      </c>
      <c r="H757" s="79" t="b">
        <v>0</v>
      </c>
      <c r="I757" s="79" t="b">
        <v>0</v>
      </c>
      <c r="J757" s="79" t="b">
        <v>0</v>
      </c>
      <c r="K757" s="79" t="b">
        <v>0</v>
      </c>
      <c r="L757" s="79" t="b">
        <v>0</v>
      </c>
    </row>
    <row r="758" spans="1:12" ht="15">
      <c r="A758" s="85" t="s">
        <v>1995</v>
      </c>
      <c r="B758" s="84" t="s">
        <v>1996</v>
      </c>
      <c r="C758" s="79">
        <v>2</v>
      </c>
      <c r="D758" s="109">
        <v>0.01423774402873546</v>
      </c>
      <c r="E758" s="109">
        <v>1.6674529528899538</v>
      </c>
      <c r="F758" s="79" t="s">
        <v>1661</v>
      </c>
      <c r="G758" s="79" t="b">
        <v>0</v>
      </c>
      <c r="H758" s="79" t="b">
        <v>0</v>
      </c>
      <c r="I758" s="79" t="b">
        <v>0</v>
      </c>
      <c r="J758" s="79" t="b">
        <v>0</v>
      </c>
      <c r="K758" s="79" t="b">
        <v>0</v>
      </c>
      <c r="L758" s="79" t="b">
        <v>0</v>
      </c>
    </row>
    <row r="759" spans="1:12" ht="15">
      <c r="A759" s="85" t="s">
        <v>1996</v>
      </c>
      <c r="B759" s="84" t="s">
        <v>1997</v>
      </c>
      <c r="C759" s="79">
        <v>2</v>
      </c>
      <c r="D759" s="109">
        <v>0.01423774402873546</v>
      </c>
      <c r="E759" s="109">
        <v>1.6674529528899538</v>
      </c>
      <c r="F759" s="79" t="s">
        <v>1661</v>
      </c>
      <c r="G759" s="79" t="b">
        <v>0</v>
      </c>
      <c r="H759" s="79" t="b">
        <v>0</v>
      </c>
      <c r="I759" s="79" t="b">
        <v>0</v>
      </c>
      <c r="J759" s="79" t="b">
        <v>0</v>
      </c>
      <c r="K759" s="79" t="b">
        <v>0</v>
      </c>
      <c r="L759" s="79" t="b">
        <v>0</v>
      </c>
    </row>
    <row r="760" spans="1:12" ht="15">
      <c r="A760" s="85" t="s">
        <v>1997</v>
      </c>
      <c r="B760" s="84" t="s">
        <v>1884</v>
      </c>
      <c r="C760" s="79">
        <v>2</v>
      </c>
      <c r="D760" s="109">
        <v>0.01423774402873546</v>
      </c>
      <c r="E760" s="109">
        <v>1.6674529528899538</v>
      </c>
      <c r="F760" s="79" t="s">
        <v>1661</v>
      </c>
      <c r="G760" s="79" t="b">
        <v>0</v>
      </c>
      <c r="H760" s="79" t="b">
        <v>0</v>
      </c>
      <c r="I760" s="79" t="b">
        <v>0</v>
      </c>
      <c r="J760" s="79" t="b">
        <v>0</v>
      </c>
      <c r="K760" s="79" t="b">
        <v>0</v>
      </c>
      <c r="L760" s="79" t="b">
        <v>0</v>
      </c>
    </row>
    <row r="761" spans="1:12" ht="15">
      <c r="A761" s="85" t="s">
        <v>1884</v>
      </c>
      <c r="B761" s="84" t="s">
        <v>1998</v>
      </c>
      <c r="C761" s="79">
        <v>2</v>
      </c>
      <c r="D761" s="109">
        <v>0.01423774402873546</v>
      </c>
      <c r="E761" s="109">
        <v>1.6674529528899538</v>
      </c>
      <c r="F761" s="79" t="s">
        <v>1661</v>
      </c>
      <c r="G761" s="79" t="b">
        <v>0</v>
      </c>
      <c r="H761" s="79" t="b">
        <v>0</v>
      </c>
      <c r="I761" s="79" t="b">
        <v>0</v>
      </c>
      <c r="J761" s="79" t="b">
        <v>0</v>
      </c>
      <c r="K761" s="79" t="b">
        <v>0</v>
      </c>
      <c r="L761" s="79" t="b">
        <v>0</v>
      </c>
    </row>
    <row r="762" spans="1:12" ht="15">
      <c r="A762" s="85" t="s">
        <v>1998</v>
      </c>
      <c r="B762" s="84" t="s">
        <v>1703</v>
      </c>
      <c r="C762" s="79">
        <v>2</v>
      </c>
      <c r="D762" s="109">
        <v>0.01423774402873546</v>
      </c>
      <c r="E762" s="109">
        <v>0.92709026339571</v>
      </c>
      <c r="F762" s="79" t="s">
        <v>1661</v>
      </c>
      <c r="G762" s="79" t="b">
        <v>0</v>
      </c>
      <c r="H762" s="79" t="b">
        <v>0</v>
      </c>
      <c r="I762" s="79" t="b">
        <v>0</v>
      </c>
      <c r="J762" s="79" t="b">
        <v>0</v>
      </c>
      <c r="K762" s="79" t="b">
        <v>0</v>
      </c>
      <c r="L762" s="79" t="b">
        <v>0</v>
      </c>
    </row>
    <row r="763" spans="1:12" ht="15">
      <c r="A763" s="85" t="s">
        <v>1703</v>
      </c>
      <c r="B763" s="84" t="s">
        <v>1730</v>
      </c>
      <c r="C763" s="79">
        <v>2</v>
      </c>
      <c r="D763" s="109">
        <v>0.01423774402873546</v>
      </c>
      <c r="E763" s="109">
        <v>0.47017239476433464</v>
      </c>
      <c r="F763" s="79" t="s">
        <v>1661</v>
      </c>
      <c r="G763" s="79" t="b">
        <v>0</v>
      </c>
      <c r="H763" s="79" t="b">
        <v>0</v>
      </c>
      <c r="I763" s="79" t="b">
        <v>0</v>
      </c>
      <c r="J763" s="79" t="b">
        <v>0</v>
      </c>
      <c r="K763" s="79" t="b">
        <v>0</v>
      </c>
      <c r="L763" s="79" t="b">
        <v>0</v>
      </c>
    </row>
    <row r="764" spans="1:12" ht="15">
      <c r="A764" s="85" t="s">
        <v>2007</v>
      </c>
      <c r="B764" s="84" t="s">
        <v>2008</v>
      </c>
      <c r="C764" s="79">
        <v>2</v>
      </c>
      <c r="D764" s="109">
        <v>0</v>
      </c>
      <c r="E764" s="109">
        <v>1.278753600952829</v>
      </c>
      <c r="F764" s="79" t="s">
        <v>1662</v>
      </c>
      <c r="G764" s="79" t="b">
        <v>0</v>
      </c>
      <c r="H764" s="79" t="b">
        <v>0</v>
      </c>
      <c r="I764" s="79" t="b">
        <v>0</v>
      </c>
      <c r="J764" s="79" t="b">
        <v>0</v>
      </c>
      <c r="K764" s="79" t="b">
        <v>0</v>
      </c>
      <c r="L764" s="79" t="b">
        <v>0</v>
      </c>
    </row>
    <row r="765" spans="1:12" ht="15">
      <c r="A765" s="85" t="s">
        <v>2008</v>
      </c>
      <c r="B765" s="84" t="s">
        <v>367</v>
      </c>
      <c r="C765" s="79">
        <v>2</v>
      </c>
      <c r="D765" s="109">
        <v>0</v>
      </c>
      <c r="E765" s="109">
        <v>1.278753600952829</v>
      </c>
      <c r="F765" s="79" t="s">
        <v>1662</v>
      </c>
      <c r="G765" s="79" t="b">
        <v>0</v>
      </c>
      <c r="H765" s="79" t="b">
        <v>0</v>
      </c>
      <c r="I765" s="79" t="b">
        <v>0</v>
      </c>
      <c r="J765" s="79" t="b">
        <v>0</v>
      </c>
      <c r="K765" s="79" t="b">
        <v>0</v>
      </c>
      <c r="L765" s="79" t="b">
        <v>0</v>
      </c>
    </row>
    <row r="766" spans="1:12" ht="15">
      <c r="A766" s="85" t="s">
        <v>367</v>
      </c>
      <c r="B766" s="84" t="s">
        <v>2009</v>
      </c>
      <c r="C766" s="79">
        <v>2</v>
      </c>
      <c r="D766" s="109">
        <v>0</v>
      </c>
      <c r="E766" s="109">
        <v>1.278753600952829</v>
      </c>
      <c r="F766" s="79" t="s">
        <v>1662</v>
      </c>
      <c r="G766" s="79" t="b">
        <v>0</v>
      </c>
      <c r="H766" s="79" t="b">
        <v>0</v>
      </c>
      <c r="I766" s="79" t="b">
        <v>0</v>
      </c>
      <c r="J766" s="79" t="b">
        <v>0</v>
      </c>
      <c r="K766" s="79" t="b">
        <v>0</v>
      </c>
      <c r="L766" s="79" t="b">
        <v>0</v>
      </c>
    </row>
    <row r="767" spans="1:12" ht="15">
      <c r="A767" s="85" t="s">
        <v>2009</v>
      </c>
      <c r="B767" s="84" t="s">
        <v>2010</v>
      </c>
      <c r="C767" s="79">
        <v>2</v>
      </c>
      <c r="D767" s="109">
        <v>0</v>
      </c>
      <c r="E767" s="109">
        <v>1.278753600952829</v>
      </c>
      <c r="F767" s="79" t="s">
        <v>1662</v>
      </c>
      <c r="G767" s="79" t="b">
        <v>0</v>
      </c>
      <c r="H767" s="79" t="b">
        <v>0</v>
      </c>
      <c r="I767" s="79" t="b">
        <v>0</v>
      </c>
      <c r="J767" s="79" t="b">
        <v>0</v>
      </c>
      <c r="K767" s="79" t="b">
        <v>0</v>
      </c>
      <c r="L767" s="79" t="b">
        <v>0</v>
      </c>
    </row>
    <row r="768" spans="1:12" ht="15">
      <c r="A768" s="85" t="s">
        <v>2010</v>
      </c>
      <c r="B768" s="84" t="s">
        <v>368</v>
      </c>
      <c r="C768" s="79">
        <v>2</v>
      </c>
      <c r="D768" s="109">
        <v>0</v>
      </c>
      <c r="E768" s="109">
        <v>1.278753600952829</v>
      </c>
      <c r="F768" s="79" t="s">
        <v>1662</v>
      </c>
      <c r="G768" s="79" t="b">
        <v>0</v>
      </c>
      <c r="H768" s="79" t="b">
        <v>0</v>
      </c>
      <c r="I768" s="79" t="b">
        <v>0</v>
      </c>
      <c r="J768" s="79" t="b">
        <v>0</v>
      </c>
      <c r="K768" s="79" t="b">
        <v>0</v>
      </c>
      <c r="L768" s="79" t="b">
        <v>0</v>
      </c>
    </row>
    <row r="769" spans="1:12" ht="15">
      <c r="A769" s="85" t="s">
        <v>368</v>
      </c>
      <c r="B769" s="84" t="s">
        <v>2011</v>
      </c>
      <c r="C769" s="79">
        <v>2</v>
      </c>
      <c r="D769" s="109">
        <v>0</v>
      </c>
      <c r="E769" s="109">
        <v>1.278753600952829</v>
      </c>
      <c r="F769" s="79" t="s">
        <v>1662</v>
      </c>
      <c r="G769" s="79" t="b">
        <v>0</v>
      </c>
      <c r="H769" s="79" t="b">
        <v>0</v>
      </c>
      <c r="I769" s="79" t="b">
        <v>0</v>
      </c>
      <c r="J769" s="79" t="b">
        <v>0</v>
      </c>
      <c r="K769" s="79" t="b">
        <v>0</v>
      </c>
      <c r="L769" s="79" t="b">
        <v>0</v>
      </c>
    </row>
    <row r="770" spans="1:12" ht="15">
      <c r="A770" s="85" t="s">
        <v>2011</v>
      </c>
      <c r="B770" s="84" t="s">
        <v>2012</v>
      </c>
      <c r="C770" s="79">
        <v>2</v>
      </c>
      <c r="D770" s="109">
        <v>0</v>
      </c>
      <c r="E770" s="109">
        <v>1.278753600952829</v>
      </c>
      <c r="F770" s="79" t="s">
        <v>1662</v>
      </c>
      <c r="G770" s="79" t="b">
        <v>0</v>
      </c>
      <c r="H770" s="79" t="b">
        <v>0</v>
      </c>
      <c r="I770" s="79" t="b">
        <v>0</v>
      </c>
      <c r="J770" s="79" t="b">
        <v>0</v>
      </c>
      <c r="K770" s="79" t="b">
        <v>0</v>
      </c>
      <c r="L770" s="79" t="b">
        <v>0</v>
      </c>
    </row>
    <row r="771" spans="1:12" ht="15">
      <c r="A771" s="85" t="s">
        <v>2012</v>
      </c>
      <c r="B771" s="84" t="s">
        <v>2013</v>
      </c>
      <c r="C771" s="79">
        <v>2</v>
      </c>
      <c r="D771" s="109">
        <v>0</v>
      </c>
      <c r="E771" s="109">
        <v>1.278753600952829</v>
      </c>
      <c r="F771" s="79" t="s">
        <v>1662</v>
      </c>
      <c r="G771" s="79" t="b">
        <v>0</v>
      </c>
      <c r="H771" s="79" t="b">
        <v>0</v>
      </c>
      <c r="I771" s="79" t="b">
        <v>0</v>
      </c>
      <c r="J771" s="79" t="b">
        <v>0</v>
      </c>
      <c r="K771" s="79" t="b">
        <v>0</v>
      </c>
      <c r="L771" s="79" t="b">
        <v>0</v>
      </c>
    </row>
    <row r="772" spans="1:12" ht="15">
      <c r="A772" s="85" t="s">
        <v>2013</v>
      </c>
      <c r="B772" s="84" t="s">
        <v>2014</v>
      </c>
      <c r="C772" s="79">
        <v>2</v>
      </c>
      <c r="D772" s="109">
        <v>0</v>
      </c>
      <c r="E772" s="109">
        <v>1.278753600952829</v>
      </c>
      <c r="F772" s="79" t="s">
        <v>1662</v>
      </c>
      <c r="G772" s="79" t="b">
        <v>0</v>
      </c>
      <c r="H772" s="79" t="b">
        <v>0</v>
      </c>
      <c r="I772" s="79" t="b">
        <v>0</v>
      </c>
      <c r="J772" s="79" t="b">
        <v>0</v>
      </c>
      <c r="K772" s="79" t="b">
        <v>0</v>
      </c>
      <c r="L772" s="79" t="b">
        <v>0</v>
      </c>
    </row>
    <row r="773" spans="1:12" ht="15">
      <c r="A773" s="85" t="s">
        <v>2014</v>
      </c>
      <c r="B773" s="84" t="s">
        <v>2015</v>
      </c>
      <c r="C773" s="79">
        <v>2</v>
      </c>
      <c r="D773" s="109">
        <v>0</v>
      </c>
      <c r="E773" s="109">
        <v>1.278753600952829</v>
      </c>
      <c r="F773" s="79" t="s">
        <v>1662</v>
      </c>
      <c r="G773" s="79" t="b">
        <v>0</v>
      </c>
      <c r="H773" s="79" t="b">
        <v>0</v>
      </c>
      <c r="I773" s="79" t="b">
        <v>0</v>
      </c>
      <c r="J773" s="79" t="b">
        <v>0</v>
      </c>
      <c r="K773" s="79" t="b">
        <v>0</v>
      </c>
      <c r="L773" s="79" t="b">
        <v>0</v>
      </c>
    </row>
    <row r="774" spans="1:12" ht="15">
      <c r="A774" s="85" t="s">
        <v>2015</v>
      </c>
      <c r="B774" s="84" t="s">
        <v>2016</v>
      </c>
      <c r="C774" s="79">
        <v>2</v>
      </c>
      <c r="D774" s="109">
        <v>0</v>
      </c>
      <c r="E774" s="109">
        <v>1.278753600952829</v>
      </c>
      <c r="F774" s="79" t="s">
        <v>1662</v>
      </c>
      <c r="G774" s="79" t="b">
        <v>0</v>
      </c>
      <c r="H774" s="79" t="b">
        <v>0</v>
      </c>
      <c r="I774" s="79" t="b">
        <v>0</v>
      </c>
      <c r="J774" s="79" t="b">
        <v>0</v>
      </c>
      <c r="K774" s="79" t="b">
        <v>0</v>
      </c>
      <c r="L774" s="79" t="b">
        <v>0</v>
      </c>
    </row>
    <row r="775" spans="1:12" ht="15">
      <c r="A775" s="85" t="s">
        <v>2016</v>
      </c>
      <c r="B775" s="84" t="s">
        <v>2017</v>
      </c>
      <c r="C775" s="79">
        <v>2</v>
      </c>
      <c r="D775" s="109">
        <v>0</v>
      </c>
      <c r="E775" s="109">
        <v>1.278753600952829</v>
      </c>
      <c r="F775" s="79" t="s">
        <v>1662</v>
      </c>
      <c r="G775" s="79" t="b">
        <v>0</v>
      </c>
      <c r="H775" s="79" t="b">
        <v>0</v>
      </c>
      <c r="I775" s="79" t="b">
        <v>0</v>
      </c>
      <c r="J775" s="79" t="b">
        <v>0</v>
      </c>
      <c r="K775" s="79" t="b">
        <v>0</v>
      </c>
      <c r="L775" s="79" t="b">
        <v>0</v>
      </c>
    </row>
    <row r="776" spans="1:12" ht="15">
      <c r="A776" s="85" t="s">
        <v>2017</v>
      </c>
      <c r="B776" s="84" t="s">
        <v>2018</v>
      </c>
      <c r="C776" s="79">
        <v>2</v>
      </c>
      <c r="D776" s="109">
        <v>0</v>
      </c>
      <c r="E776" s="109">
        <v>1.278753600952829</v>
      </c>
      <c r="F776" s="79" t="s">
        <v>1662</v>
      </c>
      <c r="G776" s="79" t="b">
        <v>0</v>
      </c>
      <c r="H776" s="79" t="b">
        <v>0</v>
      </c>
      <c r="I776" s="79" t="b">
        <v>0</v>
      </c>
      <c r="J776" s="79" t="b">
        <v>0</v>
      </c>
      <c r="K776" s="79" t="b">
        <v>0</v>
      </c>
      <c r="L776" s="79" t="b">
        <v>0</v>
      </c>
    </row>
    <row r="777" spans="1:12" ht="15">
      <c r="A777" s="85" t="s">
        <v>2018</v>
      </c>
      <c r="B777" s="84" t="s">
        <v>2019</v>
      </c>
      <c r="C777" s="79">
        <v>2</v>
      </c>
      <c r="D777" s="109">
        <v>0</v>
      </c>
      <c r="E777" s="109">
        <v>1.278753600952829</v>
      </c>
      <c r="F777" s="79" t="s">
        <v>1662</v>
      </c>
      <c r="G777" s="79" t="b">
        <v>0</v>
      </c>
      <c r="H777" s="79" t="b">
        <v>0</v>
      </c>
      <c r="I777" s="79" t="b">
        <v>0</v>
      </c>
      <c r="J777" s="79" t="b">
        <v>0</v>
      </c>
      <c r="K777" s="79" t="b">
        <v>0</v>
      </c>
      <c r="L777" s="79" t="b">
        <v>0</v>
      </c>
    </row>
    <row r="778" spans="1:12" ht="15">
      <c r="A778" s="85" t="s">
        <v>2019</v>
      </c>
      <c r="B778" s="84" t="s">
        <v>2020</v>
      </c>
      <c r="C778" s="79">
        <v>2</v>
      </c>
      <c r="D778" s="109">
        <v>0</v>
      </c>
      <c r="E778" s="109">
        <v>1.278753600952829</v>
      </c>
      <c r="F778" s="79" t="s">
        <v>1662</v>
      </c>
      <c r="G778" s="79" t="b">
        <v>0</v>
      </c>
      <c r="H778" s="79" t="b">
        <v>0</v>
      </c>
      <c r="I778" s="79" t="b">
        <v>0</v>
      </c>
      <c r="J778" s="79" t="b">
        <v>0</v>
      </c>
      <c r="K778" s="79" t="b">
        <v>0</v>
      </c>
      <c r="L778" s="79" t="b">
        <v>0</v>
      </c>
    </row>
    <row r="779" spans="1:12" ht="15">
      <c r="A779" s="85" t="s">
        <v>2020</v>
      </c>
      <c r="B779" s="84" t="s">
        <v>1703</v>
      </c>
      <c r="C779" s="79">
        <v>2</v>
      </c>
      <c r="D779" s="109">
        <v>0</v>
      </c>
      <c r="E779" s="109">
        <v>1.278753600952829</v>
      </c>
      <c r="F779" s="79" t="s">
        <v>1662</v>
      </c>
      <c r="G779" s="79" t="b">
        <v>0</v>
      </c>
      <c r="H779" s="79" t="b">
        <v>0</v>
      </c>
      <c r="I779" s="79" t="b">
        <v>0</v>
      </c>
      <c r="J779" s="79" t="b">
        <v>0</v>
      </c>
      <c r="K779" s="79" t="b">
        <v>0</v>
      </c>
      <c r="L779" s="79" t="b">
        <v>0</v>
      </c>
    </row>
    <row r="780" spans="1:12" ht="15">
      <c r="A780" s="85" t="s">
        <v>1703</v>
      </c>
      <c r="B780" s="84" t="s">
        <v>2021</v>
      </c>
      <c r="C780" s="79">
        <v>2</v>
      </c>
      <c r="D780" s="109">
        <v>0</v>
      </c>
      <c r="E780" s="109">
        <v>1.278753600952829</v>
      </c>
      <c r="F780" s="79" t="s">
        <v>1662</v>
      </c>
      <c r="G780" s="79" t="b">
        <v>0</v>
      </c>
      <c r="H780" s="79" t="b">
        <v>0</v>
      </c>
      <c r="I780" s="79" t="b">
        <v>0</v>
      </c>
      <c r="J780" s="79" t="b">
        <v>0</v>
      </c>
      <c r="K780" s="79" t="b">
        <v>0</v>
      </c>
      <c r="L780" s="79" t="b">
        <v>0</v>
      </c>
    </row>
    <row r="781" spans="1:12" ht="15">
      <c r="A781" s="85" t="s">
        <v>2021</v>
      </c>
      <c r="B781" s="84" t="s">
        <v>366</v>
      </c>
      <c r="C781" s="79">
        <v>2</v>
      </c>
      <c r="D781" s="109">
        <v>0</v>
      </c>
      <c r="E781" s="109">
        <v>1.278753600952829</v>
      </c>
      <c r="F781" s="79" t="s">
        <v>1662</v>
      </c>
      <c r="G781" s="79" t="b">
        <v>0</v>
      </c>
      <c r="H781" s="79" t="b">
        <v>0</v>
      </c>
      <c r="I781" s="79" t="b">
        <v>0</v>
      </c>
      <c r="J781" s="79" t="b">
        <v>0</v>
      </c>
      <c r="K781" s="79" t="b">
        <v>0</v>
      </c>
      <c r="L781" s="79" t="b">
        <v>0</v>
      </c>
    </row>
    <row r="782" spans="1:12" ht="15">
      <c r="A782" s="85" t="s">
        <v>366</v>
      </c>
      <c r="B782" s="84" t="s">
        <v>365</v>
      </c>
      <c r="C782" s="79">
        <v>2</v>
      </c>
      <c r="D782" s="109">
        <v>0</v>
      </c>
      <c r="E782" s="109">
        <v>1.278753600952829</v>
      </c>
      <c r="F782" s="79" t="s">
        <v>1662</v>
      </c>
      <c r="G782" s="79" t="b">
        <v>0</v>
      </c>
      <c r="H782" s="79" t="b">
        <v>0</v>
      </c>
      <c r="I782" s="79" t="b">
        <v>0</v>
      </c>
      <c r="J782" s="79" t="b">
        <v>0</v>
      </c>
      <c r="K782" s="79" t="b">
        <v>0</v>
      </c>
      <c r="L782" s="79" t="b">
        <v>0</v>
      </c>
    </row>
    <row r="783" spans="1:12" ht="15">
      <c r="A783" s="85" t="s">
        <v>1878</v>
      </c>
      <c r="B783" s="84" t="s">
        <v>1929</v>
      </c>
      <c r="C783" s="79">
        <v>3</v>
      </c>
      <c r="D783" s="109">
        <v>0</v>
      </c>
      <c r="E783" s="109">
        <v>1.1760912590556813</v>
      </c>
      <c r="F783" s="79" t="s">
        <v>1663</v>
      </c>
      <c r="G783" s="79" t="b">
        <v>0</v>
      </c>
      <c r="H783" s="79" t="b">
        <v>0</v>
      </c>
      <c r="I783" s="79" t="b">
        <v>0</v>
      </c>
      <c r="J783" s="79" t="b">
        <v>0</v>
      </c>
      <c r="K783" s="79" t="b">
        <v>0</v>
      </c>
      <c r="L783" s="79" t="b">
        <v>0</v>
      </c>
    </row>
    <row r="784" spans="1:12" ht="15">
      <c r="A784" s="85" t="s">
        <v>1929</v>
      </c>
      <c r="B784" s="84" t="s">
        <v>1930</v>
      </c>
      <c r="C784" s="79">
        <v>3</v>
      </c>
      <c r="D784" s="109">
        <v>0</v>
      </c>
      <c r="E784" s="109">
        <v>1.1760912590556813</v>
      </c>
      <c r="F784" s="79" t="s">
        <v>1663</v>
      </c>
      <c r="G784" s="79" t="b">
        <v>0</v>
      </c>
      <c r="H784" s="79" t="b">
        <v>0</v>
      </c>
      <c r="I784" s="79" t="b">
        <v>0</v>
      </c>
      <c r="J784" s="79" t="b">
        <v>0</v>
      </c>
      <c r="K784" s="79" t="b">
        <v>0</v>
      </c>
      <c r="L784" s="79" t="b">
        <v>0</v>
      </c>
    </row>
    <row r="785" spans="1:12" ht="15">
      <c r="A785" s="85" t="s">
        <v>1930</v>
      </c>
      <c r="B785" s="84" t="s">
        <v>1931</v>
      </c>
      <c r="C785" s="79">
        <v>3</v>
      </c>
      <c r="D785" s="109">
        <v>0</v>
      </c>
      <c r="E785" s="109">
        <v>1.1760912590556813</v>
      </c>
      <c r="F785" s="79" t="s">
        <v>1663</v>
      </c>
      <c r="G785" s="79" t="b">
        <v>0</v>
      </c>
      <c r="H785" s="79" t="b">
        <v>0</v>
      </c>
      <c r="I785" s="79" t="b">
        <v>0</v>
      </c>
      <c r="J785" s="79" t="b">
        <v>0</v>
      </c>
      <c r="K785" s="79" t="b">
        <v>0</v>
      </c>
      <c r="L785" s="79" t="b">
        <v>0</v>
      </c>
    </row>
    <row r="786" spans="1:12" ht="15">
      <c r="A786" s="85" t="s">
        <v>1931</v>
      </c>
      <c r="B786" s="84" t="s">
        <v>1879</v>
      </c>
      <c r="C786" s="79">
        <v>3</v>
      </c>
      <c r="D786" s="109">
        <v>0</v>
      </c>
      <c r="E786" s="109">
        <v>1.1760912590556813</v>
      </c>
      <c r="F786" s="79" t="s">
        <v>1663</v>
      </c>
      <c r="G786" s="79" t="b">
        <v>0</v>
      </c>
      <c r="H786" s="79" t="b">
        <v>0</v>
      </c>
      <c r="I786" s="79" t="b">
        <v>0</v>
      </c>
      <c r="J786" s="79" t="b">
        <v>0</v>
      </c>
      <c r="K786" s="79" t="b">
        <v>0</v>
      </c>
      <c r="L786" s="79" t="b">
        <v>0</v>
      </c>
    </row>
    <row r="787" spans="1:12" ht="15">
      <c r="A787" s="85" t="s">
        <v>1879</v>
      </c>
      <c r="B787" s="84" t="s">
        <v>1932</v>
      </c>
      <c r="C787" s="79">
        <v>3</v>
      </c>
      <c r="D787" s="109">
        <v>0</v>
      </c>
      <c r="E787" s="109">
        <v>1.1760912590556813</v>
      </c>
      <c r="F787" s="79" t="s">
        <v>1663</v>
      </c>
      <c r="G787" s="79" t="b">
        <v>0</v>
      </c>
      <c r="H787" s="79" t="b">
        <v>0</v>
      </c>
      <c r="I787" s="79" t="b">
        <v>0</v>
      </c>
      <c r="J787" s="79" t="b">
        <v>0</v>
      </c>
      <c r="K787" s="79" t="b">
        <v>0</v>
      </c>
      <c r="L787" s="79" t="b">
        <v>0</v>
      </c>
    </row>
    <row r="788" spans="1:12" ht="15">
      <c r="A788" s="85" t="s">
        <v>1932</v>
      </c>
      <c r="B788" s="84" t="s">
        <v>1933</v>
      </c>
      <c r="C788" s="79">
        <v>3</v>
      </c>
      <c r="D788" s="109">
        <v>0</v>
      </c>
      <c r="E788" s="109">
        <v>1.1760912590556813</v>
      </c>
      <c r="F788" s="79" t="s">
        <v>1663</v>
      </c>
      <c r="G788" s="79" t="b">
        <v>0</v>
      </c>
      <c r="H788" s="79" t="b">
        <v>0</v>
      </c>
      <c r="I788" s="79" t="b">
        <v>0</v>
      </c>
      <c r="J788" s="79" t="b">
        <v>0</v>
      </c>
      <c r="K788" s="79" t="b">
        <v>0</v>
      </c>
      <c r="L788" s="79" t="b">
        <v>0</v>
      </c>
    </row>
    <row r="789" spans="1:12" ht="15">
      <c r="A789" s="85" t="s">
        <v>1933</v>
      </c>
      <c r="B789" s="84" t="s">
        <v>1703</v>
      </c>
      <c r="C789" s="79">
        <v>3</v>
      </c>
      <c r="D789" s="109">
        <v>0</v>
      </c>
      <c r="E789" s="109">
        <v>1.1760912590556813</v>
      </c>
      <c r="F789" s="79" t="s">
        <v>1663</v>
      </c>
      <c r="G789" s="79" t="b">
        <v>0</v>
      </c>
      <c r="H789" s="79" t="b">
        <v>0</v>
      </c>
      <c r="I789" s="79" t="b">
        <v>0</v>
      </c>
      <c r="J789" s="79" t="b">
        <v>0</v>
      </c>
      <c r="K789" s="79" t="b">
        <v>0</v>
      </c>
      <c r="L789" s="79" t="b">
        <v>0</v>
      </c>
    </row>
    <row r="790" spans="1:12" ht="15">
      <c r="A790" s="85" t="s">
        <v>1703</v>
      </c>
      <c r="B790" s="84" t="s">
        <v>1934</v>
      </c>
      <c r="C790" s="79">
        <v>3</v>
      </c>
      <c r="D790" s="109">
        <v>0</v>
      </c>
      <c r="E790" s="109">
        <v>1.1760912590556813</v>
      </c>
      <c r="F790" s="79" t="s">
        <v>1663</v>
      </c>
      <c r="G790" s="79" t="b">
        <v>0</v>
      </c>
      <c r="H790" s="79" t="b">
        <v>0</v>
      </c>
      <c r="I790" s="79" t="b">
        <v>0</v>
      </c>
      <c r="J790" s="79" t="b">
        <v>0</v>
      </c>
      <c r="K790" s="79" t="b">
        <v>0</v>
      </c>
      <c r="L790" s="79" t="b">
        <v>0</v>
      </c>
    </row>
    <row r="791" spans="1:12" ht="15">
      <c r="A791" s="85" t="s">
        <v>2031</v>
      </c>
      <c r="B791" s="84" t="s">
        <v>1905</v>
      </c>
      <c r="C791" s="79">
        <v>2</v>
      </c>
      <c r="D791" s="109">
        <v>0.007337135793986718</v>
      </c>
      <c r="E791" s="109">
        <v>1.3521825181113625</v>
      </c>
      <c r="F791" s="79" t="s">
        <v>1663</v>
      </c>
      <c r="G791" s="79" t="b">
        <v>0</v>
      </c>
      <c r="H791" s="79" t="b">
        <v>0</v>
      </c>
      <c r="I791" s="79" t="b">
        <v>0</v>
      </c>
      <c r="J791" s="79" t="b">
        <v>0</v>
      </c>
      <c r="K791" s="79" t="b">
        <v>0</v>
      </c>
      <c r="L791" s="79" t="b">
        <v>0</v>
      </c>
    </row>
    <row r="792" spans="1:12" ht="15">
      <c r="A792" s="85" t="s">
        <v>1905</v>
      </c>
      <c r="B792" s="84" t="s">
        <v>2032</v>
      </c>
      <c r="C792" s="79">
        <v>2</v>
      </c>
      <c r="D792" s="109">
        <v>0.007337135793986718</v>
      </c>
      <c r="E792" s="109">
        <v>1.3521825181113625</v>
      </c>
      <c r="F792" s="79" t="s">
        <v>1663</v>
      </c>
      <c r="G792" s="79" t="b">
        <v>0</v>
      </c>
      <c r="H792" s="79" t="b">
        <v>0</v>
      </c>
      <c r="I792" s="79" t="b">
        <v>0</v>
      </c>
      <c r="J792" s="79" t="b">
        <v>0</v>
      </c>
      <c r="K792" s="79" t="b">
        <v>1</v>
      </c>
      <c r="L792" s="79" t="b">
        <v>0</v>
      </c>
    </row>
    <row r="793" spans="1:12" ht="15">
      <c r="A793" s="85" t="s">
        <v>2032</v>
      </c>
      <c r="B793" s="84" t="s">
        <v>2033</v>
      </c>
      <c r="C793" s="79">
        <v>2</v>
      </c>
      <c r="D793" s="109">
        <v>0.007337135793986718</v>
      </c>
      <c r="E793" s="109">
        <v>1.3521825181113625</v>
      </c>
      <c r="F793" s="79" t="s">
        <v>1663</v>
      </c>
      <c r="G793" s="79" t="b">
        <v>0</v>
      </c>
      <c r="H793" s="79" t="b">
        <v>1</v>
      </c>
      <c r="I793" s="79" t="b">
        <v>0</v>
      </c>
      <c r="J793" s="79" t="b">
        <v>0</v>
      </c>
      <c r="K793" s="79" t="b">
        <v>0</v>
      </c>
      <c r="L793" s="79" t="b">
        <v>0</v>
      </c>
    </row>
    <row r="794" spans="1:12" ht="15">
      <c r="A794" s="85" t="s">
        <v>2033</v>
      </c>
      <c r="B794" s="84" t="s">
        <v>2034</v>
      </c>
      <c r="C794" s="79">
        <v>2</v>
      </c>
      <c r="D794" s="109">
        <v>0.007337135793986718</v>
      </c>
      <c r="E794" s="109">
        <v>1.3521825181113625</v>
      </c>
      <c r="F794" s="79" t="s">
        <v>1663</v>
      </c>
      <c r="G794" s="79" t="b">
        <v>0</v>
      </c>
      <c r="H794" s="79" t="b">
        <v>0</v>
      </c>
      <c r="I794" s="79" t="b">
        <v>0</v>
      </c>
      <c r="J794" s="79" t="b">
        <v>0</v>
      </c>
      <c r="K794" s="79" t="b">
        <v>0</v>
      </c>
      <c r="L794" s="79" t="b">
        <v>0</v>
      </c>
    </row>
    <row r="795" spans="1:12" ht="15">
      <c r="A795" s="85" t="s">
        <v>2034</v>
      </c>
      <c r="B795" s="84" t="s">
        <v>1841</v>
      </c>
      <c r="C795" s="79">
        <v>2</v>
      </c>
      <c r="D795" s="109">
        <v>0.007337135793986718</v>
      </c>
      <c r="E795" s="109">
        <v>1.3521825181113625</v>
      </c>
      <c r="F795" s="79" t="s">
        <v>1663</v>
      </c>
      <c r="G795" s="79" t="b">
        <v>0</v>
      </c>
      <c r="H795" s="79" t="b">
        <v>0</v>
      </c>
      <c r="I795" s="79" t="b">
        <v>0</v>
      </c>
      <c r="J795" s="79" t="b">
        <v>0</v>
      </c>
      <c r="K795" s="79" t="b">
        <v>0</v>
      </c>
      <c r="L795" s="79" t="b">
        <v>0</v>
      </c>
    </row>
    <row r="796" spans="1:12" ht="15">
      <c r="A796" s="85" t="s">
        <v>1841</v>
      </c>
      <c r="B796" s="84" t="s">
        <v>2035</v>
      </c>
      <c r="C796" s="79">
        <v>2</v>
      </c>
      <c r="D796" s="109">
        <v>0.007337135793986718</v>
      </c>
      <c r="E796" s="109">
        <v>1.3521825181113625</v>
      </c>
      <c r="F796" s="79" t="s">
        <v>1663</v>
      </c>
      <c r="G796" s="79" t="b">
        <v>0</v>
      </c>
      <c r="H796" s="79" t="b">
        <v>0</v>
      </c>
      <c r="I796" s="79" t="b">
        <v>0</v>
      </c>
      <c r="J796" s="79" t="b">
        <v>0</v>
      </c>
      <c r="K796" s="79" t="b">
        <v>0</v>
      </c>
      <c r="L796" s="79" t="b">
        <v>0</v>
      </c>
    </row>
    <row r="797" spans="1:12" ht="15">
      <c r="A797" s="85" t="s">
        <v>2035</v>
      </c>
      <c r="B797" s="84" t="s">
        <v>2036</v>
      </c>
      <c r="C797" s="79">
        <v>2</v>
      </c>
      <c r="D797" s="109">
        <v>0.007337135793986718</v>
      </c>
      <c r="E797" s="109">
        <v>1.3521825181113625</v>
      </c>
      <c r="F797" s="79" t="s">
        <v>1663</v>
      </c>
      <c r="G797" s="79" t="b">
        <v>0</v>
      </c>
      <c r="H797" s="79" t="b">
        <v>0</v>
      </c>
      <c r="I797" s="79" t="b">
        <v>0</v>
      </c>
      <c r="J797" s="79" t="b">
        <v>0</v>
      </c>
      <c r="K797" s="79" t="b">
        <v>0</v>
      </c>
      <c r="L797" s="79" t="b">
        <v>0</v>
      </c>
    </row>
    <row r="798" spans="1:12" ht="15">
      <c r="A798" s="85" t="s">
        <v>2036</v>
      </c>
      <c r="B798" s="84" t="s">
        <v>2037</v>
      </c>
      <c r="C798" s="79">
        <v>2</v>
      </c>
      <c r="D798" s="109">
        <v>0.007337135793986718</v>
      </c>
      <c r="E798" s="109">
        <v>1.3521825181113625</v>
      </c>
      <c r="F798" s="79" t="s">
        <v>1663</v>
      </c>
      <c r="G798" s="79" t="b">
        <v>0</v>
      </c>
      <c r="H798" s="79" t="b">
        <v>0</v>
      </c>
      <c r="I798" s="79" t="b">
        <v>0</v>
      </c>
      <c r="J798" s="79" t="b">
        <v>0</v>
      </c>
      <c r="K798" s="79" t="b">
        <v>0</v>
      </c>
      <c r="L798" s="79" t="b">
        <v>0</v>
      </c>
    </row>
    <row r="799" spans="1:12" ht="15">
      <c r="A799" s="85" t="s">
        <v>2037</v>
      </c>
      <c r="B799" s="84" t="s">
        <v>1878</v>
      </c>
      <c r="C799" s="79">
        <v>2</v>
      </c>
      <c r="D799" s="109">
        <v>0.007337135793986718</v>
      </c>
      <c r="E799" s="109">
        <v>1.3521825181113625</v>
      </c>
      <c r="F799" s="79" t="s">
        <v>1663</v>
      </c>
      <c r="G799" s="79" t="b">
        <v>0</v>
      </c>
      <c r="H799" s="79" t="b">
        <v>0</v>
      </c>
      <c r="I799" s="79" t="b">
        <v>0</v>
      </c>
      <c r="J799" s="79" t="b">
        <v>0</v>
      </c>
      <c r="K799" s="79" t="b">
        <v>0</v>
      </c>
      <c r="L799" s="79" t="b">
        <v>0</v>
      </c>
    </row>
    <row r="800" spans="1:12" ht="15">
      <c r="A800" s="85" t="s">
        <v>1934</v>
      </c>
      <c r="B800" s="84" t="s">
        <v>361</v>
      </c>
      <c r="C800" s="79">
        <v>2</v>
      </c>
      <c r="D800" s="109">
        <v>0.007337135793986718</v>
      </c>
      <c r="E800" s="109">
        <v>1.1760912590556813</v>
      </c>
      <c r="F800" s="79" t="s">
        <v>1663</v>
      </c>
      <c r="G800" s="79" t="b">
        <v>0</v>
      </c>
      <c r="H800" s="79" t="b">
        <v>0</v>
      </c>
      <c r="I800" s="79" t="b">
        <v>0</v>
      </c>
      <c r="J800" s="79" t="b">
        <v>0</v>
      </c>
      <c r="K800" s="79" t="b">
        <v>0</v>
      </c>
      <c r="L800" s="79" t="b">
        <v>0</v>
      </c>
    </row>
    <row r="801" spans="1:12" ht="15">
      <c r="A801" s="85" t="s">
        <v>1889</v>
      </c>
      <c r="B801" s="84" t="s">
        <v>1890</v>
      </c>
      <c r="C801" s="79">
        <v>3</v>
      </c>
      <c r="D801" s="109">
        <v>0</v>
      </c>
      <c r="E801" s="109">
        <v>1.146128035678238</v>
      </c>
      <c r="F801" s="79" t="s">
        <v>1664</v>
      </c>
      <c r="G801" s="79" t="b">
        <v>0</v>
      </c>
      <c r="H801" s="79" t="b">
        <v>0</v>
      </c>
      <c r="I801" s="79" t="b">
        <v>0</v>
      </c>
      <c r="J801" s="79" t="b">
        <v>0</v>
      </c>
      <c r="K801" s="79" t="b">
        <v>0</v>
      </c>
      <c r="L801" s="79" t="b">
        <v>0</v>
      </c>
    </row>
    <row r="802" spans="1:12" ht="15">
      <c r="A802" s="85" t="s">
        <v>1890</v>
      </c>
      <c r="B802" s="84" t="s">
        <v>1703</v>
      </c>
      <c r="C802" s="79">
        <v>3</v>
      </c>
      <c r="D802" s="109">
        <v>0</v>
      </c>
      <c r="E802" s="109">
        <v>1.146128035678238</v>
      </c>
      <c r="F802" s="79" t="s">
        <v>1664</v>
      </c>
      <c r="G802" s="79" t="b">
        <v>0</v>
      </c>
      <c r="H802" s="79" t="b">
        <v>0</v>
      </c>
      <c r="I802" s="79" t="b">
        <v>0</v>
      </c>
      <c r="J802" s="79" t="b">
        <v>0</v>
      </c>
      <c r="K802" s="79" t="b">
        <v>0</v>
      </c>
      <c r="L802" s="79" t="b">
        <v>0</v>
      </c>
    </row>
    <row r="803" spans="1:12" ht="15">
      <c r="A803" s="85" t="s">
        <v>1703</v>
      </c>
      <c r="B803" s="84" t="s">
        <v>1891</v>
      </c>
      <c r="C803" s="79">
        <v>3</v>
      </c>
      <c r="D803" s="109">
        <v>0</v>
      </c>
      <c r="E803" s="109">
        <v>1.146128035678238</v>
      </c>
      <c r="F803" s="79" t="s">
        <v>1664</v>
      </c>
      <c r="G803" s="79" t="b">
        <v>0</v>
      </c>
      <c r="H803" s="79" t="b">
        <v>0</v>
      </c>
      <c r="I803" s="79" t="b">
        <v>0</v>
      </c>
      <c r="J803" s="79" t="b">
        <v>0</v>
      </c>
      <c r="K803" s="79" t="b">
        <v>0</v>
      </c>
      <c r="L803" s="79" t="b">
        <v>0</v>
      </c>
    </row>
    <row r="804" spans="1:12" ht="15">
      <c r="A804" s="85" t="s">
        <v>1891</v>
      </c>
      <c r="B804" s="84" t="s">
        <v>1892</v>
      </c>
      <c r="C804" s="79">
        <v>3</v>
      </c>
      <c r="D804" s="109">
        <v>0</v>
      </c>
      <c r="E804" s="109">
        <v>1.146128035678238</v>
      </c>
      <c r="F804" s="79" t="s">
        <v>1664</v>
      </c>
      <c r="G804" s="79" t="b">
        <v>0</v>
      </c>
      <c r="H804" s="79" t="b">
        <v>0</v>
      </c>
      <c r="I804" s="79" t="b">
        <v>0</v>
      </c>
      <c r="J804" s="79" t="b">
        <v>0</v>
      </c>
      <c r="K804" s="79" t="b">
        <v>0</v>
      </c>
      <c r="L804" s="79" t="b">
        <v>0</v>
      </c>
    </row>
    <row r="805" spans="1:12" ht="15">
      <c r="A805" s="85" t="s">
        <v>1892</v>
      </c>
      <c r="B805" s="84" t="s">
        <v>1893</v>
      </c>
      <c r="C805" s="79">
        <v>3</v>
      </c>
      <c r="D805" s="109">
        <v>0</v>
      </c>
      <c r="E805" s="109">
        <v>1.146128035678238</v>
      </c>
      <c r="F805" s="79" t="s">
        <v>1664</v>
      </c>
      <c r="G805" s="79" t="b">
        <v>0</v>
      </c>
      <c r="H805" s="79" t="b">
        <v>0</v>
      </c>
      <c r="I805" s="79" t="b">
        <v>0</v>
      </c>
      <c r="J805" s="79" t="b">
        <v>0</v>
      </c>
      <c r="K805" s="79" t="b">
        <v>0</v>
      </c>
      <c r="L805" s="79" t="b">
        <v>0</v>
      </c>
    </row>
    <row r="806" spans="1:12" ht="15">
      <c r="A806" s="85" t="s">
        <v>1893</v>
      </c>
      <c r="B806" s="84" t="s">
        <v>1894</v>
      </c>
      <c r="C806" s="79">
        <v>3</v>
      </c>
      <c r="D806" s="109">
        <v>0</v>
      </c>
      <c r="E806" s="109">
        <v>1.146128035678238</v>
      </c>
      <c r="F806" s="79" t="s">
        <v>1664</v>
      </c>
      <c r="G806" s="79" t="b">
        <v>0</v>
      </c>
      <c r="H806" s="79" t="b">
        <v>0</v>
      </c>
      <c r="I806" s="79" t="b">
        <v>0</v>
      </c>
      <c r="J806" s="79" t="b">
        <v>0</v>
      </c>
      <c r="K806" s="79" t="b">
        <v>0</v>
      </c>
      <c r="L806" s="79" t="b">
        <v>0</v>
      </c>
    </row>
    <row r="807" spans="1:12" ht="15">
      <c r="A807" s="85" t="s">
        <v>1894</v>
      </c>
      <c r="B807" s="84" t="s">
        <v>1895</v>
      </c>
      <c r="C807" s="79">
        <v>3</v>
      </c>
      <c r="D807" s="109">
        <v>0</v>
      </c>
      <c r="E807" s="109">
        <v>1.146128035678238</v>
      </c>
      <c r="F807" s="79" t="s">
        <v>1664</v>
      </c>
      <c r="G807" s="79" t="b">
        <v>0</v>
      </c>
      <c r="H807" s="79" t="b">
        <v>0</v>
      </c>
      <c r="I807" s="79" t="b">
        <v>0</v>
      </c>
      <c r="J807" s="79" t="b">
        <v>0</v>
      </c>
      <c r="K807" s="79" t="b">
        <v>0</v>
      </c>
      <c r="L807" s="79" t="b">
        <v>0</v>
      </c>
    </row>
    <row r="808" spans="1:12" ht="15">
      <c r="A808" s="85" t="s">
        <v>1895</v>
      </c>
      <c r="B808" s="84" t="s">
        <v>1896</v>
      </c>
      <c r="C808" s="79">
        <v>3</v>
      </c>
      <c r="D808" s="109">
        <v>0</v>
      </c>
      <c r="E808" s="109">
        <v>1.146128035678238</v>
      </c>
      <c r="F808" s="79" t="s">
        <v>1664</v>
      </c>
      <c r="G808" s="79" t="b">
        <v>0</v>
      </c>
      <c r="H808" s="79" t="b">
        <v>0</v>
      </c>
      <c r="I808" s="79" t="b">
        <v>0</v>
      </c>
      <c r="J808" s="79" t="b">
        <v>0</v>
      </c>
      <c r="K808" s="79" t="b">
        <v>0</v>
      </c>
      <c r="L808" s="79" t="b">
        <v>0</v>
      </c>
    </row>
    <row r="809" spans="1:12" ht="15">
      <c r="A809" s="85" t="s">
        <v>1896</v>
      </c>
      <c r="B809" s="84" t="s">
        <v>1897</v>
      </c>
      <c r="C809" s="79">
        <v>3</v>
      </c>
      <c r="D809" s="109">
        <v>0</v>
      </c>
      <c r="E809" s="109">
        <v>1.146128035678238</v>
      </c>
      <c r="F809" s="79" t="s">
        <v>1664</v>
      </c>
      <c r="G809" s="79" t="b">
        <v>0</v>
      </c>
      <c r="H809" s="79" t="b">
        <v>0</v>
      </c>
      <c r="I809" s="79" t="b">
        <v>0</v>
      </c>
      <c r="J809" s="79" t="b">
        <v>0</v>
      </c>
      <c r="K809" s="79" t="b">
        <v>0</v>
      </c>
      <c r="L809" s="79" t="b">
        <v>0</v>
      </c>
    </row>
    <row r="810" spans="1:12" ht="15">
      <c r="A810" s="85" t="s">
        <v>1897</v>
      </c>
      <c r="B810" s="84" t="s">
        <v>1898</v>
      </c>
      <c r="C810" s="79">
        <v>3</v>
      </c>
      <c r="D810" s="109">
        <v>0</v>
      </c>
      <c r="E810" s="109">
        <v>1.146128035678238</v>
      </c>
      <c r="F810" s="79" t="s">
        <v>1664</v>
      </c>
      <c r="G810" s="79" t="b">
        <v>0</v>
      </c>
      <c r="H810" s="79" t="b">
        <v>0</v>
      </c>
      <c r="I810" s="79" t="b">
        <v>0</v>
      </c>
      <c r="J810" s="79" t="b">
        <v>0</v>
      </c>
      <c r="K810" s="79" t="b">
        <v>0</v>
      </c>
      <c r="L810" s="79" t="b">
        <v>0</v>
      </c>
    </row>
    <row r="811" spans="1:12" ht="15">
      <c r="A811" s="85" t="s">
        <v>1898</v>
      </c>
      <c r="B811" s="84" t="s">
        <v>1899</v>
      </c>
      <c r="C811" s="79">
        <v>3</v>
      </c>
      <c r="D811" s="109">
        <v>0</v>
      </c>
      <c r="E811" s="109">
        <v>1.146128035678238</v>
      </c>
      <c r="F811" s="79" t="s">
        <v>1664</v>
      </c>
      <c r="G811" s="79" t="b">
        <v>0</v>
      </c>
      <c r="H811" s="79" t="b">
        <v>0</v>
      </c>
      <c r="I811" s="79" t="b">
        <v>0</v>
      </c>
      <c r="J811" s="79" t="b">
        <v>0</v>
      </c>
      <c r="K811" s="79" t="b">
        <v>0</v>
      </c>
      <c r="L811" s="79" t="b">
        <v>0</v>
      </c>
    </row>
    <row r="812" spans="1:12" ht="15">
      <c r="A812" s="85" t="s">
        <v>1899</v>
      </c>
      <c r="B812" s="84" t="s">
        <v>1900</v>
      </c>
      <c r="C812" s="79">
        <v>3</v>
      </c>
      <c r="D812" s="109">
        <v>0</v>
      </c>
      <c r="E812" s="109">
        <v>1.146128035678238</v>
      </c>
      <c r="F812" s="79" t="s">
        <v>1664</v>
      </c>
      <c r="G812" s="79" t="b">
        <v>0</v>
      </c>
      <c r="H812" s="79" t="b">
        <v>0</v>
      </c>
      <c r="I812" s="79" t="b">
        <v>0</v>
      </c>
      <c r="J812" s="79" t="b">
        <v>0</v>
      </c>
      <c r="K812" s="79" t="b">
        <v>0</v>
      </c>
      <c r="L812" s="79" t="b">
        <v>0</v>
      </c>
    </row>
    <row r="813" spans="1:12" ht="15">
      <c r="A813" s="85" t="s">
        <v>1900</v>
      </c>
      <c r="B813" s="84" t="s">
        <v>1901</v>
      </c>
      <c r="C813" s="79">
        <v>3</v>
      </c>
      <c r="D813" s="109">
        <v>0</v>
      </c>
      <c r="E813" s="109">
        <v>1.146128035678238</v>
      </c>
      <c r="F813" s="79" t="s">
        <v>1664</v>
      </c>
      <c r="G813" s="79" t="b">
        <v>0</v>
      </c>
      <c r="H813" s="79" t="b">
        <v>0</v>
      </c>
      <c r="I813" s="79" t="b">
        <v>0</v>
      </c>
      <c r="J813" s="79" t="b">
        <v>0</v>
      </c>
      <c r="K813" s="79" t="b">
        <v>0</v>
      </c>
      <c r="L813" s="79" t="b">
        <v>0</v>
      </c>
    </row>
    <row r="814" spans="1:12" ht="15">
      <c r="A814" s="85" t="s">
        <v>1901</v>
      </c>
      <c r="B814" s="84" t="s">
        <v>1766</v>
      </c>
      <c r="C814" s="79">
        <v>3</v>
      </c>
      <c r="D814" s="109">
        <v>0</v>
      </c>
      <c r="E814" s="109">
        <v>1.146128035678238</v>
      </c>
      <c r="F814" s="79" t="s">
        <v>1664</v>
      </c>
      <c r="G814" s="79" t="b">
        <v>0</v>
      </c>
      <c r="H814" s="79" t="b">
        <v>0</v>
      </c>
      <c r="I814" s="79" t="b">
        <v>0</v>
      </c>
      <c r="J814" s="79" t="b">
        <v>0</v>
      </c>
      <c r="K814" s="79" t="b">
        <v>0</v>
      </c>
      <c r="L814" s="79" t="b">
        <v>0</v>
      </c>
    </row>
    <row r="815" spans="1:12" ht="15">
      <c r="A815" s="85" t="s">
        <v>1979</v>
      </c>
      <c r="B815" s="84" t="s">
        <v>369</v>
      </c>
      <c r="C815" s="79">
        <v>2</v>
      </c>
      <c r="D815" s="109">
        <v>0</v>
      </c>
      <c r="E815" s="109">
        <v>1.2041199826559248</v>
      </c>
      <c r="F815" s="79" t="s">
        <v>1666</v>
      </c>
      <c r="G815" s="79" t="b">
        <v>0</v>
      </c>
      <c r="H815" s="79" t="b">
        <v>0</v>
      </c>
      <c r="I815" s="79" t="b">
        <v>0</v>
      </c>
      <c r="J815" s="79" t="b">
        <v>0</v>
      </c>
      <c r="K815" s="79" t="b">
        <v>0</v>
      </c>
      <c r="L815" s="79" t="b">
        <v>0</v>
      </c>
    </row>
    <row r="816" spans="1:12" ht="15">
      <c r="A816" s="85" t="s">
        <v>369</v>
      </c>
      <c r="B816" s="84" t="s">
        <v>1980</v>
      </c>
      <c r="C816" s="79">
        <v>2</v>
      </c>
      <c r="D816" s="109">
        <v>0</v>
      </c>
      <c r="E816" s="109">
        <v>1.2041199826559248</v>
      </c>
      <c r="F816" s="79" t="s">
        <v>1666</v>
      </c>
      <c r="G816" s="79" t="b">
        <v>0</v>
      </c>
      <c r="H816" s="79" t="b">
        <v>0</v>
      </c>
      <c r="I816" s="79" t="b">
        <v>0</v>
      </c>
      <c r="J816" s="79" t="b">
        <v>0</v>
      </c>
      <c r="K816" s="79" t="b">
        <v>0</v>
      </c>
      <c r="L816" s="79" t="b">
        <v>0</v>
      </c>
    </row>
    <row r="817" spans="1:12" ht="15">
      <c r="A817" s="85" t="s">
        <v>1980</v>
      </c>
      <c r="B817" s="84" t="s">
        <v>1817</v>
      </c>
      <c r="C817" s="79">
        <v>2</v>
      </c>
      <c r="D817" s="109">
        <v>0</v>
      </c>
      <c r="E817" s="109">
        <v>1.2041199826559248</v>
      </c>
      <c r="F817" s="79" t="s">
        <v>1666</v>
      </c>
      <c r="G817" s="79" t="b">
        <v>0</v>
      </c>
      <c r="H817" s="79" t="b">
        <v>0</v>
      </c>
      <c r="I817" s="79" t="b">
        <v>0</v>
      </c>
      <c r="J817" s="79" t="b">
        <v>0</v>
      </c>
      <c r="K817" s="79" t="b">
        <v>0</v>
      </c>
      <c r="L817" s="79" t="b">
        <v>0</v>
      </c>
    </row>
    <row r="818" spans="1:12" ht="15">
      <c r="A818" s="85" t="s">
        <v>1817</v>
      </c>
      <c r="B818" s="84" t="s">
        <v>1703</v>
      </c>
      <c r="C818" s="79">
        <v>2</v>
      </c>
      <c r="D818" s="109">
        <v>0</v>
      </c>
      <c r="E818" s="109">
        <v>1.2041199826559248</v>
      </c>
      <c r="F818" s="79" t="s">
        <v>1666</v>
      </c>
      <c r="G818" s="79" t="b">
        <v>0</v>
      </c>
      <c r="H818" s="79" t="b">
        <v>0</v>
      </c>
      <c r="I818" s="79" t="b">
        <v>0</v>
      </c>
      <c r="J818" s="79" t="b">
        <v>0</v>
      </c>
      <c r="K818" s="79" t="b">
        <v>0</v>
      </c>
      <c r="L818" s="79" t="b">
        <v>0</v>
      </c>
    </row>
    <row r="819" spans="1:12" ht="15">
      <c r="A819" s="85" t="s">
        <v>1703</v>
      </c>
      <c r="B819" s="84" t="s">
        <v>1839</v>
      </c>
      <c r="C819" s="79">
        <v>2</v>
      </c>
      <c r="D819" s="109">
        <v>0</v>
      </c>
      <c r="E819" s="109">
        <v>0.9030899869919435</v>
      </c>
      <c r="F819" s="79" t="s">
        <v>1666</v>
      </c>
      <c r="G819" s="79" t="b">
        <v>0</v>
      </c>
      <c r="H819" s="79" t="b">
        <v>0</v>
      </c>
      <c r="I819" s="79" t="b">
        <v>0</v>
      </c>
      <c r="J819" s="79" t="b">
        <v>0</v>
      </c>
      <c r="K819" s="79" t="b">
        <v>0</v>
      </c>
      <c r="L819" s="79" t="b">
        <v>0</v>
      </c>
    </row>
    <row r="820" spans="1:12" ht="15">
      <c r="A820" s="85" t="s">
        <v>1839</v>
      </c>
      <c r="B820" s="84" t="s">
        <v>1730</v>
      </c>
      <c r="C820" s="79">
        <v>2</v>
      </c>
      <c r="D820" s="109">
        <v>0</v>
      </c>
      <c r="E820" s="109">
        <v>1.2041199826559248</v>
      </c>
      <c r="F820" s="79" t="s">
        <v>1666</v>
      </c>
      <c r="G820" s="79" t="b">
        <v>0</v>
      </c>
      <c r="H820" s="79" t="b">
        <v>0</v>
      </c>
      <c r="I820" s="79" t="b">
        <v>0</v>
      </c>
      <c r="J820" s="79" t="b">
        <v>0</v>
      </c>
      <c r="K820" s="79" t="b">
        <v>0</v>
      </c>
      <c r="L820" s="79" t="b">
        <v>0</v>
      </c>
    </row>
    <row r="821" spans="1:12" ht="15">
      <c r="A821" s="85" t="s">
        <v>1730</v>
      </c>
      <c r="B821" s="84" t="s">
        <v>1728</v>
      </c>
      <c r="C821" s="79">
        <v>2</v>
      </c>
      <c r="D821" s="109">
        <v>0</v>
      </c>
      <c r="E821" s="109">
        <v>0.9030899869919435</v>
      </c>
      <c r="F821" s="79" t="s">
        <v>1666</v>
      </c>
      <c r="G821" s="79" t="b">
        <v>0</v>
      </c>
      <c r="H821" s="79" t="b">
        <v>0</v>
      </c>
      <c r="I821" s="79" t="b">
        <v>0</v>
      </c>
      <c r="J821" s="79" t="b">
        <v>0</v>
      </c>
      <c r="K821" s="79" t="b">
        <v>0</v>
      </c>
      <c r="L821" s="79" t="b">
        <v>0</v>
      </c>
    </row>
    <row r="822" spans="1:12" ht="15">
      <c r="A822" s="85" t="s">
        <v>1728</v>
      </c>
      <c r="B822" s="84" t="s">
        <v>1981</v>
      </c>
      <c r="C822" s="79">
        <v>2</v>
      </c>
      <c r="D822" s="109">
        <v>0</v>
      </c>
      <c r="E822" s="109">
        <v>0.9030899869919435</v>
      </c>
      <c r="F822" s="79" t="s">
        <v>1666</v>
      </c>
      <c r="G822" s="79" t="b">
        <v>0</v>
      </c>
      <c r="H822" s="79" t="b">
        <v>0</v>
      </c>
      <c r="I822" s="79" t="b">
        <v>0</v>
      </c>
      <c r="J822" s="79" t="b">
        <v>0</v>
      </c>
      <c r="K822" s="79" t="b">
        <v>0</v>
      </c>
      <c r="L822" s="79" t="b">
        <v>0</v>
      </c>
    </row>
    <row r="823" spans="1:12" ht="15">
      <c r="A823" s="85" t="s">
        <v>1981</v>
      </c>
      <c r="B823" s="84" t="s">
        <v>1982</v>
      </c>
      <c r="C823" s="79">
        <v>2</v>
      </c>
      <c r="D823" s="109">
        <v>0</v>
      </c>
      <c r="E823" s="109">
        <v>1.2041199826559248</v>
      </c>
      <c r="F823" s="79" t="s">
        <v>1666</v>
      </c>
      <c r="G823" s="79" t="b">
        <v>0</v>
      </c>
      <c r="H823" s="79" t="b">
        <v>0</v>
      </c>
      <c r="I823" s="79" t="b">
        <v>0</v>
      </c>
      <c r="J823" s="79" t="b">
        <v>0</v>
      </c>
      <c r="K823" s="79" t="b">
        <v>0</v>
      </c>
      <c r="L823" s="79" t="b">
        <v>0</v>
      </c>
    </row>
    <row r="824" spans="1:12" ht="15">
      <c r="A824" s="85" t="s">
        <v>1982</v>
      </c>
      <c r="B824" s="84" t="s">
        <v>1983</v>
      </c>
      <c r="C824" s="79">
        <v>2</v>
      </c>
      <c r="D824" s="109">
        <v>0</v>
      </c>
      <c r="E824" s="109">
        <v>1.2041199826559248</v>
      </c>
      <c r="F824" s="79" t="s">
        <v>1666</v>
      </c>
      <c r="G824" s="79" t="b">
        <v>0</v>
      </c>
      <c r="H824" s="79" t="b">
        <v>0</v>
      </c>
      <c r="I824" s="79" t="b">
        <v>0</v>
      </c>
      <c r="J824" s="79" t="b">
        <v>0</v>
      </c>
      <c r="K824" s="79" t="b">
        <v>0</v>
      </c>
      <c r="L824" s="79" t="b">
        <v>0</v>
      </c>
    </row>
    <row r="825" spans="1:12" ht="15">
      <c r="A825" s="85" t="s">
        <v>1983</v>
      </c>
      <c r="B825" s="84" t="s">
        <v>1728</v>
      </c>
      <c r="C825" s="79">
        <v>2</v>
      </c>
      <c r="D825" s="109">
        <v>0</v>
      </c>
      <c r="E825" s="109">
        <v>0.9030899869919435</v>
      </c>
      <c r="F825" s="79" t="s">
        <v>1666</v>
      </c>
      <c r="G825" s="79" t="b">
        <v>0</v>
      </c>
      <c r="H825" s="79" t="b">
        <v>0</v>
      </c>
      <c r="I825" s="79" t="b">
        <v>0</v>
      </c>
      <c r="J825" s="79" t="b">
        <v>0</v>
      </c>
      <c r="K825" s="79" t="b">
        <v>0</v>
      </c>
      <c r="L825" s="79" t="b">
        <v>0</v>
      </c>
    </row>
    <row r="826" spans="1:12" ht="15">
      <c r="A826" s="85" t="s">
        <v>1728</v>
      </c>
      <c r="B826" s="84" t="s">
        <v>1984</v>
      </c>
      <c r="C826" s="79">
        <v>2</v>
      </c>
      <c r="D826" s="109">
        <v>0</v>
      </c>
      <c r="E826" s="109">
        <v>0.9030899869919435</v>
      </c>
      <c r="F826" s="79" t="s">
        <v>1666</v>
      </c>
      <c r="G826" s="79" t="b">
        <v>0</v>
      </c>
      <c r="H826" s="79" t="b">
        <v>0</v>
      </c>
      <c r="I826" s="79" t="b">
        <v>0</v>
      </c>
      <c r="J826" s="79" t="b">
        <v>0</v>
      </c>
      <c r="K826" s="79" t="b">
        <v>0</v>
      </c>
      <c r="L826" s="79" t="b">
        <v>0</v>
      </c>
    </row>
    <row r="827" spans="1:12" ht="15">
      <c r="A827" s="85" t="s">
        <v>1984</v>
      </c>
      <c r="B827" s="84" t="s">
        <v>1985</v>
      </c>
      <c r="C827" s="79">
        <v>2</v>
      </c>
      <c r="D827" s="109">
        <v>0</v>
      </c>
      <c r="E827" s="109">
        <v>1.2041199826559248</v>
      </c>
      <c r="F827" s="79" t="s">
        <v>1666</v>
      </c>
      <c r="G827" s="79" t="b">
        <v>0</v>
      </c>
      <c r="H827" s="79" t="b">
        <v>0</v>
      </c>
      <c r="I827" s="79" t="b">
        <v>0</v>
      </c>
      <c r="J827" s="79" t="b">
        <v>0</v>
      </c>
      <c r="K827" s="79" t="b">
        <v>0</v>
      </c>
      <c r="L827" s="79" t="b">
        <v>0</v>
      </c>
    </row>
    <row r="828" spans="1:12" ht="15">
      <c r="A828" s="85" t="s">
        <v>1985</v>
      </c>
      <c r="B828" s="84" t="s">
        <v>1986</v>
      </c>
      <c r="C828" s="79">
        <v>2</v>
      </c>
      <c r="D828" s="109">
        <v>0</v>
      </c>
      <c r="E828" s="109">
        <v>1.2041199826559248</v>
      </c>
      <c r="F828" s="79" t="s">
        <v>1666</v>
      </c>
      <c r="G828" s="79" t="b">
        <v>0</v>
      </c>
      <c r="H828" s="79" t="b">
        <v>0</v>
      </c>
      <c r="I828" s="79" t="b">
        <v>0</v>
      </c>
      <c r="J828" s="79" t="b">
        <v>0</v>
      </c>
      <c r="K828" s="79" t="b">
        <v>0</v>
      </c>
      <c r="L828" s="79" t="b">
        <v>0</v>
      </c>
    </row>
    <row r="829" spans="1:12" ht="15">
      <c r="A829" s="85" t="s">
        <v>1986</v>
      </c>
      <c r="B829" s="84" t="s">
        <v>1038</v>
      </c>
      <c r="C829" s="79">
        <v>2</v>
      </c>
      <c r="D829" s="109">
        <v>0</v>
      </c>
      <c r="E829" s="109">
        <v>1.2041199826559248</v>
      </c>
      <c r="F829" s="79" t="s">
        <v>1666</v>
      </c>
      <c r="G829" s="79" t="b">
        <v>0</v>
      </c>
      <c r="H829" s="79" t="b">
        <v>0</v>
      </c>
      <c r="I829" s="79" t="b">
        <v>0</v>
      </c>
      <c r="J829" s="79" t="b">
        <v>0</v>
      </c>
      <c r="K829" s="79" t="b">
        <v>0</v>
      </c>
      <c r="L829" s="79" t="b">
        <v>0</v>
      </c>
    </row>
    <row r="830" spans="1:12" ht="15">
      <c r="A830" s="85" t="s">
        <v>1038</v>
      </c>
      <c r="B830" s="84" t="s">
        <v>1839</v>
      </c>
      <c r="C830" s="79">
        <v>2</v>
      </c>
      <c r="D830" s="109">
        <v>0</v>
      </c>
      <c r="E830" s="109">
        <v>0.9030899869919435</v>
      </c>
      <c r="F830" s="79" t="s">
        <v>1666</v>
      </c>
      <c r="G830" s="79" t="b">
        <v>0</v>
      </c>
      <c r="H830" s="79" t="b">
        <v>0</v>
      </c>
      <c r="I830" s="79" t="b">
        <v>0</v>
      </c>
      <c r="J830" s="79" t="b">
        <v>0</v>
      </c>
      <c r="K830" s="79" t="b">
        <v>0</v>
      </c>
      <c r="L830" s="79" t="b">
        <v>0</v>
      </c>
    </row>
    <row r="831" spans="1:12" ht="15">
      <c r="A831" s="85" t="s">
        <v>1770</v>
      </c>
      <c r="B831" s="84" t="s">
        <v>2066</v>
      </c>
      <c r="C831" s="79">
        <v>2</v>
      </c>
      <c r="D831" s="109">
        <v>0</v>
      </c>
      <c r="E831" s="109">
        <v>0.8239087409443188</v>
      </c>
      <c r="F831" s="79" t="s">
        <v>1667</v>
      </c>
      <c r="G831" s="79" t="b">
        <v>0</v>
      </c>
      <c r="H831" s="79" t="b">
        <v>0</v>
      </c>
      <c r="I831" s="79" t="b">
        <v>0</v>
      </c>
      <c r="J831" s="79" t="b">
        <v>0</v>
      </c>
      <c r="K831" s="79" t="b">
        <v>0</v>
      </c>
      <c r="L831" s="79" t="b">
        <v>0</v>
      </c>
    </row>
    <row r="832" spans="1:12" ht="15">
      <c r="A832" s="85" t="s">
        <v>2066</v>
      </c>
      <c r="B832" s="84" t="s">
        <v>1907</v>
      </c>
      <c r="C832" s="79">
        <v>2</v>
      </c>
      <c r="D832" s="109">
        <v>0</v>
      </c>
      <c r="E832" s="109">
        <v>1.301029995663981</v>
      </c>
      <c r="F832" s="79" t="s">
        <v>1667</v>
      </c>
      <c r="G832" s="79" t="b">
        <v>0</v>
      </c>
      <c r="H832" s="79" t="b">
        <v>0</v>
      </c>
      <c r="I832" s="79" t="b">
        <v>0</v>
      </c>
      <c r="J832" s="79" t="b">
        <v>0</v>
      </c>
      <c r="K832" s="79" t="b">
        <v>0</v>
      </c>
      <c r="L832" s="79" t="b">
        <v>0</v>
      </c>
    </row>
    <row r="833" spans="1:12" ht="15">
      <c r="A833" s="85" t="s">
        <v>1907</v>
      </c>
      <c r="B833" s="84" t="s">
        <v>2067</v>
      </c>
      <c r="C833" s="79">
        <v>2</v>
      </c>
      <c r="D833" s="109">
        <v>0</v>
      </c>
      <c r="E833" s="109">
        <v>1.301029995663981</v>
      </c>
      <c r="F833" s="79" t="s">
        <v>1667</v>
      </c>
      <c r="G833" s="79" t="b">
        <v>0</v>
      </c>
      <c r="H833" s="79" t="b">
        <v>0</v>
      </c>
      <c r="I833" s="79" t="b">
        <v>0</v>
      </c>
      <c r="J833" s="79" t="b">
        <v>0</v>
      </c>
      <c r="K833" s="79" t="b">
        <v>0</v>
      </c>
      <c r="L833" s="79" t="b">
        <v>0</v>
      </c>
    </row>
    <row r="834" spans="1:12" ht="15">
      <c r="A834" s="85" t="s">
        <v>2067</v>
      </c>
      <c r="B834" s="84" t="s">
        <v>2068</v>
      </c>
      <c r="C834" s="79">
        <v>2</v>
      </c>
      <c r="D834" s="109">
        <v>0</v>
      </c>
      <c r="E834" s="109">
        <v>1.301029995663981</v>
      </c>
      <c r="F834" s="79" t="s">
        <v>1667</v>
      </c>
      <c r="G834" s="79" t="b">
        <v>0</v>
      </c>
      <c r="H834" s="79" t="b">
        <v>0</v>
      </c>
      <c r="I834" s="79" t="b">
        <v>0</v>
      </c>
      <c r="J834" s="79" t="b">
        <v>0</v>
      </c>
      <c r="K834" s="79" t="b">
        <v>0</v>
      </c>
      <c r="L834" s="79" t="b">
        <v>0</v>
      </c>
    </row>
    <row r="835" spans="1:12" ht="15">
      <c r="A835" s="85" t="s">
        <v>2068</v>
      </c>
      <c r="B835" s="84" t="s">
        <v>2069</v>
      </c>
      <c r="C835" s="79">
        <v>2</v>
      </c>
      <c r="D835" s="109">
        <v>0</v>
      </c>
      <c r="E835" s="109">
        <v>1.301029995663981</v>
      </c>
      <c r="F835" s="79" t="s">
        <v>1667</v>
      </c>
      <c r="G835" s="79" t="b">
        <v>0</v>
      </c>
      <c r="H835" s="79" t="b">
        <v>0</v>
      </c>
      <c r="I835" s="79" t="b">
        <v>0</v>
      </c>
      <c r="J835" s="79" t="b">
        <v>0</v>
      </c>
      <c r="K835" s="79" t="b">
        <v>0</v>
      </c>
      <c r="L835" s="79" t="b">
        <v>0</v>
      </c>
    </row>
    <row r="836" spans="1:12" ht="15">
      <c r="A836" s="85" t="s">
        <v>2069</v>
      </c>
      <c r="B836" s="84" t="s">
        <v>1770</v>
      </c>
      <c r="C836" s="79">
        <v>2</v>
      </c>
      <c r="D836" s="109">
        <v>0</v>
      </c>
      <c r="E836" s="109">
        <v>0.9999999999999999</v>
      </c>
      <c r="F836" s="79" t="s">
        <v>1667</v>
      </c>
      <c r="G836" s="79" t="b">
        <v>0</v>
      </c>
      <c r="H836" s="79" t="b">
        <v>0</v>
      </c>
      <c r="I836" s="79" t="b">
        <v>0</v>
      </c>
      <c r="J836" s="79" t="b">
        <v>0</v>
      </c>
      <c r="K836" s="79" t="b">
        <v>0</v>
      </c>
      <c r="L836" s="79" t="b">
        <v>0</v>
      </c>
    </row>
    <row r="837" spans="1:12" ht="15">
      <c r="A837" s="85" t="s">
        <v>1770</v>
      </c>
      <c r="B837" s="84" t="s">
        <v>2070</v>
      </c>
      <c r="C837" s="79">
        <v>2</v>
      </c>
      <c r="D837" s="109">
        <v>0</v>
      </c>
      <c r="E837" s="109">
        <v>0.8239087409443188</v>
      </c>
      <c r="F837" s="79" t="s">
        <v>1667</v>
      </c>
      <c r="G837" s="79" t="b">
        <v>0</v>
      </c>
      <c r="H837" s="79" t="b">
        <v>0</v>
      </c>
      <c r="I837" s="79" t="b">
        <v>0</v>
      </c>
      <c r="J837" s="79" t="b">
        <v>0</v>
      </c>
      <c r="K837" s="79" t="b">
        <v>0</v>
      </c>
      <c r="L837" s="79" t="b">
        <v>0</v>
      </c>
    </row>
    <row r="838" spans="1:12" ht="15">
      <c r="A838" s="85" t="s">
        <v>2070</v>
      </c>
      <c r="B838" s="84" t="s">
        <v>2071</v>
      </c>
      <c r="C838" s="79">
        <v>2</v>
      </c>
      <c r="D838" s="109">
        <v>0</v>
      </c>
      <c r="E838" s="109">
        <v>1.301029995663981</v>
      </c>
      <c r="F838" s="79" t="s">
        <v>1667</v>
      </c>
      <c r="G838" s="79" t="b">
        <v>0</v>
      </c>
      <c r="H838" s="79" t="b">
        <v>0</v>
      </c>
      <c r="I838" s="79" t="b">
        <v>0</v>
      </c>
      <c r="J838" s="79" t="b">
        <v>0</v>
      </c>
      <c r="K838" s="79" t="b">
        <v>0</v>
      </c>
      <c r="L838" s="79" t="b">
        <v>0</v>
      </c>
    </row>
    <row r="839" spans="1:12" ht="15">
      <c r="A839" s="85" t="s">
        <v>2071</v>
      </c>
      <c r="B839" s="84" t="s">
        <v>2072</v>
      </c>
      <c r="C839" s="79">
        <v>2</v>
      </c>
      <c r="D839" s="109">
        <v>0</v>
      </c>
      <c r="E839" s="109">
        <v>1.301029995663981</v>
      </c>
      <c r="F839" s="79" t="s">
        <v>1667</v>
      </c>
      <c r="G839" s="79" t="b">
        <v>0</v>
      </c>
      <c r="H839" s="79" t="b">
        <v>0</v>
      </c>
      <c r="I839" s="79" t="b">
        <v>0</v>
      </c>
      <c r="J839" s="79" t="b">
        <v>0</v>
      </c>
      <c r="K839" s="79" t="b">
        <v>0</v>
      </c>
      <c r="L839" s="79" t="b">
        <v>0</v>
      </c>
    </row>
    <row r="840" spans="1:12" ht="15">
      <c r="A840" s="85" t="s">
        <v>2072</v>
      </c>
      <c r="B840" s="84" t="s">
        <v>1734</v>
      </c>
      <c r="C840" s="79">
        <v>2</v>
      </c>
      <c r="D840" s="109">
        <v>0</v>
      </c>
      <c r="E840" s="109">
        <v>1.301029995663981</v>
      </c>
      <c r="F840" s="79" t="s">
        <v>1667</v>
      </c>
      <c r="G840" s="79" t="b">
        <v>0</v>
      </c>
      <c r="H840" s="79" t="b">
        <v>0</v>
      </c>
      <c r="I840" s="79" t="b">
        <v>0</v>
      </c>
      <c r="J840" s="79" t="b">
        <v>0</v>
      </c>
      <c r="K840" s="79" t="b">
        <v>0</v>
      </c>
      <c r="L840" s="79" t="b">
        <v>0</v>
      </c>
    </row>
    <row r="841" spans="1:12" ht="15">
      <c r="A841" s="85" t="s">
        <v>1734</v>
      </c>
      <c r="B841" s="84" t="s">
        <v>2073</v>
      </c>
      <c r="C841" s="79">
        <v>2</v>
      </c>
      <c r="D841" s="109">
        <v>0</v>
      </c>
      <c r="E841" s="109">
        <v>1.301029995663981</v>
      </c>
      <c r="F841" s="79" t="s">
        <v>1667</v>
      </c>
      <c r="G841" s="79" t="b">
        <v>0</v>
      </c>
      <c r="H841" s="79" t="b">
        <v>0</v>
      </c>
      <c r="I841" s="79" t="b">
        <v>0</v>
      </c>
      <c r="J841" s="79" t="b">
        <v>0</v>
      </c>
      <c r="K841" s="79" t="b">
        <v>0</v>
      </c>
      <c r="L841" s="79" t="b">
        <v>0</v>
      </c>
    </row>
    <row r="842" spans="1:12" ht="15">
      <c r="A842" s="85" t="s">
        <v>2073</v>
      </c>
      <c r="B842" s="84" t="s">
        <v>2074</v>
      </c>
      <c r="C842" s="79">
        <v>2</v>
      </c>
      <c r="D842" s="109">
        <v>0</v>
      </c>
      <c r="E842" s="109">
        <v>1.301029995663981</v>
      </c>
      <c r="F842" s="79" t="s">
        <v>1667</v>
      </c>
      <c r="G842" s="79" t="b">
        <v>0</v>
      </c>
      <c r="H842" s="79" t="b">
        <v>0</v>
      </c>
      <c r="I842" s="79" t="b">
        <v>0</v>
      </c>
      <c r="J842" s="79" t="b">
        <v>0</v>
      </c>
      <c r="K842" s="79" t="b">
        <v>0</v>
      </c>
      <c r="L842" s="79" t="b">
        <v>0</v>
      </c>
    </row>
    <row r="843" spans="1:12" ht="15">
      <c r="A843" s="85" t="s">
        <v>2074</v>
      </c>
      <c r="B843" s="84" t="s">
        <v>2075</v>
      </c>
      <c r="C843" s="79">
        <v>2</v>
      </c>
      <c r="D843" s="109">
        <v>0</v>
      </c>
      <c r="E843" s="109">
        <v>1.301029995663981</v>
      </c>
      <c r="F843" s="79" t="s">
        <v>1667</v>
      </c>
      <c r="G843" s="79" t="b">
        <v>0</v>
      </c>
      <c r="H843" s="79" t="b">
        <v>0</v>
      </c>
      <c r="I843" s="79" t="b">
        <v>0</v>
      </c>
      <c r="J843" s="79" t="b">
        <v>0</v>
      </c>
      <c r="K843" s="79" t="b">
        <v>0</v>
      </c>
      <c r="L843" s="79" t="b">
        <v>0</v>
      </c>
    </row>
    <row r="844" spans="1:12" ht="15">
      <c r="A844" s="85" t="s">
        <v>2075</v>
      </c>
      <c r="B844" s="84" t="s">
        <v>2076</v>
      </c>
      <c r="C844" s="79">
        <v>2</v>
      </c>
      <c r="D844" s="109">
        <v>0</v>
      </c>
      <c r="E844" s="109">
        <v>1.301029995663981</v>
      </c>
      <c r="F844" s="79" t="s">
        <v>1667</v>
      </c>
      <c r="G844" s="79" t="b">
        <v>0</v>
      </c>
      <c r="H844" s="79" t="b">
        <v>0</v>
      </c>
      <c r="I844" s="79" t="b">
        <v>0</v>
      </c>
      <c r="J844" s="79" t="b">
        <v>0</v>
      </c>
      <c r="K844" s="79" t="b">
        <v>0</v>
      </c>
      <c r="L844" s="79" t="b">
        <v>0</v>
      </c>
    </row>
    <row r="845" spans="1:12" ht="15">
      <c r="A845" s="85" t="s">
        <v>2076</v>
      </c>
      <c r="B845" s="84" t="s">
        <v>2077</v>
      </c>
      <c r="C845" s="79">
        <v>2</v>
      </c>
      <c r="D845" s="109">
        <v>0</v>
      </c>
      <c r="E845" s="109">
        <v>1.301029995663981</v>
      </c>
      <c r="F845" s="79" t="s">
        <v>1667</v>
      </c>
      <c r="G845" s="79" t="b">
        <v>0</v>
      </c>
      <c r="H845" s="79" t="b">
        <v>0</v>
      </c>
      <c r="I845" s="79" t="b">
        <v>0</v>
      </c>
      <c r="J845" s="79" t="b">
        <v>0</v>
      </c>
      <c r="K845" s="79" t="b">
        <v>0</v>
      </c>
      <c r="L845" s="79" t="b">
        <v>0</v>
      </c>
    </row>
    <row r="846" spans="1:12" ht="15">
      <c r="A846" s="85" t="s">
        <v>2077</v>
      </c>
      <c r="B846" s="84" t="s">
        <v>2078</v>
      </c>
      <c r="C846" s="79">
        <v>2</v>
      </c>
      <c r="D846" s="109">
        <v>0</v>
      </c>
      <c r="E846" s="109">
        <v>1.301029995663981</v>
      </c>
      <c r="F846" s="79" t="s">
        <v>1667</v>
      </c>
      <c r="G846" s="79" t="b">
        <v>0</v>
      </c>
      <c r="H846" s="79" t="b">
        <v>0</v>
      </c>
      <c r="I846" s="79" t="b">
        <v>0</v>
      </c>
      <c r="J846" s="79" t="b">
        <v>0</v>
      </c>
      <c r="K846" s="79" t="b">
        <v>0</v>
      </c>
      <c r="L846" s="79" t="b">
        <v>0</v>
      </c>
    </row>
    <row r="847" spans="1:12" ht="15">
      <c r="A847" s="85" t="s">
        <v>2078</v>
      </c>
      <c r="B847" s="84" t="s">
        <v>2079</v>
      </c>
      <c r="C847" s="79">
        <v>2</v>
      </c>
      <c r="D847" s="109">
        <v>0</v>
      </c>
      <c r="E847" s="109">
        <v>1.301029995663981</v>
      </c>
      <c r="F847" s="79" t="s">
        <v>1667</v>
      </c>
      <c r="G847" s="79" t="b">
        <v>0</v>
      </c>
      <c r="H847" s="79" t="b">
        <v>0</v>
      </c>
      <c r="I847" s="79" t="b">
        <v>0</v>
      </c>
      <c r="J847" s="79" t="b">
        <v>1</v>
      </c>
      <c r="K847" s="79" t="b">
        <v>0</v>
      </c>
      <c r="L847" s="79" t="b">
        <v>0</v>
      </c>
    </row>
    <row r="848" spans="1:12" ht="15">
      <c r="A848" s="85" t="s">
        <v>2079</v>
      </c>
      <c r="B848" s="84" t="s">
        <v>1770</v>
      </c>
      <c r="C848" s="79">
        <v>2</v>
      </c>
      <c r="D848" s="109">
        <v>0</v>
      </c>
      <c r="E848" s="109">
        <v>0.9999999999999999</v>
      </c>
      <c r="F848" s="79" t="s">
        <v>1667</v>
      </c>
      <c r="G848" s="79" t="b">
        <v>1</v>
      </c>
      <c r="H848" s="79" t="b">
        <v>0</v>
      </c>
      <c r="I848" s="79" t="b">
        <v>0</v>
      </c>
      <c r="J848" s="79" t="b">
        <v>0</v>
      </c>
      <c r="K848" s="79" t="b">
        <v>0</v>
      </c>
      <c r="L848" s="79" t="b">
        <v>0</v>
      </c>
    </row>
    <row r="849" spans="1:12" ht="15">
      <c r="A849" s="85" t="s">
        <v>1770</v>
      </c>
      <c r="B849" s="84" t="s">
        <v>359</v>
      </c>
      <c r="C849" s="79">
        <v>2</v>
      </c>
      <c r="D849" s="109">
        <v>0</v>
      </c>
      <c r="E849" s="109">
        <v>0.8239087409443188</v>
      </c>
      <c r="F849" s="79" t="s">
        <v>1667</v>
      </c>
      <c r="G849" s="79" t="b">
        <v>0</v>
      </c>
      <c r="H849" s="79" t="b">
        <v>0</v>
      </c>
      <c r="I849" s="79" t="b">
        <v>0</v>
      </c>
      <c r="J849" s="79" t="b">
        <v>0</v>
      </c>
      <c r="K849" s="79" t="b">
        <v>0</v>
      </c>
      <c r="L849" s="79" t="b">
        <v>0</v>
      </c>
    </row>
    <row r="850" spans="1:12" ht="15">
      <c r="A850" s="85" t="s">
        <v>359</v>
      </c>
      <c r="B850" s="84" t="s">
        <v>1703</v>
      </c>
      <c r="C850" s="79">
        <v>2</v>
      </c>
      <c r="D850" s="109">
        <v>0</v>
      </c>
      <c r="E850" s="109">
        <v>1.301029995663981</v>
      </c>
      <c r="F850" s="79" t="s">
        <v>1667</v>
      </c>
      <c r="G850" s="79" t="b">
        <v>0</v>
      </c>
      <c r="H850" s="79" t="b">
        <v>0</v>
      </c>
      <c r="I850" s="79" t="b">
        <v>0</v>
      </c>
      <c r="J850" s="79" t="b">
        <v>0</v>
      </c>
      <c r="K850" s="79" t="b">
        <v>0</v>
      </c>
      <c r="L850" s="79" t="b">
        <v>0</v>
      </c>
    </row>
    <row r="851" spans="1:12" ht="15">
      <c r="A851" s="85" t="s">
        <v>1941</v>
      </c>
      <c r="B851" s="84" t="s">
        <v>1704</v>
      </c>
      <c r="C851" s="79">
        <v>2</v>
      </c>
      <c r="D851" s="109">
        <v>0</v>
      </c>
      <c r="E851" s="109">
        <v>1.2304489213782739</v>
      </c>
      <c r="F851" s="79" t="s">
        <v>1668</v>
      </c>
      <c r="G851" s="79" t="b">
        <v>0</v>
      </c>
      <c r="H851" s="79" t="b">
        <v>0</v>
      </c>
      <c r="I851" s="79" t="b">
        <v>0</v>
      </c>
      <c r="J851" s="79" t="b">
        <v>0</v>
      </c>
      <c r="K851" s="79" t="b">
        <v>0</v>
      </c>
      <c r="L851" s="79" t="b">
        <v>0</v>
      </c>
    </row>
    <row r="852" spans="1:12" ht="15">
      <c r="A852" s="85" t="s">
        <v>1704</v>
      </c>
      <c r="B852" s="84" t="s">
        <v>1942</v>
      </c>
      <c r="C852" s="79">
        <v>2</v>
      </c>
      <c r="D852" s="109">
        <v>0</v>
      </c>
      <c r="E852" s="109">
        <v>1.2304489213782739</v>
      </c>
      <c r="F852" s="79" t="s">
        <v>1668</v>
      </c>
      <c r="G852" s="79" t="b">
        <v>0</v>
      </c>
      <c r="H852" s="79" t="b">
        <v>0</v>
      </c>
      <c r="I852" s="79" t="b">
        <v>0</v>
      </c>
      <c r="J852" s="79" t="b">
        <v>0</v>
      </c>
      <c r="K852" s="79" t="b">
        <v>0</v>
      </c>
      <c r="L852" s="79" t="b">
        <v>0</v>
      </c>
    </row>
    <row r="853" spans="1:12" ht="15">
      <c r="A853" s="85" t="s">
        <v>1942</v>
      </c>
      <c r="B853" s="84" t="s">
        <v>1943</v>
      </c>
      <c r="C853" s="79">
        <v>2</v>
      </c>
      <c r="D853" s="109">
        <v>0</v>
      </c>
      <c r="E853" s="109">
        <v>1.2304489213782739</v>
      </c>
      <c r="F853" s="79" t="s">
        <v>1668</v>
      </c>
      <c r="G853" s="79" t="b">
        <v>0</v>
      </c>
      <c r="H853" s="79" t="b">
        <v>0</v>
      </c>
      <c r="I853" s="79" t="b">
        <v>0</v>
      </c>
      <c r="J853" s="79" t="b">
        <v>0</v>
      </c>
      <c r="K853" s="79" t="b">
        <v>0</v>
      </c>
      <c r="L853" s="79" t="b">
        <v>0</v>
      </c>
    </row>
    <row r="854" spans="1:12" ht="15">
      <c r="A854" s="85" t="s">
        <v>1943</v>
      </c>
      <c r="B854" s="84" t="s">
        <v>1944</v>
      </c>
      <c r="C854" s="79">
        <v>2</v>
      </c>
      <c r="D854" s="109">
        <v>0</v>
      </c>
      <c r="E854" s="109">
        <v>1.2304489213782739</v>
      </c>
      <c r="F854" s="79" t="s">
        <v>1668</v>
      </c>
      <c r="G854" s="79" t="b">
        <v>0</v>
      </c>
      <c r="H854" s="79" t="b">
        <v>0</v>
      </c>
      <c r="I854" s="79" t="b">
        <v>0</v>
      </c>
      <c r="J854" s="79" t="b">
        <v>0</v>
      </c>
      <c r="K854" s="79" t="b">
        <v>0</v>
      </c>
      <c r="L854" s="79" t="b">
        <v>0</v>
      </c>
    </row>
    <row r="855" spans="1:12" ht="15">
      <c r="A855" s="85" t="s">
        <v>1944</v>
      </c>
      <c r="B855" s="84" t="s">
        <v>1945</v>
      </c>
      <c r="C855" s="79">
        <v>2</v>
      </c>
      <c r="D855" s="109">
        <v>0</v>
      </c>
      <c r="E855" s="109">
        <v>1.2304489213782739</v>
      </c>
      <c r="F855" s="79" t="s">
        <v>1668</v>
      </c>
      <c r="G855" s="79" t="b">
        <v>0</v>
      </c>
      <c r="H855" s="79" t="b">
        <v>0</v>
      </c>
      <c r="I855" s="79" t="b">
        <v>0</v>
      </c>
      <c r="J855" s="79" t="b">
        <v>0</v>
      </c>
      <c r="K855" s="79" t="b">
        <v>0</v>
      </c>
      <c r="L855" s="79" t="b">
        <v>0</v>
      </c>
    </row>
    <row r="856" spans="1:12" ht="15">
      <c r="A856" s="85" t="s">
        <v>1945</v>
      </c>
      <c r="B856" s="84" t="s">
        <v>1946</v>
      </c>
      <c r="C856" s="79">
        <v>2</v>
      </c>
      <c r="D856" s="109">
        <v>0</v>
      </c>
      <c r="E856" s="109">
        <v>1.2304489213782739</v>
      </c>
      <c r="F856" s="79" t="s">
        <v>1668</v>
      </c>
      <c r="G856" s="79" t="b">
        <v>0</v>
      </c>
      <c r="H856" s="79" t="b">
        <v>0</v>
      </c>
      <c r="I856" s="79" t="b">
        <v>0</v>
      </c>
      <c r="J856" s="79" t="b">
        <v>0</v>
      </c>
      <c r="K856" s="79" t="b">
        <v>0</v>
      </c>
      <c r="L856" s="79" t="b">
        <v>0</v>
      </c>
    </row>
    <row r="857" spans="1:12" ht="15">
      <c r="A857" s="85" t="s">
        <v>1946</v>
      </c>
      <c r="B857" s="84" t="s">
        <v>1947</v>
      </c>
      <c r="C857" s="79">
        <v>2</v>
      </c>
      <c r="D857" s="109">
        <v>0</v>
      </c>
      <c r="E857" s="109">
        <v>1.2304489213782739</v>
      </c>
      <c r="F857" s="79" t="s">
        <v>1668</v>
      </c>
      <c r="G857" s="79" t="b">
        <v>0</v>
      </c>
      <c r="H857" s="79" t="b">
        <v>0</v>
      </c>
      <c r="I857" s="79" t="b">
        <v>0</v>
      </c>
      <c r="J857" s="79" t="b">
        <v>0</v>
      </c>
      <c r="K857" s="79" t="b">
        <v>0</v>
      </c>
      <c r="L857" s="79" t="b">
        <v>0</v>
      </c>
    </row>
    <row r="858" spans="1:12" ht="15">
      <c r="A858" s="85" t="s">
        <v>1947</v>
      </c>
      <c r="B858" s="84" t="s">
        <v>1948</v>
      </c>
      <c r="C858" s="79">
        <v>2</v>
      </c>
      <c r="D858" s="109">
        <v>0</v>
      </c>
      <c r="E858" s="109">
        <v>1.2304489213782739</v>
      </c>
      <c r="F858" s="79" t="s">
        <v>1668</v>
      </c>
      <c r="G858" s="79" t="b">
        <v>0</v>
      </c>
      <c r="H858" s="79" t="b">
        <v>0</v>
      </c>
      <c r="I858" s="79" t="b">
        <v>0</v>
      </c>
      <c r="J858" s="79" t="b">
        <v>0</v>
      </c>
      <c r="K858" s="79" t="b">
        <v>0</v>
      </c>
      <c r="L858" s="79" t="b">
        <v>0</v>
      </c>
    </row>
    <row r="859" spans="1:12" ht="15">
      <c r="A859" s="85" t="s">
        <v>1948</v>
      </c>
      <c r="B859" s="84" t="s">
        <v>1949</v>
      </c>
      <c r="C859" s="79">
        <v>2</v>
      </c>
      <c r="D859" s="109">
        <v>0</v>
      </c>
      <c r="E859" s="109">
        <v>1.2304489213782739</v>
      </c>
      <c r="F859" s="79" t="s">
        <v>1668</v>
      </c>
      <c r="G859" s="79" t="b">
        <v>0</v>
      </c>
      <c r="H859" s="79" t="b">
        <v>0</v>
      </c>
      <c r="I859" s="79" t="b">
        <v>0</v>
      </c>
      <c r="J859" s="79" t="b">
        <v>0</v>
      </c>
      <c r="K859" s="79" t="b">
        <v>0</v>
      </c>
      <c r="L859" s="79" t="b">
        <v>0</v>
      </c>
    </row>
    <row r="860" spans="1:12" ht="15">
      <c r="A860" s="85" t="s">
        <v>1949</v>
      </c>
      <c r="B860" s="84" t="s">
        <v>1950</v>
      </c>
      <c r="C860" s="79">
        <v>2</v>
      </c>
      <c r="D860" s="109">
        <v>0</v>
      </c>
      <c r="E860" s="109">
        <v>1.2304489213782739</v>
      </c>
      <c r="F860" s="79" t="s">
        <v>1668</v>
      </c>
      <c r="G860" s="79" t="b">
        <v>0</v>
      </c>
      <c r="H860" s="79" t="b">
        <v>0</v>
      </c>
      <c r="I860" s="79" t="b">
        <v>0</v>
      </c>
      <c r="J860" s="79" t="b">
        <v>0</v>
      </c>
      <c r="K860" s="79" t="b">
        <v>0</v>
      </c>
      <c r="L860" s="79" t="b">
        <v>0</v>
      </c>
    </row>
    <row r="861" spans="1:12" ht="15">
      <c r="A861" s="85" t="s">
        <v>1950</v>
      </c>
      <c r="B861" s="84" t="s">
        <v>1951</v>
      </c>
      <c r="C861" s="79">
        <v>2</v>
      </c>
      <c r="D861" s="109">
        <v>0</v>
      </c>
      <c r="E861" s="109">
        <v>1.2304489213782739</v>
      </c>
      <c r="F861" s="79" t="s">
        <v>1668</v>
      </c>
      <c r="G861" s="79" t="b">
        <v>0</v>
      </c>
      <c r="H861" s="79" t="b">
        <v>0</v>
      </c>
      <c r="I861" s="79" t="b">
        <v>0</v>
      </c>
      <c r="J861" s="79" t="b">
        <v>0</v>
      </c>
      <c r="K861" s="79" t="b">
        <v>0</v>
      </c>
      <c r="L861" s="79" t="b">
        <v>0</v>
      </c>
    </row>
    <row r="862" spans="1:12" ht="15">
      <c r="A862" s="85" t="s">
        <v>1951</v>
      </c>
      <c r="B862" s="84" t="s">
        <v>1952</v>
      </c>
      <c r="C862" s="79">
        <v>2</v>
      </c>
      <c r="D862" s="109">
        <v>0</v>
      </c>
      <c r="E862" s="109">
        <v>1.2304489213782739</v>
      </c>
      <c r="F862" s="79" t="s">
        <v>1668</v>
      </c>
      <c r="G862" s="79" t="b">
        <v>0</v>
      </c>
      <c r="H862" s="79" t="b">
        <v>0</v>
      </c>
      <c r="I862" s="79" t="b">
        <v>0</v>
      </c>
      <c r="J862" s="79" t="b">
        <v>0</v>
      </c>
      <c r="K862" s="79" t="b">
        <v>0</v>
      </c>
      <c r="L862" s="79" t="b">
        <v>0</v>
      </c>
    </row>
    <row r="863" spans="1:12" ht="15">
      <c r="A863" s="85" t="s">
        <v>1952</v>
      </c>
      <c r="B863" s="84" t="s">
        <v>1758</v>
      </c>
      <c r="C863" s="79">
        <v>2</v>
      </c>
      <c r="D863" s="109">
        <v>0</v>
      </c>
      <c r="E863" s="109">
        <v>1.2304489213782739</v>
      </c>
      <c r="F863" s="79" t="s">
        <v>1668</v>
      </c>
      <c r="G863" s="79" t="b">
        <v>0</v>
      </c>
      <c r="H863" s="79" t="b">
        <v>0</v>
      </c>
      <c r="I863" s="79" t="b">
        <v>0</v>
      </c>
      <c r="J863" s="79" t="b">
        <v>0</v>
      </c>
      <c r="K863" s="79" t="b">
        <v>0</v>
      </c>
      <c r="L863" s="79" t="b">
        <v>0</v>
      </c>
    </row>
    <row r="864" spans="1:12" ht="15">
      <c r="A864" s="85" t="s">
        <v>1758</v>
      </c>
      <c r="B864" s="84" t="s">
        <v>1953</v>
      </c>
      <c r="C864" s="79">
        <v>2</v>
      </c>
      <c r="D864" s="109">
        <v>0</v>
      </c>
      <c r="E864" s="109">
        <v>1.2304489213782739</v>
      </c>
      <c r="F864" s="79" t="s">
        <v>1668</v>
      </c>
      <c r="G864" s="79" t="b">
        <v>0</v>
      </c>
      <c r="H864" s="79" t="b">
        <v>0</v>
      </c>
      <c r="I864" s="79" t="b">
        <v>0</v>
      </c>
      <c r="J864" s="79" t="b">
        <v>0</v>
      </c>
      <c r="K864" s="79" t="b">
        <v>0</v>
      </c>
      <c r="L864" s="79" t="b">
        <v>0</v>
      </c>
    </row>
    <row r="865" spans="1:12" ht="15">
      <c r="A865" s="85" t="s">
        <v>1953</v>
      </c>
      <c r="B865" s="84" t="s">
        <v>1724</v>
      </c>
      <c r="C865" s="79">
        <v>2</v>
      </c>
      <c r="D865" s="109">
        <v>0</v>
      </c>
      <c r="E865" s="109">
        <v>1.2304489213782739</v>
      </c>
      <c r="F865" s="79" t="s">
        <v>1668</v>
      </c>
      <c r="G865" s="79" t="b">
        <v>0</v>
      </c>
      <c r="H865" s="79" t="b">
        <v>0</v>
      </c>
      <c r="I865" s="79" t="b">
        <v>0</v>
      </c>
      <c r="J865" s="79" t="b">
        <v>0</v>
      </c>
      <c r="K865" s="79" t="b">
        <v>0</v>
      </c>
      <c r="L865" s="79" t="b">
        <v>0</v>
      </c>
    </row>
    <row r="866" spans="1:12" ht="15">
      <c r="A866" s="85" t="s">
        <v>1724</v>
      </c>
      <c r="B866" s="84" t="s">
        <v>1954</v>
      </c>
      <c r="C866" s="79">
        <v>2</v>
      </c>
      <c r="D866" s="109">
        <v>0</v>
      </c>
      <c r="E866" s="109">
        <v>1.2304489213782739</v>
      </c>
      <c r="F866" s="79" t="s">
        <v>1668</v>
      </c>
      <c r="G866" s="79" t="b">
        <v>0</v>
      </c>
      <c r="H866" s="79" t="b">
        <v>0</v>
      </c>
      <c r="I866" s="79" t="b">
        <v>0</v>
      </c>
      <c r="J866" s="79" t="b">
        <v>0</v>
      </c>
      <c r="K866" s="79" t="b">
        <v>0</v>
      </c>
      <c r="L866" s="79" t="b">
        <v>0</v>
      </c>
    </row>
    <row r="867" spans="1:12" ht="15">
      <c r="A867" s="85" t="s">
        <v>1954</v>
      </c>
      <c r="B867" s="84" t="s">
        <v>1703</v>
      </c>
      <c r="C867" s="79">
        <v>2</v>
      </c>
      <c r="D867" s="109">
        <v>0</v>
      </c>
      <c r="E867" s="109">
        <v>1.2304489213782739</v>
      </c>
      <c r="F867" s="79" t="s">
        <v>1668</v>
      </c>
      <c r="G867" s="79" t="b">
        <v>0</v>
      </c>
      <c r="H867" s="79" t="b">
        <v>0</v>
      </c>
      <c r="I867" s="79" t="b">
        <v>0</v>
      </c>
      <c r="J867" s="79" t="b">
        <v>0</v>
      </c>
      <c r="K867" s="79" t="b">
        <v>0</v>
      </c>
      <c r="L867" s="79" t="b">
        <v>0</v>
      </c>
    </row>
    <row r="868" spans="1:12" ht="15">
      <c r="A868" s="85" t="s">
        <v>1749</v>
      </c>
      <c r="B868" s="84" t="s">
        <v>1959</v>
      </c>
      <c r="C868" s="79">
        <v>2</v>
      </c>
      <c r="D868" s="109">
        <v>0</v>
      </c>
      <c r="E868" s="109">
        <v>0.7781512503836436</v>
      </c>
      <c r="F868" s="79" t="s">
        <v>1671</v>
      </c>
      <c r="G868" s="79" t="b">
        <v>0</v>
      </c>
      <c r="H868" s="79" t="b">
        <v>0</v>
      </c>
      <c r="I868" s="79" t="b">
        <v>0</v>
      </c>
      <c r="J868" s="79" t="b">
        <v>0</v>
      </c>
      <c r="K868" s="79" t="b">
        <v>0</v>
      </c>
      <c r="L868" s="79" t="b">
        <v>0</v>
      </c>
    </row>
    <row r="869" spans="1:12" ht="15">
      <c r="A869" s="85" t="s">
        <v>1959</v>
      </c>
      <c r="B869" s="84" t="s">
        <v>1887</v>
      </c>
      <c r="C869" s="79">
        <v>2</v>
      </c>
      <c r="D869" s="109">
        <v>0</v>
      </c>
      <c r="E869" s="109">
        <v>0.7781512503836436</v>
      </c>
      <c r="F869" s="79" t="s">
        <v>1671</v>
      </c>
      <c r="G869" s="79" t="b">
        <v>0</v>
      </c>
      <c r="H869" s="79" t="b">
        <v>0</v>
      </c>
      <c r="I869" s="79" t="b">
        <v>0</v>
      </c>
      <c r="J869" s="79" t="b">
        <v>0</v>
      </c>
      <c r="K869" s="79" t="b">
        <v>0</v>
      </c>
      <c r="L869" s="79" t="b">
        <v>0</v>
      </c>
    </row>
    <row r="870" spans="1:12" ht="15">
      <c r="A870" s="85" t="s">
        <v>1887</v>
      </c>
      <c r="B870" s="84" t="s">
        <v>1960</v>
      </c>
      <c r="C870" s="79">
        <v>2</v>
      </c>
      <c r="D870" s="109">
        <v>0</v>
      </c>
      <c r="E870" s="109">
        <v>0.7781512503836436</v>
      </c>
      <c r="F870" s="79" t="s">
        <v>1671</v>
      </c>
      <c r="G870" s="79" t="b">
        <v>0</v>
      </c>
      <c r="H870" s="79" t="b">
        <v>0</v>
      </c>
      <c r="I870" s="79" t="b">
        <v>0</v>
      </c>
      <c r="J870" s="79" t="b">
        <v>0</v>
      </c>
      <c r="K870" s="79" t="b">
        <v>0</v>
      </c>
      <c r="L870" s="79" t="b">
        <v>0</v>
      </c>
    </row>
    <row r="871" spans="1:12" ht="15">
      <c r="A871" s="85" t="s">
        <v>1960</v>
      </c>
      <c r="B871" s="84" t="s">
        <v>1961</v>
      </c>
      <c r="C871" s="79">
        <v>2</v>
      </c>
      <c r="D871" s="109">
        <v>0</v>
      </c>
      <c r="E871" s="109">
        <v>0.7781512503836436</v>
      </c>
      <c r="F871" s="79" t="s">
        <v>1671</v>
      </c>
      <c r="G871" s="79" t="b">
        <v>0</v>
      </c>
      <c r="H871" s="79" t="b">
        <v>0</v>
      </c>
      <c r="I871" s="79" t="b">
        <v>0</v>
      </c>
      <c r="J871" s="79" t="b">
        <v>0</v>
      </c>
      <c r="K871" s="79" t="b">
        <v>0</v>
      </c>
      <c r="L871" s="79" t="b">
        <v>0</v>
      </c>
    </row>
    <row r="872" spans="1:12" ht="15">
      <c r="A872" s="85" t="s">
        <v>1961</v>
      </c>
      <c r="B872" s="84" t="s">
        <v>1962</v>
      </c>
      <c r="C872" s="79">
        <v>2</v>
      </c>
      <c r="D872" s="109">
        <v>0</v>
      </c>
      <c r="E872" s="109">
        <v>0.7781512503836436</v>
      </c>
      <c r="F872" s="79" t="s">
        <v>1671</v>
      </c>
      <c r="G872" s="79" t="b">
        <v>0</v>
      </c>
      <c r="H872" s="79" t="b">
        <v>0</v>
      </c>
      <c r="I872" s="79" t="b">
        <v>0</v>
      </c>
      <c r="J872" s="79" t="b">
        <v>0</v>
      </c>
      <c r="K872" s="79" t="b">
        <v>0</v>
      </c>
      <c r="L872" s="79" t="b">
        <v>0</v>
      </c>
    </row>
    <row r="873" spans="1:12" ht="15">
      <c r="A873" s="85" t="s">
        <v>1962</v>
      </c>
      <c r="B873" s="84" t="s">
        <v>1703</v>
      </c>
      <c r="C873" s="79">
        <v>2</v>
      </c>
      <c r="D873" s="109">
        <v>0</v>
      </c>
      <c r="E873" s="109">
        <v>0.7781512503836436</v>
      </c>
      <c r="F873" s="79" t="s">
        <v>1671</v>
      </c>
      <c r="G873" s="79" t="b">
        <v>0</v>
      </c>
      <c r="H873" s="79" t="b">
        <v>0</v>
      </c>
      <c r="I873" s="79" t="b">
        <v>0</v>
      </c>
      <c r="J873" s="79" t="b">
        <v>0</v>
      </c>
      <c r="K873" s="79" t="b">
        <v>0</v>
      </c>
      <c r="L873" s="79" t="b">
        <v>0</v>
      </c>
    </row>
    <row r="874" spans="1:12" ht="15">
      <c r="A874" s="85" t="s">
        <v>1703</v>
      </c>
      <c r="B874" s="84" t="s">
        <v>1977</v>
      </c>
      <c r="C874" s="79">
        <v>2</v>
      </c>
      <c r="D874" s="109">
        <v>0.0234788345407575</v>
      </c>
      <c r="E874" s="109">
        <v>0.6020599913279624</v>
      </c>
      <c r="F874" s="79" t="s">
        <v>1672</v>
      </c>
      <c r="G874" s="79" t="b">
        <v>0</v>
      </c>
      <c r="H874" s="79" t="b">
        <v>0</v>
      </c>
      <c r="I874" s="79" t="b">
        <v>0</v>
      </c>
      <c r="J874" s="79" t="b">
        <v>0</v>
      </c>
      <c r="K874" s="79" t="b">
        <v>0</v>
      </c>
      <c r="L874" s="79" t="b">
        <v>0</v>
      </c>
    </row>
    <row r="875" spans="1:12" ht="15">
      <c r="A875" s="85" t="s">
        <v>1977</v>
      </c>
      <c r="B875" s="84" t="s">
        <v>1978</v>
      </c>
      <c r="C875" s="79">
        <v>2</v>
      </c>
      <c r="D875" s="109">
        <v>0.0234788345407575</v>
      </c>
      <c r="E875" s="109">
        <v>0.7781512503836436</v>
      </c>
      <c r="F875" s="79" t="s">
        <v>1672</v>
      </c>
      <c r="G875" s="79" t="b">
        <v>0</v>
      </c>
      <c r="H875" s="79" t="b">
        <v>0</v>
      </c>
      <c r="I875" s="79" t="b">
        <v>0</v>
      </c>
      <c r="J875" s="79" t="b">
        <v>0</v>
      </c>
      <c r="K875" s="79" t="b">
        <v>0</v>
      </c>
      <c r="L875" s="79" t="b">
        <v>0</v>
      </c>
    </row>
    <row r="876" spans="1:12" ht="15">
      <c r="A876" s="85" t="s">
        <v>1703</v>
      </c>
      <c r="B876" s="84" t="s">
        <v>1999</v>
      </c>
      <c r="C876" s="79">
        <v>2</v>
      </c>
      <c r="D876" s="109">
        <v>0</v>
      </c>
      <c r="E876" s="109">
        <v>0.9999999999999999</v>
      </c>
      <c r="F876" s="79" t="s">
        <v>1673</v>
      </c>
      <c r="G876" s="79" t="b">
        <v>0</v>
      </c>
      <c r="H876" s="79" t="b">
        <v>0</v>
      </c>
      <c r="I876" s="79" t="b">
        <v>0</v>
      </c>
      <c r="J876" s="79" t="b">
        <v>0</v>
      </c>
      <c r="K876" s="79" t="b">
        <v>0</v>
      </c>
      <c r="L876" s="79" t="b">
        <v>0</v>
      </c>
    </row>
    <row r="877" spans="1:12" ht="15">
      <c r="A877" s="85" t="s">
        <v>1999</v>
      </c>
      <c r="B877" s="84" t="s">
        <v>1770</v>
      </c>
      <c r="C877" s="79">
        <v>2</v>
      </c>
      <c r="D877" s="109">
        <v>0</v>
      </c>
      <c r="E877" s="109">
        <v>0.9999999999999999</v>
      </c>
      <c r="F877" s="79" t="s">
        <v>1673</v>
      </c>
      <c r="G877" s="79" t="b">
        <v>0</v>
      </c>
      <c r="H877" s="79" t="b">
        <v>0</v>
      </c>
      <c r="I877" s="79" t="b">
        <v>0</v>
      </c>
      <c r="J877" s="79" t="b">
        <v>0</v>
      </c>
      <c r="K877" s="79" t="b">
        <v>0</v>
      </c>
      <c r="L877" s="79" t="b">
        <v>0</v>
      </c>
    </row>
    <row r="878" spans="1:12" ht="15">
      <c r="A878" s="85" t="s">
        <v>1770</v>
      </c>
      <c r="B878" s="84" t="s">
        <v>2000</v>
      </c>
      <c r="C878" s="79">
        <v>2</v>
      </c>
      <c r="D878" s="109">
        <v>0</v>
      </c>
      <c r="E878" s="109">
        <v>0.9999999999999999</v>
      </c>
      <c r="F878" s="79" t="s">
        <v>1673</v>
      </c>
      <c r="G878" s="79" t="b">
        <v>0</v>
      </c>
      <c r="H878" s="79" t="b">
        <v>0</v>
      </c>
      <c r="I878" s="79" t="b">
        <v>0</v>
      </c>
      <c r="J878" s="79" t="b">
        <v>0</v>
      </c>
      <c r="K878" s="79" t="b">
        <v>0</v>
      </c>
      <c r="L878" s="79" t="b">
        <v>0</v>
      </c>
    </row>
    <row r="879" spans="1:12" ht="15">
      <c r="A879" s="85" t="s">
        <v>2000</v>
      </c>
      <c r="B879" s="84" t="s">
        <v>2001</v>
      </c>
      <c r="C879" s="79">
        <v>2</v>
      </c>
      <c r="D879" s="109">
        <v>0</v>
      </c>
      <c r="E879" s="109">
        <v>0.9999999999999999</v>
      </c>
      <c r="F879" s="79" t="s">
        <v>1673</v>
      </c>
      <c r="G879" s="79" t="b">
        <v>0</v>
      </c>
      <c r="H879" s="79" t="b">
        <v>0</v>
      </c>
      <c r="I879" s="79" t="b">
        <v>0</v>
      </c>
      <c r="J879" s="79" t="b">
        <v>0</v>
      </c>
      <c r="K879" s="79" t="b">
        <v>0</v>
      </c>
      <c r="L879" s="79" t="b">
        <v>0</v>
      </c>
    </row>
    <row r="880" spans="1:12" ht="15">
      <c r="A880" s="85" t="s">
        <v>2001</v>
      </c>
      <c r="B880" s="84" t="s">
        <v>2002</v>
      </c>
      <c r="C880" s="79">
        <v>2</v>
      </c>
      <c r="D880" s="109">
        <v>0</v>
      </c>
      <c r="E880" s="109">
        <v>0.9999999999999999</v>
      </c>
      <c r="F880" s="79" t="s">
        <v>1673</v>
      </c>
      <c r="G880" s="79" t="b">
        <v>0</v>
      </c>
      <c r="H880" s="79" t="b">
        <v>0</v>
      </c>
      <c r="I880" s="79" t="b">
        <v>0</v>
      </c>
      <c r="J880" s="79" t="b">
        <v>0</v>
      </c>
      <c r="K880" s="79" t="b">
        <v>0</v>
      </c>
      <c r="L880" s="79" t="b">
        <v>0</v>
      </c>
    </row>
    <row r="881" spans="1:12" ht="15">
      <c r="A881" s="85" t="s">
        <v>2002</v>
      </c>
      <c r="B881" s="84" t="s">
        <v>2003</v>
      </c>
      <c r="C881" s="79">
        <v>2</v>
      </c>
      <c r="D881" s="109">
        <v>0</v>
      </c>
      <c r="E881" s="109">
        <v>0.9999999999999999</v>
      </c>
      <c r="F881" s="79" t="s">
        <v>1673</v>
      </c>
      <c r="G881" s="79" t="b">
        <v>0</v>
      </c>
      <c r="H881" s="79" t="b">
        <v>0</v>
      </c>
      <c r="I881" s="79" t="b">
        <v>0</v>
      </c>
      <c r="J881" s="79" t="b">
        <v>0</v>
      </c>
      <c r="K881" s="79" t="b">
        <v>0</v>
      </c>
      <c r="L881" s="79" t="b">
        <v>0</v>
      </c>
    </row>
    <row r="882" spans="1:12" ht="15">
      <c r="A882" s="85" t="s">
        <v>2003</v>
      </c>
      <c r="B882" s="84" t="s">
        <v>2004</v>
      </c>
      <c r="C882" s="79">
        <v>2</v>
      </c>
      <c r="D882" s="109">
        <v>0</v>
      </c>
      <c r="E882" s="109">
        <v>0.9999999999999999</v>
      </c>
      <c r="F882" s="79" t="s">
        <v>1673</v>
      </c>
      <c r="G882" s="79" t="b">
        <v>0</v>
      </c>
      <c r="H882" s="79" t="b">
        <v>0</v>
      </c>
      <c r="I882" s="79" t="b">
        <v>0</v>
      </c>
      <c r="J882" s="79" t="b">
        <v>0</v>
      </c>
      <c r="K882" s="79" t="b">
        <v>0</v>
      </c>
      <c r="L882" s="79" t="b">
        <v>0</v>
      </c>
    </row>
    <row r="883" spans="1:12" ht="15">
      <c r="A883" s="85" t="s">
        <v>2004</v>
      </c>
      <c r="B883" s="84" t="s">
        <v>2005</v>
      </c>
      <c r="C883" s="79">
        <v>2</v>
      </c>
      <c r="D883" s="109">
        <v>0</v>
      </c>
      <c r="E883" s="109">
        <v>0.9999999999999999</v>
      </c>
      <c r="F883" s="79" t="s">
        <v>1673</v>
      </c>
      <c r="G883" s="79" t="b">
        <v>0</v>
      </c>
      <c r="H883" s="79" t="b">
        <v>0</v>
      </c>
      <c r="I883" s="79" t="b">
        <v>0</v>
      </c>
      <c r="J883" s="79" t="b">
        <v>0</v>
      </c>
      <c r="K883" s="79" t="b">
        <v>0</v>
      </c>
      <c r="L883" s="79" t="b">
        <v>0</v>
      </c>
    </row>
    <row r="884" spans="1:12" ht="15">
      <c r="A884" s="85" t="s">
        <v>2005</v>
      </c>
      <c r="B884" s="84" t="s">
        <v>2006</v>
      </c>
      <c r="C884" s="79">
        <v>2</v>
      </c>
      <c r="D884" s="109">
        <v>0</v>
      </c>
      <c r="E884" s="109">
        <v>0.9999999999999999</v>
      </c>
      <c r="F884" s="79" t="s">
        <v>1673</v>
      </c>
      <c r="G884" s="79" t="b">
        <v>0</v>
      </c>
      <c r="H884" s="79" t="b">
        <v>0</v>
      </c>
      <c r="I884" s="79" t="b">
        <v>0</v>
      </c>
      <c r="J884" s="79" t="b">
        <v>0</v>
      </c>
      <c r="K884" s="79" t="b">
        <v>0</v>
      </c>
      <c r="L884" s="79" t="b">
        <v>0</v>
      </c>
    </row>
    <row r="885" spans="1:12" ht="15">
      <c r="A885" s="85" t="s">
        <v>2006</v>
      </c>
      <c r="B885" s="84" t="s">
        <v>1760</v>
      </c>
      <c r="C885" s="79">
        <v>2</v>
      </c>
      <c r="D885" s="109">
        <v>0</v>
      </c>
      <c r="E885" s="109">
        <v>0.9999999999999999</v>
      </c>
      <c r="F885" s="79" t="s">
        <v>1673</v>
      </c>
      <c r="G885" s="79" t="b">
        <v>0</v>
      </c>
      <c r="H885" s="79" t="b">
        <v>0</v>
      </c>
      <c r="I885" s="79" t="b">
        <v>0</v>
      </c>
      <c r="J885" s="79" t="b">
        <v>0</v>
      </c>
      <c r="K885" s="79" t="b">
        <v>0</v>
      </c>
      <c r="L885" s="79" t="b">
        <v>0</v>
      </c>
    </row>
    <row r="886" spans="1:12" ht="15">
      <c r="A886" s="85" t="s">
        <v>2038</v>
      </c>
      <c r="B886" s="84" t="s">
        <v>2039</v>
      </c>
      <c r="C886" s="79">
        <v>2</v>
      </c>
      <c r="D886" s="109">
        <v>0</v>
      </c>
      <c r="E886" s="109">
        <v>1.0791812460476249</v>
      </c>
      <c r="F886" s="79" t="s">
        <v>1675</v>
      </c>
      <c r="G886" s="79" t="b">
        <v>0</v>
      </c>
      <c r="H886" s="79" t="b">
        <v>0</v>
      </c>
      <c r="I886" s="79" t="b">
        <v>0</v>
      </c>
      <c r="J886" s="79" t="b">
        <v>0</v>
      </c>
      <c r="K886" s="79" t="b">
        <v>0</v>
      </c>
      <c r="L886" s="79" t="b">
        <v>0</v>
      </c>
    </row>
    <row r="887" spans="1:12" ht="15">
      <c r="A887" s="85" t="s">
        <v>2039</v>
      </c>
      <c r="B887" s="84" t="s">
        <v>2040</v>
      </c>
      <c r="C887" s="79">
        <v>2</v>
      </c>
      <c r="D887" s="109">
        <v>0</v>
      </c>
      <c r="E887" s="109">
        <v>1.0791812460476249</v>
      </c>
      <c r="F887" s="79" t="s">
        <v>1675</v>
      </c>
      <c r="G887" s="79" t="b">
        <v>0</v>
      </c>
      <c r="H887" s="79" t="b">
        <v>0</v>
      </c>
      <c r="I887" s="79" t="b">
        <v>0</v>
      </c>
      <c r="J887" s="79" t="b">
        <v>0</v>
      </c>
      <c r="K887" s="79" t="b">
        <v>0</v>
      </c>
      <c r="L887" s="79" t="b">
        <v>0</v>
      </c>
    </row>
    <row r="888" spans="1:12" ht="15">
      <c r="A888" s="85" t="s">
        <v>2040</v>
      </c>
      <c r="B888" s="84" t="s">
        <v>2041</v>
      </c>
      <c r="C888" s="79">
        <v>2</v>
      </c>
      <c r="D888" s="109">
        <v>0</v>
      </c>
      <c r="E888" s="109">
        <v>1.0791812460476249</v>
      </c>
      <c r="F888" s="79" t="s">
        <v>1675</v>
      </c>
      <c r="G888" s="79" t="b">
        <v>0</v>
      </c>
      <c r="H888" s="79" t="b">
        <v>0</v>
      </c>
      <c r="I888" s="79" t="b">
        <v>0</v>
      </c>
      <c r="J888" s="79" t="b">
        <v>0</v>
      </c>
      <c r="K888" s="79" t="b">
        <v>0</v>
      </c>
      <c r="L888" s="79" t="b">
        <v>0</v>
      </c>
    </row>
    <row r="889" spans="1:12" ht="15">
      <c r="A889" s="85" t="s">
        <v>2041</v>
      </c>
      <c r="B889" s="84" t="s">
        <v>2042</v>
      </c>
      <c r="C889" s="79">
        <v>2</v>
      </c>
      <c r="D889" s="109">
        <v>0</v>
      </c>
      <c r="E889" s="109">
        <v>1.0791812460476249</v>
      </c>
      <c r="F889" s="79" t="s">
        <v>1675</v>
      </c>
      <c r="G889" s="79" t="b">
        <v>0</v>
      </c>
      <c r="H889" s="79" t="b">
        <v>0</v>
      </c>
      <c r="I889" s="79" t="b">
        <v>0</v>
      </c>
      <c r="J889" s="79" t="b">
        <v>0</v>
      </c>
      <c r="K889" s="79" t="b">
        <v>0</v>
      </c>
      <c r="L889" s="79" t="b">
        <v>0</v>
      </c>
    </row>
    <row r="890" spans="1:12" ht="15">
      <c r="A890" s="85" t="s">
        <v>2042</v>
      </c>
      <c r="B890" s="84" t="s">
        <v>2043</v>
      </c>
      <c r="C890" s="79">
        <v>2</v>
      </c>
      <c r="D890" s="109">
        <v>0</v>
      </c>
      <c r="E890" s="109">
        <v>1.0791812460476249</v>
      </c>
      <c r="F890" s="79" t="s">
        <v>1675</v>
      </c>
      <c r="G890" s="79" t="b">
        <v>0</v>
      </c>
      <c r="H890" s="79" t="b">
        <v>0</v>
      </c>
      <c r="I890" s="79" t="b">
        <v>0</v>
      </c>
      <c r="J890" s="79" t="b">
        <v>0</v>
      </c>
      <c r="K890" s="79" t="b">
        <v>0</v>
      </c>
      <c r="L890" s="79" t="b">
        <v>0</v>
      </c>
    </row>
    <row r="891" spans="1:12" ht="15">
      <c r="A891" s="85" t="s">
        <v>2043</v>
      </c>
      <c r="B891" s="84" t="s">
        <v>2044</v>
      </c>
      <c r="C891" s="79">
        <v>2</v>
      </c>
      <c r="D891" s="109">
        <v>0</v>
      </c>
      <c r="E891" s="109">
        <v>1.0791812460476249</v>
      </c>
      <c r="F891" s="79" t="s">
        <v>1675</v>
      </c>
      <c r="G891" s="79" t="b">
        <v>0</v>
      </c>
      <c r="H891" s="79" t="b">
        <v>0</v>
      </c>
      <c r="I891" s="79" t="b">
        <v>0</v>
      </c>
      <c r="J891" s="79" t="b">
        <v>0</v>
      </c>
      <c r="K891" s="79" t="b">
        <v>0</v>
      </c>
      <c r="L891" s="79" t="b">
        <v>0</v>
      </c>
    </row>
    <row r="892" spans="1:12" ht="15">
      <c r="A892" s="85" t="s">
        <v>2044</v>
      </c>
      <c r="B892" s="84" t="s">
        <v>2045</v>
      </c>
      <c r="C892" s="79">
        <v>2</v>
      </c>
      <c r="D892" s="109">
        <v>0</v>
      </c>
      <c r="E892" s="109">
        <v>1.0791812460476249</v>
      </c>
      <c r="F892" s="79" t="s">
        <v>1675</v>
      </c>
      <c r="G892" s="79" t="b">
        <v>0</v>
      </c>
      <c r="H892" s="79" t="b">
        <v>0</v>
      </c>
      <c r="I892" s="79" t="b">
        <v>0</v>
      </c>
      <c r="J892" s="79" t="b">
        <v>0</v>
      </c>
      <c r="K892" s="79" t="b">
        <v>0</v>
      </c>
      <c r="L892" s="79" t="b">
        <v>0</v>
      </c>
    </row>
    <row r="893" spans="1:12" ht="15">
      <c r="A893" s="85" t="s">
        <v>2045</v>
      </c>
      <c r="B893" s="84" t="s">
        <v>2046</v>
      </c>
      <c r="C893" s="79">
        <v>2</v>
      </c>
      <c r="D893" s="109">
        <v>0</v>
      </c>
      <c r="E893" s="109">
        <v>1.0791812460476249</v>
      </c>
      <c r="F893" s="79" t="s">
        <v>1675</v>
      </c>
      <c r="G893" s="79" t="b">
        <v>0</v>
      </c>
      <c r="H893" s="79" t="b">
        <v>0</v>
      </c>
      <c r="I893" s="79" t="b">
        <v>0</v>
      </c>
      <c r="J893" s="79" t="b">
        <v>0</v>
      </c>
      <c r="K893" s="79" t="b">
        <v>0</v>
      </c>
      <c r="L893" s="79" t="b">
        <v>0</v>
      </c>
    </row>
    <row r="894" spans="1:12" ht="15">
      <c r="A894" s="85" t="s">
        <v>2046</v>
      </c>
      <c r="B894" s="84" t="s">
        <v>2047</v>
      </c>
      <c r="C894" s="79">
        <v>2</v>
      </c>
      <c r="D894" s="109">
        <v>0</v>
      </c>
      <c r="E894" s="109">
        <v>1.0791812460476249</v>
      </c>
      <c r="F894" s="79" t="s">
        <v>1675</v>
      </c>
      <c r="G894" s="79" t="b">
        <v>0</v>
      </c>
      <c r="H894" s="79" t="b">
        <v>0</v>
      </c>
      <c r="I894" s="79" t="b">
        <v>0</v>
      </c>
      <c r="J894" s="79" t="b">
        <v>0</v>
      </c>
      <c r="K894" s="79" t="b">
        <v>0</v>
      </c>
      <c r="L894" s="79" t="b">
        <v>0</v>
      </c>
    </row>
    <row r="895" spans="1:12" ht="15">
      <c r="A895" s="85" t="s">
        <v>2047</v>
      </c>
      <c r="B895" s="84" t="s">
        <v>1884</v>
      </c>
      <c r="C895" s="79">
        <v>2</v>
      </c>
      <c r="D895" s="109">
        <v>0</v>
      </c>
      <c r="E895" s="109">
        <v>1.0791812460476249</v>
      </c>
      <c r="F895" s="79" t="s">
        <v>1675</v>
      </c>
      <c r="G895" s="79" t="b">
        <v>0</v>
      </c>
      <c r="H895" s="79" t="b">
        <v>0</v>
      </c>
      <c r="I895" s="79" t="b">
        <v>0</v>
      </c>
      <c r="J895" s="79" t="b">
        <v>0</v>
      </c>
      <c r="K895" s="79" t="b">
        <v>0</v>
      </c>
      <c r="L895" s="79" t="b">
        <v>0</v>
      </c>
    </row>
    <row r="896" spans="1:12" ht="15">
      <c r="A896" s="85" t="s">
        <v>1884</v>
      </c>
      <c r="B896" s="84" t="s">
        <v>1703</v>
      </c>
      <c r="C896" s="79">
        <v>2</v>
      </c>
      <c r="D896" s="109">
        <v>0</v>
      </c>
      <c r="E896" s="109">
        <v>1.0791812460476249</v>
      </c>
      <c r="F896" s="79" t="s">
        <v>1675</v>
      </c>
      <c r="G896" s="79" t="b">
        <v>0</v>
      </c>
      <c r="H896" s="79" t="b">
        <v>0</v>
      </c>
      <c r="I896" s="79" t="b">
        <v>0</v>
      </c>
      <c r="J896" s="79" t="b">
        <v>0</v>
      </c>
      <c r="K896" s="79" t="b">
        <v>0</v>
      </c>
      <c r="L896" s="79" t="b">
        <v>0</v>
      </c>
    </row>
    <row r="897" spans="1:12" ht="15">
      <c r="A897" s="85" t="s">
        <v>1703</v>
      </c>
      <c r="B897" s="84" t="s">
        <v>2048</v>
      </c>
      <c r="C897" s="79">
        <v>2</v>
      </c>
      <c r="D897" s="109">
        <v>0</v>
      </c>
      <c r="E897" s="109">
        <v>1.0791812460476249</v>
      </c>
      <c r="F897" s="79" t="s">
        <v>1675</v>
      </c>
      <c r="G897" s="79" t="b">
        <v>0</v>
      </c>
      <c r="H897" s="79" t="b">
        <v>0</v>
      </c>
      <c r="I897" s="79" t="b">
        <v>0</v>
      </c>
      <c r="J897" s="79" t="b">
        <v>0</v>
      </c>
      <c r="K897" s="79" t="b">
        <v>0</v>
      </c>
      <c r="L897" s="79" t="b">
        <v>0</v>
      </c>
    </row>
    <row r="898" spans="1:12" ht="15">
      <c r="A898" s="85" t="s">
        <v>1935</v>
      </c>
      <c r="B898" s="84" t="s">
        <v>1936</v>
      </c>
      <c r="C898" s="79">
        <v>2</v>
      </c>
      <c r="D898" s="109">
        <v>0.010358309356216544</v>
      </c>
      <c r="E898" s="109">
        <v>1.1903316981702916</v>
      </c>
      <c r="F898" s="79" t="s">
        <v>1676</v>
      </c>
      <c r="G898" s="79" t="b">
        <v>0</v>
      </c>
      <c r="H898" s="79" t="b">
        <v>0</v>
      </c>
      <c r="I898" s="79" t="b">
        <v>0</v>
      </c>
      <c r="J898" s="79" t="b">
        <v>0</v>
      </c>
      <c r="K898" s="79" t="b">
        <v>0</v>
      </c>
      <c r="L898" s="79" t="b">
        <v>0</v>
      </c>
    </row>
    <row r="899" spans="1:12" ht="15">
      <c r="A899" s="85" t="s">
        <v>1936</v>
      </c>
      <c r="B899" s="84" t="s">
        <v>1731</v>
      </c>
      <c r="C899" s="79">
        <v>2</v>
      </c>
      <c r="D899" s="109">
        <v>0.010358309356216544</v>
      </c>
      <c r="E899" s="109">
        <v>1.1903316981702916</v>
      </c>
      <c r="F899" s="79" t="s">
        <v>1676</v>
      </c>
      <c r="G899" s="79" t="b">
        <v>0</v>
      </c>
      <c r="H899" s="79" t="b">
        <v>0</v>
      </c>
      <c r="I899" s="79" t="b">
        <v>0</v>
      </c>
      <c r="J899" s="79" t="b">
        <v>0</v>
      </c>
      <c r="K899" s="79" t="b">
        <v>0</v>
      </c>
      <c r="L899" s="79" t="b">
        <v>0</v>
      </c>
    </row>
    <row r="900" spans="1:12" ht="15">
      <c r="A900" s="85" t="s">
        <v>1731</v>
      </c>
      <c r="B900" s="84" t="s">
        <v>1937</v>
      </c>
      <c r="C900" s="79">
        <v>2</v>
      </c>
      <c r="D900" s="109">
        <v>0.010358309356216544</v>
      </c>
      <c r="E900" s="109">
        <v>1.1903316981702916</v>
      </c>
      <c r="F900" s="79" t="s">
        <v>1676</v>
      </c>
      <c r="G900" s="79" t="b">
        <v>0</v>
      </c>
      <c r="H900" s="79" t="b">
        <v>0</v>
      </c>
      <c r="I900" s="79" t="b">
        <v>0</v>
      </c>
      <c r="J900" s="79" t="b">
        <v>0</v>
      </c>
      <c r="K900" s="79" t="b">
        <v>0</v>
      </c>
      <c r="L900" s="79" t="b">
        <v>0</v>
      </c>
    </row>
    <row r="901" spans="1:12" ht="15">
      <c r="A901" s="85" t="s">
        <v>1937</v>
      </c>
      <c r="B901" s="84" t="s">
        <v>1938</v>
      </c>
      <c r="C901" s="79">
        <v>2</v>
      </c>
      <c r="D901" s="109">
        <v>0.010358309356216544</v>
      </c>
      <c r="E901" s="109">
        <v>1.1903316981702916</v>
      </c>
      <c r="F901" s="79" t="s">
        <v>1676</v>
      </c>
      <c r="G901" s="79" t="b">
        <v>0</v>
      </c>
      <c r="H901" s="79" t="b">
        <v>0</v>
      </c>
      <c r="I901" s="79" t="b">
        <v>0</v>
      </c>
      <c r="J901" s="79" t="b">
        <v>0</v>
      </c>
      <c r="K901" s="79" t="b">
        <v>0</v>
      </c>
      <c r="L901" s="79" t="b">
        <v>0</v>
      </c>
    </row>
    <row r="902" spans="1:12" ht="15">
      <c r="A902" s="85" t="s">
        <v>1938</v>
      </c>
      <c r="B902" s="84" t="s">
        <v>1724</v>
      </c>
      <c r="C902" s="79">
        <v>2</v>
      </c>
      <c r="D902" s="109">
        <v>0.010358309356216544</v>
      </c>
      <c r="E902" s="109">
        <v>1.0142404391146103</v>
      </c>
      <c r="F902" s="79" t="s">
        <v>1676</v>
      </c>
      <c r="G902" s="79" t="b">
        <v>0</v>
      </c>
      <c r="H902" s="79" t="b">
        <v>0</v>
      </c>
      <c r="I902" s="79" t="b">
        <v>0</v>
      </c>
      <c r="J902" s="79" t="b">
        <v>0</v>
      </c>
      <c r="K902" s="79" t="b">
        <v>0</v>
      </c>
      <c r="L902" s="79" t="b">
        <v>0</v>
      </c>
    </row>
    <row r="903" spans="1:12" ht="15">
      <c r="A903" s="85" t="s">
        <v>1724</v>
      </c>
      <c r="B903" s="84" t="s">
        <v>1939</v>
      </c>
      <c r="C903" s="79">
        <v>2</v>
      </c>
      <c r="D903" s="109">
        <v>0.010358309356216544</v>
      </c>
      <c r="E903" s="109">
        <v>1.0142404391146103</v>
      </c>
      <c r="F903" s="79" t="s">
        <v>1676</v>
      </c>
      <c r="G903" s="79" t="b">
        <v>0</v>
      </c>
      <c r="H903" s="79" t="b">
        <v>0</v>
      </c>
      <c r="I903" s="79" t="b">
        <v>0</v>
      </c>
      <c r="J903" s="79" t="b">
        <v>0</v>
      </c>
      <c r="K903" s="79" t="b">
        <v>0</v>
      </c>
      <c r="L903" s="79" t="b">
        <v>0</v>
      </c>
    </row>
    <row r="904" spans="1:12" ht="15">
      <c r="A904" s="85" t="s">
        <v>1939</v>
      </c>
      <c r="B904" s="84" t="s">
        <v>1885</v>
      </c>
      <c r="C904" s="79">
        <v>2</v>
      </c>
      <c r="D904" s="109">
        <v>0.010358309356216544</v>
      </c>
      <c r="E904" s="109">
        <v>1.0142404391146103</v>
      </c>
      <c r="F904" s="79" t="s">
        <v>1676</v>
      </c>
      <c r="G904" s="79" t="b">
        <v>0</v>
      </c>
      <c r="H904" s="79" t="b">
        <v>0</v>
      </c>
      <c r="I904" s="79" t="b">
        <v>0</v>
      </c>
      <c r="J904" s="79" t="b">
        <v>0</v>
      </c>
      <c r="K904" s="79" t="b">
        <v>0</v>
      </c>
      <c r="L904" s="79" t="b">
        <v>0</v>
      </c>
    </row>
    <row r="905" spans="1:12" ht="15">
      <c r="A905" s="85" t="s">
        <v>1885</v>
      </c>
      <c r="B905" s="84" t="s">
        <v>1791</v>
      </c>
      <c r="C905" s="79">
        <v>2</v>
      </c>
      <c r="D905" s="109">
        <v>0.010358309356216544</v>
      </c>
      <c r="E905" s="109">
        <v>1.0142404391146103</v>
      </c>
      <c r="F905" s="79" t="s">
        <v>1676</v>
      </c>
      <c r="G905" s="79" t="b">
        <v>0</v>
      </c>
      <c r="H905" s="79" t="b">
        <v>0</v>
      </c>
      <c r="I905" s="79" t="b">
        <v>0</v>
      </c>
      <c r="J905" s="79" t="b">
        <v>0</v>
      </c>
      <c r="K905" s="79" t="b">
        <v>0</v>
      </c>
      <c r="L905" s="79" t="b">
        <v>0</v>
      </c>
    </row>
    <row r="906" spans="1:12" ht="15">
      <c r="A906" s="85" t="s">
        <v>1791</v>
      </c>
      <c r="B906" s="84" t="s">
        <v>1841</v>
      </c>
      <c r="C906" s="79">
        <v>2</v>
      </c>
      <c r="D906" s="109">
        <v>0.010358309356216544</v>
      </c>
      <c r="E906" s="109">
        <v>1.0142404391146103</v>
      </c>
      <c r="F906" s="79" t="s">
        <v>1676</v>
      </c>
      <c r="G906" s="79" t="b">
        <v>0</v>
      </c>
      <c r="H906" s="79" t="b">
        <v>0</v>
      </c>
      <c r="I906" s="79" t="b">
        <v>0</v>
      </c>
      <c r="J906" s="79" t="b">
        <v>0</v>
      </c>
      <c r="K906" s="79" t="b">
        <v>0</v>
      </c>
      <c r="L906" s="79" t="b">
        <v>0</v>
      </c>
    </row>
    <row r="907" spans="1:12" ht="15">
      <c r="A907" s="85" t="s">
        <v>1841</v>
      </c>
      <c r="B907" s="84" t="s">
        <v>1703</v>
      </c>
      <c r="C907" s="79">
        <v>2</v>
      </c>
      <c r="D907" s="109">
        <v>0.010358309356216544</v>
      </c>
      <c r="E907" s="109">
        <v>1.0142404391146103</v>
      </c>
      <c r="F907" s="79" t="s">
        <v>1676</v>
      </c>
      <c r="G907" s="79" t="b">
        <v>0</v>
      </c>
      <c r="H907" s="79" t="b">
        <v>0</v>
      </c>
      <c r="I907" s="79" t="b">
        <v>0</v>
      </c>
      <c r="J907" s="79" t="b">
        <v>0</v>
      </c>
      <c r="K907" s="79" t="b">
        <v>0</v>
      </c>
      <c r="L907" s="79" t="b">
        <v>0</v>
      </c>
    </row>
    <row r="908" spans="1:12" ht="15">
      <c r="A908" s="85" t="s">
        <v>1703</v>
      </c>
      <c r="B908" s="84" t="s">
        <v>1940</v>
      </c>
      <c r="C908" s="79">
        <v>2</v>
      </c>
      <c r="D908" s="109">
        <v>0.010358309356216544</v>
      </c>
      <c r="E908" s="109">
        <v>1.1903316981702916</v>
      </c>
      <c r="F908" s="79" t="s">
        <v>1676</v>
      </c>
      <c r="G908" s="79" t="b">
        <v>0</v>
      </c>
      <c r="H908" s="79" t="b">
        <v>0</v>
      </c>
      <c r="I908" s="79" t="b">
        <v>0</v>
      </c>
      <c r="J908" s="79" t="b">
        <v>0</v>
      </c>
      <c r="K908" s="79" t="b">
        <v>0</v>
      </c>
      <c r="L908" s="79" t="b">
        <v>0</v>
      </c>
    </row>
    <row r="909" spans="1:12" ht="15">
      <c r="A909" s="85" t="s">
        <v>2049</v>
      </c>
      <c r="B909" s="84" t="s">
        <v>2050</v>
      </c>
      <c r="C909" s="79">
        <v>2</v>
      </c>
      <c r="D909" s="109">
        <v>0</v>
      </c>
      <c r="E909" s="109">
        <v>1.278753600952829</v>
      </c>
      <c r="F909" s="79" t="s">
        <v>1677</v>
      </c>
      <c r="G909" s="79" t="b">
        <v>0</v>
      </c>
      <c r="H909" s="79" t="b">
        <v>0</v>
      </c>
      <c r="I909" s="79" t="b">
        <v>0</v>
      </c>
      <c r="J909" s="79" t="b">
        <v>0</v>
      </c>
      <c r="K909" s="79" t="b">
        <v>0</v>
      </c>
      <c r="L909" s="79" t="b">
        <v>0</v>
      </c>
    </row>
    <row r="910" spans="1:12" ht="15">
      <c r="A910" s="85" t="s">
        <v>2050</v>
      </c>
      <c r="B910" s="84" t="s">
        <v>2051</v>
      </c>
      <c r="C910" s="79">
        <v>2</v>
      </c>
      <c r="D910" s="109">
        <v>0</v>
      </c>
      <c r="E910" s="109">
        <v>1.278753600952829</v>
      </c>
      <c r="F910" s="79" t="s">
        <v>1677</v>
      </c>
      <c r="G910" s="79" t="b">
        <v>0</v>
      </c>
      <c r="H910" s="79" t="b">
        <v>0</v>
      </c>
      <c r="I910" s="79" t="b">
        <v>0</v>
      </c>
      <c r="J910" s="79" t="b">
        <v>0</v>
      </c>
      <c r="K910" s="79" t="b">
        <v>0</v>
      </c>
      <c r="L910" s="79" t="b">
        <v>0</v>
      </c>
    </row>
    <row r="911" spans="1:12" ht="15">
      <c r="A911" s="85" t="s">
        <v>2051</v>
      </c>
      <c r="B911" s="84" t="s">
        <v>2052</v>
      </c>
      <c r="C911" s="79">
        <v>2</v>
      </c>
      <c r="D911" s="109">
        <v>0</v>
      </c>
      <c r="E911" s="109">
        <v>1.278753600952829</v>
      </c>
      <c r="F911" s="79" t="s">
        <v>1677</v>
      </c>
      <c r="G911" s="79" t="b">
        <v>0</v>
      </c>
      <c r="H911" s="79" t="b">
        <v>0</v>
      </c>
      <c r="I911" s="79" t="b">
        <v>0</v>
      </c>
      <c r="J911" s="79" t="b">
        <v>0</v>
      </c>
      <c r="K911" s="79" t="b">
        <v>0</v>
      </c>
      <c r="L911" s="79" t="b">
        <v>0</v>
      </c>
    </row>
    <row r="912" spans="1:12" ht="15">
      <c r="A912" s="85" t="s">
        <v>2052</v>
      </c>
      <c r="B912" s="84" t="s">
        <v>2053</v>
      </c>
      <c r="C912" s="79">
        <v>2</v>
      </c>
      <c r="D912" s="109">
        <v>0</v>
      </c>
      <c r="E912" s="109">
        <v>1.278753600952829</v>
      </c>
      <c r="F912" s="79" t="s">
        <v>1677</v>
      </c>
      <c r="G912" s="79" t="b">
        <v>0</v>
      </c>
      <c r="H912" s="79" t="b">
        <v>0</v>
      </c>
      <c r="I912" s="79" t="b">
        <v>0</v>
      </c>
      <c r="J912" s="79" t="b">
        <v>0</v>
      </c>
      <c r="K912" s="79" t="b">
        <v>0</v>
      </c>
      <c r="L912" s="79" t="b">
        <v>0</v>
      </c>
    </row>
    <row r="913" spans="1:12" ht="15">
      <c r="A913" s="85" t="s">
        <v>2053</v>
      </c>
      <c r="B913" s="84" t="s">
        <v>1886</v>
      </c>
      <c r="C913" s="79">
        <v>2</v>
      </c>
      <c r="D913" s="109">
        <v>0</v>
      </c>
      <c r="E913" s="109">
        <v>0.9777236052888478</v>
      </c>
      <c r="F913" s="79" t="s">
        <v>1677</v>
      </c>
      <c r="G913" s="79" t="b">
        <v>0</v>
      </c>
      <c r="H913" s="79" t="b">
        <v>0</v>
      </c>
      <c r="I913" s="79" t="b">
        <v>0</v>
      </c>
      <c r="J913" s="79" t="b">
        <v>0</v>
      </c>
      <c r="K913" s="79" t="b">
        <v>0</v>
      </c>
      <c r="L913" s="79" t="b">
        <v>0</v>
      </c>
    </row>
    <row r="914" spans="1:12" ht="15">
      <c r="A914" s="85" t="s">
        <v>1886</v>
      </c>
      <c r="B914" s="84" t="s">
        <v>2054</v>
      </c>
      <c r="C914" s="79">
        <v>2</v>
      </c>
      <c r="D914" s="109">
        <v>0</v>
      </c>
      <c r="E914" s="109">
        <v>0.9777236052888478</v>
      </c>
      <c r="F914" s="79" t="s">
        <v>1677</v>
      </c>
      <c r="G914" s="79" t="b">
        <v>0</v>
      </c>
      <c r="H914" s="79" t="b">
        <v>0</v>
      </c>
      <c r="I914" s="79" t="b">
        <v>0</v>
      </c>
      <c r="J914" s="79" t="b">
        <v>0</v>
      </c>
      <c r="K914" s="79" t="b">
        <v>0</v>
      </c>
      <c r="L914" s="79" t="b">
        <v>0</v>
      </c>
    </row>
    <row r="915" spans="1:12" ht="15">
      <c r="A915" s="85" t="s">
        <v>2054</v>
      </c>
      <c r="B915" s="84" t="s">
        <v>2055</v>
      </c>
      <c r="C915" s="79">
        <v>2</v>
      </c>
      <c r="D915" s="109">
        <v>0</v>
      </c>
      <c r="E915" s="109">
        <v>1.278753600952829</v>
      </c>
      <c r="F915" s="79" t="s">
        <v>1677</v>
      </c>
      <c r="G915" s="79" t="b">
        <v>0</v>
      </c>
      <c r="H915" s="79" t="b">
        <v>0</v>
      </c>
      <c r="I915" s="79" t="b">
        <v>0</v>
      </c>
      <c r="J915" s="79" t="b">
        <v>0</v>
      </c>
      <c r="K915" s="79" t="b">
        <v>0</v>
      </c>
      <c r="L915" s="79" t="b">
        <v>0</v>
      </c>
    </row>
    <row r="916" spans="1:12" ht="15">
      <c r="A916" s="85" t="s">
        <v>2055</v>
      </c>
      <c r="B916" s="84" t="s">
        <v>2056</v>
      </c>
      <c r="C916" s="79">
        <v>2</v>
      </c>
      <c r="D916" s="109">
        <v>0</v>
      </c>
      <c r="E916" s="109">
        <v>1.278753600952829</v>
      </c>
      <c r="F916" s="79" t="s">
        <v>1677</v>
      </c>
      <c r="G916" s="79" t="b">
        <v>0</v>
      </c>
      <c r="H916" s="79" t="b">
        <v>0</v>
      </c>
      <c r="I916" s="79" t="b">
        <v>0</v>
      </c>
      <c r="J916" s="79" t="b">
        <v>0</v>
      </c>
      <c r="K916" s="79" t="b">
        <v>0</v>
      </c>
      <c r="L916" s="79" t="b">
        <v>0</v>
      </c>
    </row>
    <row r="917" spans="1:12" ht="15">
      <c r="A917" s="85" t="s">
        <v>2056</v>
      </c>
      <c r="B917" s="84" t="s">
        <v>2057</v>
      </c>
      <c r="C917" s="79">
        <v>2</v>
      </c>
      <c r="D917" s="109">
        <v>0</v>
      </c>
      <c r="E917" s="109">
        <v>1.278753600952829</v>
      </c>
      <c r="F917" s="79" t="s">
        <v>1677</v>
      </c>
      <c r="G917" s="79" t="b">
        <v>0</v>
      </c>
      <c r="H917" s="79" t="b">
        <v>0</v>
      </c>
      <c r="I917" s="79" t="b">
        <v>0</v>
      </c>
      <c r="J917" s="79" t="b">
        <v>0</v>
      </c>
      <c r="K917" s="79" t="b">
        <v>0</v>
      </c>
      <c r="L917" s="79" t="b">
        <v>0</v>
      </c>
    </row>
    <row r="918" spans="1:12" ht="15">
      <c r="A918" s="85" t="s">
        <v>2057</v>
      </c>
      <c r="B918" s="84" t="s">
        <v>2058</v>
      </c>
      <c r="C918" s="79">
        <v>2</v>
      </c>
      <c r="D918" s="109">
        <v>0</v>
      </c>
      <c r="E918" s="109">
        <v>1.278753600952829</v>
      </c>
      <c r="F918" s="79" t="s">
        <v>1677</v>
      </c>
      <c r="G918" s="79" t="b">
        <v>0</v>
      </c>
      <c r="H918" s="79" t="b">
        <v>0</v>
      </c>
      <c r="I918" s="79" t="b">
        <v>0</v>
      </c>
      <c r="J918" s="79" t="b">
        <v>0</v>
      </c>
      <c r="K918" s="79" t="b">
        <v>0</v>
      </c>
      <c r="L918" s="79" t="b">
        <v>0</v>
      </c>
    </row>
    <row r="919" spans="1:12" ht="15">
      <c r="A919" s="85" t="s">
        <v>2058</v>
      </c>
      <c r="B919" s="84" t="s">
        <v>1886</v>
      </c>
      <c r="C919" s="79">
        <v>2</v>
      </c>
      <c r="D919" s="109">
        <v>0</v>
      </c>
      <c r="E919" s="109">
        <v>0.9777236052888478</v>
      </c>
      <c r="F919" s="79" t="s">
        <v>1677</v>
      </c>
      <c r="G919" s="79" t="b">
        <v>0</v>
      </c>
      <c r="H919" s="79" t="b">
        <v>0</v>
      </c>
      <c r="I919" s="79" t="b">
        <v>0</v>
      </c>
      <c r="J919" s="79" t="b">
        <v>0</v>
      </c>
      <c r="K919" s="79" t="b">
        <v>0</v>
      </c>
      <c r="L919" s="79" t="b">
        <v>0</v>
      </c>
    </row>
    <row r="920" spans="1:12" ht="15">
      <c r="A920" s="85" t="s">
        <v>1886</v>
      </c>
      <c r="B920" s="84" t="s">
        <v>2059</v>
      </c>
      <c r="C920" s="79">
        <v>2</v>
      </c>
      <c r="D920" s="109">
        <v>0</v>
      </c>
      <c r="E920" s="109">
        <v>0.9777236052888478</v>
      </c>
      <c r="F920" s="79" t="s">
        <v>1677</v>
      </c>
      <c r="G920" s="79" t="b">
        <v>0</v>
      </c>
      <c r="H920" s="79" t="b">
        <v>0</v>
      </c>
      <c r="I920" s="79" t="b">
        <v>0</v>
      </c>
      <c r="J920" s="79" t="b">
        <v>0</v>
      </c>
      <c r="K920" s="79" t="b">
        <v>0</v>
      </c>
      <c r="L920" s="79" t="b">
        <v>0</v>
      </c>
    </row>
    <row r="921" spans="1:12" ht="15">
      <c r="A921" s="85" t="s">
        <v>2059</v>
      </c>
      <c r="B921" s="84" t="s">
        <v>2060</v>
      </c>
      <c r="C921" s="79">
        <v>2</v>
      </c>
      <c r="D921" s="109">
        <v>0</v>
      </c>
      <c r="E921" s="109">
        <v>1.278753600952829</v>
      </c>
      <c r="F921" s="79" t="s">
        <v>1677</v>
      </c>
      <c r="G921" s="79" t="b">
        <v>0</v>
      </c>
      <c r="H921" s="79" t="b">
        <v>0</v>
      </c>
      <c r="I921" s="79" t="b">
        <v>0</v>
      </c>
      <c r="J921" s="79" t="b">
        <v>0</v>
      </c>
      <c r="K921" s="79" t="b">
        <v>0</v>
      </c>
      <c r="L921" s="79" t="b">
        <v>0</v>
      </c>
    </row>
    <row r="922" spans="1:12" ht="15">
      <c r="A922" s="85" t="s">
        <v>2060</v>
      </c>
      <c r="B922" s="84" t="s">
        <v>2061</v>
      </c>
      <c r="C922" s="79">
        <v>2</v>
      </c>
      <c r="D922" s="109">
        <v>0</v>
      </c>
      <c r="E922" s="109">
        <v>1.278753600952829</v>
      </c>
      <c r="F922" s="79" t="s">
        <v>1677</v>
      </c>
      <c r="G922" s="79" t="b">
        <v>0</v>
      </c>
      <c r="H922" s="79" t="b">
        <v>0</v>
      </c>
      <c r="I922" s="79" t="b">
        <v>0</v>
      </c>
      <c r="J922" s="79" t="b">
        <v>0</v>
      </c>
      <c r="K922" s="79" t="b">
        <v>0</v>
      </c>
      <c r="L922" s="79" t="b">
        <v>0</v>
      </c>
    </row>
    <row r="923" spans="1:12" ht="15">
      <c r="A923" s="85" t="s">
        <v>2061</v>
      </c>
      <c r="B923" s="84" t="s">
        <v>2062</v>
      </c>
      <c r="C923" s="79">
        <v>2</v>
      </c>
      <c r="D923" s="109">
        <v>0</v>
      </c>
      <c r="E923" s="109">
        <v>1.278753600952829</v>
      </c>
      <c r="F923" s="79" t="s">
        <v>1677</v>
      </c>
      <c r="G923" s="79" t="b">
        <v>0</v>
      </c>
      <c r="H923" s="79" t="b">
        <v>0</v>
      </c>
      <c r="I923" s="79" t="b">
        <v>0</v>
      </c>
      <c r="J923" s="79" t="b">
        <v>0</v>
      </c>
      <c r="K923" s="79" t="b">
        <v>0</v>
      </c>
      <c r="L923" s="79" t="b">
        <v>0</v>
      </c>
    </row>
    <row r="924" spans="1:12" ht="15">
      <c r="A924" s="85" t="s">
        <v>2062</v>
      </c>
      <c r="B924" s="84" t="s">
        <v>2063</v>
      </c>
      <c r="C924" s="79">
        <v>2</v>
      </c>
      <c r="D924" s="109">
        <v>0</v>
      </c>
      <c r="E924" s="109">
        <v>1.278753600952829</v>
      </c>
      <c r="F924" s="79" t="s">
        <v>1677</v>
      </c>
      <c r="G924" s="79" t="b">
        <v>0</v>
      </c>
      <c r="H924" s="79" t="b">
        <v>0</v>
      </c>
      <c r="I924" s="79" t="b">
        <v>0</v>
      </c>
      <c r="J924" s="79" t="b">
        <v>0</v>
      </c>
      <c r="K924" s="79" t="b">
        <v>0</v>
      </c>
      <c r="L924" s="79" t="b">
        <v>0</v>
      </c>
    </row>
    <row r="925" spans="1:12" ht="15">
      <c r="A925" s="85" t="s">
        <v>2063</v>
      </c>
      <c r="B925" s="84" t="s">
        <v>2064</v>
      </c>
      <c r="C925" s="79">
        <v>2</v>
      </c>
      <c r="D925" s="109">
        <v>0</v>
      </c>
      <c r="E925" s="109">
        <v>1.278753600952829</v>
      </c>
      <c r="F925" s="79" t="s">
        <v>1677</v>
      </c>
      <c r="G925" s="79" t="b">
        <v>0</v>
      </c>
      <c r="H925" s="79" t="b">
        <v>0</v>
      </c>
      <c r="I925" s="79" t="b">
        <v>0</v>
      </c>
      <c r="J925" s="79" t="b">
        <v>0</v>
      </c>
      <c r="K925" s="79" t="b">
        <v>0</v>
      </c>
      <c r="L925" s="79" t="b">
        <v>0</v>
      </c>
    </row>
    <row r="926" spans="1:12" ht="15">
      <c r="A926" s="85" t="s">
        <v>2064</v>
      </c>
      <c r="B926" s="84" t="s">
        <v>1703</v>
      </c>
      <c r="C926" s="79">
        <v>2</v>
      </c>
      <c r="D926" s="109">
        <v>0</v>
      </c>
      <c r="E926" s="109">
        <v>1.278753600952829</v>
      </c>
      <c r="F926" s="79" t="s">
        <v>1677</v>
      </c>
      <c r="G926" s="79" t="b">
        <v>0</v>
      </c>
      <c r="H926" s="79" t="b">
        <v>0</v>
      </c>
      <c r="I926" s="79" t="b">
        <v>0</v>
      </c>
      <c r="J926" s="79" t="b">
        <v>0</v>
      </c>
      <c r="K926" s="79" t="b">
        <v>0</v>
      </c>
      <c r="L926" s="79" t="b">
        <v>0</v>
      </c>
    </row>
    <row r="927" spans="1:12" ht="15">
      <c r="A927" s="85" t="s">
        <v>1703</v>
      </c>
      <c r="B927" s="84" t="s">
        <v>2065</v>
      </c>
      <c r="C927" s="79">
        <v>2</v>
      </c>
      <c r="D927" s="109">
        <v>0</v>
      </c>
      <c r="E927" s="109">
        <v>1.278753600952829</v>
      </c>
      <c r="F927" s="79" t="s">
        <v>1677</v>
      </c>
      <c r="G927" s="79" t="b">
        <v>0</v>
      </c>
      <c r="H927" s="79" t="b">
        <v>0</v>
      </c>
      <c r="I927" s="79" t="b">
        <v>0</v>
      </c>
      <c r="J927" s="79" t="b">
        <v>0</v>
      </c>
      <c r="K927" s="79" t="b">
        <v>0</v>
      </c>
      <c r="L927" s="7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7AD7F55-C8EA-4FF6-9867-3723E6FD0FF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2021-09-25T14:01:18Z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